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U37" i="18"/>
  <c r="T37" i="18"/>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D20" i="18"/>
  <c r="G12" i="18"/>
  <c r="F12" i="18"/>
  <c r="E12" i="18"/>
  <c r="D12" i="18"/>
  <c r="C12" i="18"/>
  <c r="L10" i="18"/>
  <c r="K10" i="18"/>
  <c r="G10" i="18"/>
  <c r="D10" i="18"/>
  <c r="B6" i="18"/>
  <c r="B5" i="18"/>
  <c r="B4" i="18"/>
  <c r="F20" i="18" l="1"/>
  <c r="I9" i="18"/>
  <c r="G20" i="18"/>
  <c r="K20" i="18"/>
  <c r="B46" i="18"/>
  <c r="I50" i="18" s="1"/>
  <c r="H17" i="18" s="1"/>
  <c r="J9" i="18"/>
  <c r="O9" i="18" s="1"/>
  <c r="B17" i="18"/>
  <c r="B20" i="18" s="1"/>
  <c r="C46" i="18"/>
  <c r="H49" i="18" s="1"/>
  <c r="O19" i="18"/>
  <c r="O18" i="18"/>
  <c r="L20" i="18"/>
  <c r="B10" i="18"/>
  <c r="D50"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50" i="18"/>
  <c r="C17" i="18" s="1"/>
  <c r="D87" i="14" s="1"/>
  <c r="D17" i="55" s="1"/>
  <c r="D20" i="55" s="1"/>
  <c r="L20" i="55"/>
  <c r="F50" i="18"/>
  <c r="J77" i="14"/>
  <c r="J9" i="55" s="1"/>
  <c r="H50" i="18"/>
  <c r="H20" i="18"/>
  <c r="M87" i="14"/>
  <c r="M17" i="55" s="1"/>
  <c r="M20" i="55" s="1"/>
  <c r="C50" i="18"/>
  <c r="E50" i="18"/>
  <c r="E17" i="18" s="1"/>
  <c r="G50" i="18"/>
  <c r="I17" i="18" s="1"/>
  <c r="K10" i="55"/>
  <c r="C49" i="18"/>
  <c r="E49" i="18"/>
  <c r="E8" i="18" s="1"/>
  <c r="G49" i="18"/>
  <c r="I49" i="18"/>
  <c r="H8" i="18" s="1"/>
  <c r="B49" i="18"/>
  <c r="C8" i="18" s="1"/>
  <c r="D76" i="14" s="1"/>
  <c r="D8" i="55" s="1"/>
  <c r="D10" i="55" s="1"/>
  <c r="D49" i="18"/>
  <c r="F49"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C20" i="18" l="1"/>
  <c r="M90" i="14"/>
  <c r="B77" i="14"/>
  <c r="B9" i="55" s="1"/>
  <c r="C77" i="14"/>
  <c r="C9" i="55" s="1"/>
  <c r="C10" i="18"/>
  <c r="J8" i="18"/>
  <c r="J76" i="14" s="1"/>
  <c r="J17" i="18"/>
  <c r="J20" i="18" s="1"/>
  <c r="E20" i="18"/>
  <c r="F87" i="14"/>
  <c r="I8" i="18"/>
  <c r="I10" i="18" s="1"/>
  <c r="H10" i="18"/>
  <c r="M76" i="14"/>
  <c r="E10" i="18"/>
  <c r="F76" i="14"/>
  <c r="P9" i="55"/>
  <c r="I20" i="18"/>
  <c r="I87" i="14"/>
  <c r="I17" i="55" s="1"/>
  <c r="I20" i="55" s="1"/>
  <c r="O8" i="18"/>
  <c r="O10" i="18" s="1"/>
  <c r="J10" i="18"/>
  <c r="Q87" i="14"/>
  <c r="D90" i="14"/>
  <c r="O17" i="18" l="1"/>
  <c r="O20" i="18" s="1"/>
  <c r="J87" i="14"/>
  <c r="I76" i="14"/>
  <c r="I8" i="55" s="1"/>
  <c r="I10" i="55" s="1"/>
  <c r="F17" i="55"/>
  <c r="F20" i="55" s="1"/>
  <c r="F90" i="14"/>
  <c r="M8" i="55"/>
  <c r="M10" i="55" s="1"/>
  <c r="M78" i="14"/>
  <c r="F8" i="55"/>
  <c r="F10" i="55" s="1"/>
  <c r="Q76" i="14"/>
  <c r="F78" i="14"/>
  <c r="J90" i="14"/>
  <c r="J17" i="55"/>
  <c r="J20" i="55" s="1"/>
  <c r="J78" i="14"/>
  <c r="J8" i="55"/>
  <c r="J10" i="55" s="1"/>
  <c r="Q90" i="14"/>
  <c r="B17" i="6" s="1"/>
  <c r="P17" i="55"/>
  <c r="P20" i="55" s="1"/>
  <c r="B76" i="14"/>
  <c r="I90" i="14"/>
  <c r="B87" i="14"/>
  <c r="C87" i="14"/>
  <c r="H14" i="15"/>
  <c r="H16" i="15" s="1"/>
  <c r="G14" i="15"/>
  <c r="G16" i="15" s="1"/>
  <c r="C76" i="14" l="1"/>
  <c r="I78" i="14"/>
  <c r="P8" i="55"/>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B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8" i="16"/>
  <c r="D4" i="48"/>
  <c r="D22" i="48" s="1"/>
  <c r="E11" i="14"/>
  <c r="C11" i="14"/>
  <c r="B4" i="48"/>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B47" i="13" s="1"/>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N12" i="16"/>
  <c r="J12" i="16"/>
  <c r="F12" i="16"/>
  <c r="E12" i="16"/>
  <c r="C50" i="13"/>
  <c r="J5" i="13" s="1"/>
  <c r="J8" i="13" s="1"/>
  <c r="Q63" i="14" l="1"/>
  <c r="O8" i="48"/>
  <c r="O26" i="48" s="1"/>
  <c r="P13" i="14"/>
  <c r="P16" i="14" s="1"/>
  <c r="P27" i="14" s="1"/>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O15" i="48" l="1"/>
  <c r="R11" i="14"/>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<sst xmlns="http://schemas.openxmlformats.org/spreadsheetml/2006/main" count="2540" uniqueCount="988">
  <si>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</si>
  <si>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</si>
  <si>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</si>
  <si>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</si>
  <si>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</si>
  <si>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</si>
  <si>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</si>
  <si>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</si>
  <si>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</si>
  <si>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</si>
  <si>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</si>
  <si>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</si>
  <si>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</si>
  <si>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</si>
  <si>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</si>
  <si>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</si>
  <si>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</si>
  <si>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</si>
  <si>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</si>
  <si>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</si>
  <si>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</si>
  <si>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</si>
  <si>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</si>
  <si>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</si>
  <si>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</si>
  <si>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</si>
  <si>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</si>
  <si>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</si>
  <si>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</si>
  <si>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</si>
  <si>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</si>
  <si>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</si>
  <si>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</si>
  <si>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</si>
  <si>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</si>
  <si>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</si>
  <si>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</si>
  <si>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</si>
  <si>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</si>
  <si>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</si>
  <si>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</si>
  <si>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</si>
  <si>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</si>
  <si>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</si>
  <si>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</si>
  <si>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</si>
  <si>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</si>
  <si>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</si>
  <si>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</si>
  <si>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</si>
  <si>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</si>
  <si>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</si>
  <si>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</si>
  <si>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</si>
  <si>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</si>
  <si>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</si>
  <si>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</si>
  <si>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</si>
  <si>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</si>
  <si>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</si>
  <si>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</si>
  <si>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</si>
  <si>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</si>
  <si>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</si>
  <si>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</si>
  <si>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</si>
  <si>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</si>
  <si>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</si>
  <si>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</si>
  <si>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</si>
  <si>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</si>
  <si>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</si>
  <si>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</si>
  <si>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</si>
  <si>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</si>
  <si>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</si>
  <si>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</si>
  <si>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</si>
  <si>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</si>
  <si>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</si>
  <si>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</si>
  <si>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</si>
  <si>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</si>
  <si>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</si>
  <si>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</si>
  <si>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</si>
  <si>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</si>
  <si>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</si>
  <si>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</si>
  <si>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</si>
  <si>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</si>
  <si>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</si>
  <si>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</si>
  <si>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</si>
  <si>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</si>
  <si>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</si>
  <si>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</si>
  <si>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</si>
  <si>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</si>
  <si>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</si>
  <si>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</si>
  <si>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</si>
  <si>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</si>
  <si>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</si>
  <si>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</si>
  <si>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</si>
  <si>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</si>
  <si>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</si>
  <si>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</si>
  <si>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</si>
  <si>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</si>
  <si>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</si>
  <si>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</si>
  <si>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</si>
  <si>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</si>
  <si>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</si>
  <si>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</si>
  <si>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</si>
  <si>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</si>
  <si>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</si>
  <si>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</si>
  <si>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</si>
  <si>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</si>
  <si>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</si>
  <si>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</si>
  <si>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</si>
  <si>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</si>
  <si>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</si>
  <si>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</si>
  <si>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</si>
  <si>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</si>
  <si>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</si>
  <si>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</si>
  <si>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</si>
  <si>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</si>
  <si>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</si>
  <si>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</si>
  <si>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</si>
  <si>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</si>
  <si>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</si>
  <si>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</si>
  <si>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</si>
  <si>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</si>
  <si>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</si>
  <si>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</si>
  <si>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</si>
  <si>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</si>
  <si>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</si>
  <si>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</si>
  <si>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</si>
  <si>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</si>
  <si>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</si>
  <si>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</si>
  <si>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</si>
  <si>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</si>
  <si>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</si>
  <si>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</si>
  <si>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</si>
  <si>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</si>
  <si>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</si>
  <si>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</si>
  <si>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</si>
  <si>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</si>
  <si>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</si>
  <si>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</si>
  <si>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</si>
  <si>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</si>
  <si>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</si>
  <si>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</si>
  <si>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</si>
  <si>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</si>
  <si>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</si>
  <si>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</si>
  <si>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</si>
  <si>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</si>
  <si>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</si>
  <si>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</si>
  <si>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</si>
  <si>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</si>
  <si>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</si>
  <si>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</si>
  <si>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</si>
  <si>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</si>
  <si>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</si>
  <si>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</si>
  <si>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</si>
  <si>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</si>
  <si>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</si>
  <si>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</si>
  <si>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</si>
  <si>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</si>
  <si>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</si>
  <si>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</si>
  <si>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</si>
  <si>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</si>
  <si>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</si>
  <si>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</si>
  <si>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</si>
  <si>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</si>
  <si>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</si>
  <si>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</si>
  <si>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</si>
  <si>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</si>
  <si>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</si>
  <si>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</si>
  <si>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</si>
  <si>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</si>
  <si>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</si>
  <si>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</si>
  <si>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</si>
  <si>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</si>
  <si>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</si>
  <si>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</si>
  <si>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</si>
  <si>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</si>
  <si>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</si>
  <si>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</si>
  <si>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</si>
  <si>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</si>
  <si>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</si>
  <si>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</si>
  <si>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</si>
  <si>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</si>
  <si>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</si>
  <si>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</si>
  <si>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</si>
  <si>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</si>
  <si>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</si>
  <si>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</si>
  <si>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</si>
  <si>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</si>
  <si>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</si>
  <si>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</si>
  <si>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</si>
  <si>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</si>
  <si>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</si>
  <si>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</si>
  <si>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</si>
  <si>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</si>
  <si>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</si>
  <si>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</si>
  <si>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</si>
  <si>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</si>
  <si>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</si>
  <si>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</si>
  <si>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</si>
  <si>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</si>
  <si>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</si>
  <si>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</si>
  <si>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</si>
  <si>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</si>
  <si>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</si>
  <si>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</si>
  <si>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</si>
  <si>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</si>
  <si>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</si>
  <si>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</si>
  <si>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</si>
  <si>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</si>
  <si>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</si>
  <si>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</si>
  <si>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</si>
  <si>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</si>
  <si>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</si>
  <si>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</si>
  <si>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</si>
  <si>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</si>
  <si>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</si>
  <si>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</si>
  <si>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</si>
  <si>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</si>
  <si>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</si>
  <si>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</si>
  <si>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</si>
  <si>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</si>
  <si>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</si>
  <si>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</si>
  <si>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</si>
  <si>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</si>
  <si>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</si>
  <si>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</si>
  <si>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</si>
  <si>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</si>
  <si>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</si>
  <si>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</si>
  <si>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</si>
  <si>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</si>
  <si>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</si>
  <si>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</si>
  <si>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</si>
  <si>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</si>
  <si>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</si>
  <si>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</si>
  <si>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</si>
  <si>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</si>
  <si>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</si>
  <si>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</si>
  <si>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</si>
  <si>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</si>
  <si>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</si>
  <si>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</si>
  <si>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</si>
  <si>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</si>
  <si>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</si>
  <si>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</si>
  <si>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</si>
  <si>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</si>
  <si>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</si>
  <si>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</si>
  <si>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</si>
  <si>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</si>
  <si>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</si>
  <si>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</si>
  <si>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</si>
  <si>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</si>
  <si>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</si>
  <si>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</si>
  <si>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</si>
  <si>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</si>
  <si>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</si>
  <si>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</si>
  <si>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</si>
  <si>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</si>
  <si>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</si>
  <si>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</si>
  <si>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</si>
  <si>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</si>
  <si>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</si>
  <si>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</si>
  <si>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</si>
  <si>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</si>
  <si>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</si>
  <si>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</si>
  <si>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</si>
  <si>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</si>
  <si>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</si>
  <si>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</si>
  <si>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</si>
  <si>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</si>
  <si>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</si>
  <si>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</si>
  <si>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</si>
  <si>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</si>
  <si>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</si>
  <si>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</si>
  <si>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</si>
  <si>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</si>
  <si>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</si>
  <si>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</si>
  <si>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</si>
  <si>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</si>
  <si>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</si>
  <si>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</si>
  <si>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</si>
  <si>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</si>
  <si>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</si>
  <si>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</si>
  <si>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</si>
  <si>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</si>
  <si>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</si>
  <si>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</si>
  <si>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</si>
  <si>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</si>
  <si>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</si>
  <si>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</si>
  <si>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</si>
  <si>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</si>
  <si>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</si>
  <si>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</si>
  <si>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</si>
  <si>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</si>
  <si>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</si>
  <si>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</si>
  <si>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</si>
  <si>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</si>
  <si>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</si>
  <si>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</si>
  <si>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</si>
  <si>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</si>
  <si>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</si>
  <si>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</si>
  <si>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</si>
  <si>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</si>
  <si>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</si>
  <si>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</si>
  <si>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</si>
  <si>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</si>
  <si>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</si>
  <si>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</si>
  <si>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</si>
  <si>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</si>
  <si>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</si>
  <si>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</si>
  <si>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</si>
  <si>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</si>
  <si>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</si>
  <si>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</si>
  <si>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</si>
  <si>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</si>
  <si>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</si>
  <si>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</si>
  <si>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</si>
  <si>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</si>
  <si>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</si>
  <si>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</si>
  <si>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</si>
  <si>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</si>
  <si>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</si>
  <si>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</si>
  <si>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</si>
  <si>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</si>
  <si>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</si>
  <si>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</si>
  <si>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</si>
  <si>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</si>
  <si>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</si>
  <si>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</si>
  <si>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</si>
  <si>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</si>
  <si>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</si>
  <si>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</si>
  <si>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</si>
  <si>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</si>
  <si>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</si>
  <si>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</si>
  <si>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</si>
  <si>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</si>
  <si>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</si>
  <si>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</si>
  <si>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</si>
  <si>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</si>
  <si>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</si>
  <si>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</si>
  <si>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</si>
  <si>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</si>
  <si>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</si>
  <si>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</si>
  <si>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</si>
  <si>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</si>
  <si>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</si>
  <si>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</si>
  <si>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</si>
  <si>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</si>
  <si>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</si>
  <si>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</si>
  <si>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</si>
  <si>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</si>
  <si>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</si>
  <si>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</si>
  <si>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</si>
  <si>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</si>
  <si>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</si>
  <si>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</si>
  <si>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</si>
  <si>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</si>
  <si>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</si>
  <si>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</si>
  <si>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</si>
  <si>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</si>
  <si>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</si>
  <si>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</si>
  <si>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</si>
  <si>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</si>
  <si>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</si>
  <si>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</si>
  <si>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</si>
  <si>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</si>
  <si>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</si>
  <si>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</si>
  <si>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</si>
  <si>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</si>
  <si>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</si>
  <si>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</si>
  <si>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</si>
  <si>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</si>
  <si>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</si>
  <si>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</si>
  <si>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</si>
  <si>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</si>
  <si>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</si>
  <si>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</si>
  <si>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</si>
  <si>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</si>
  <si>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</si>
  <si>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</si>
  <si>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</si>
  <si>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</si>
  <si>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</si>
  <si>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</si>
  <si>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</si>
  <si>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</si>
  <si>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</si>
  <si>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</si>
  <si>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</si>
  <si>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</si>
  <si>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</si>
  <si>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</si>
  <si>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</si>
  <si>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</si>
  <si>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</si>
  <si>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</si>
  <si>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</si>
  <si>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</si>
  <si>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</si>
  <si>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</si>
  <si>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</si>
  <si>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</si>
  <si>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</si>
  <si>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</si>
  <si>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</si>
  <si>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</si>
  <si>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</si>
  <si>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</si>
  <si>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</si>
  <si>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</si>
  <si>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</si>
  <si>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</si>
  <si>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</si>
  <si>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</si>
  <si>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</si>
  <si>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</si>
  <si>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</si>
  <si>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</si>
  <si>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</si>
  <si>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</si>
  <si>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</si>
  <si>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</si>
  <si>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</si>
  <si>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</si>
  <si>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</si>
  <si>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</si>
  <si>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</si>
  <si>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</si>
  <si>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</si>
  <si>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</si>
  <si>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</si>
  <si>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</si>
  <si>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</si>
  <si>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</si>
  <si>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</si>
  <si>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</si>
  <si>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</si>
  <si>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</si>
  <si>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</si>
  <si>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</si>
  <si>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</si>
  <si>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</si>
  <si>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</si>
  <si>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</si>
  <si>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</si>
  <si>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</si>
  <si>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</si>
  <si>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</si>
  <si>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</si>
  <si>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</si>
  <si>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</si>
  <si>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</si>
  <si>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</si>
  <si>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</si>
  <si>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</si>
  <si>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</si>
  <si>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</si>
  <si>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</si>
  <si>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</si>
  <si>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</si>
  <si>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</si>
  <si>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</si>
  <si>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</si>
  <si>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</si>
  <si>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</si>
  <si>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</si>
  <si>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</si>
  <si>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</si>
  <si>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</si>
  <si>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</si>
  <si>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</si>
  <si>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</si>
  <si>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</si>
  <si>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</si>
  <si>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</si>
  <si>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</si>
  <si>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</si>
  <si>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</si>
  <si>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</si>
  <si>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</si>
  <si>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</si>
  <si>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</si>
  <si>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</si>
  <si>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</si>
  <si>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</si>
  <si>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</si>
  <si>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</si>
  <si>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</si>
  <si>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</si>
  <si>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</si>
  <si>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</si>
  <si>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</si>
  <si>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</si>
  <si>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</si>
  <si>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</si>
  <si>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</si>
  <si>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</si>
  <si>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</si>
  <si>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</si>
  <si>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</si>
  <si>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</si>
  <si>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</si>
  <si>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</si>
  <si>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</si>
  <si>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</si>
  <si>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</si>
  <si>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</si>
  <si>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</si>
  <si>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</si>
  <si>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</si>
  <si>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</si>
  <si>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</si>
  <si>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</si>
  <si>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</si>
  <si>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</si>
  <si>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</si>
  <si>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</si>
  <si>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</si>
  <si>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</si>
  <si>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</si>
  <si>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</si>
  <si>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</si>
  <si>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</si>
  <si>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</si>
  <si>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</si>
  <si>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</si>
  <si>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</si>
  <si>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</si>
  <si>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</si>
  <si>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</si>
  <si>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</si>
  <si>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</si>
  <si>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</si>
  <si>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</si>
  <si>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</si>
  <si>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</si>
  <si>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</si>
  <si>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</si>
  <si>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</si>
  <si>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</si>
  <si>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</si>
  <si>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</si>
  <si>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</si>
  <si>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</si>
  <si>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</si>
  <si>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</si>
  <si>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</si>
  <si>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</si>
  <si>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</si>
  <si>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</si>
  <si>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</si>
  <si>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</si>
  <si>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</si>
  <si>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</si>
  <si>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</si>
  <si>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</si>
  <si>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</si>
  <si>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</si>
  <si>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</si>
  <si>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</si>
  <si>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</si>
  <si>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</si>
  <si>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</si>
  <si>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</si>
  <si>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</si>
  <si>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</si>
  <si>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</si>
  <si>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</si>
  <si>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</si>
  <si>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</si>
  <si>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</si>
  <si>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</si>
  <si>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</si>
  <si>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</si>
  <si>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</si>
  <si>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</si>
  <si>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</si>
  <si>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</si>
  <si>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</si>
  <si>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</si>
  <si>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</si>
  <si>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</si>
  <si>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</si>
  <si>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</si>
  <si>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</si>
  <si>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</si>
  <si>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</si>
  <si>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</si>
  <si>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</si>
  <si>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</si>
  <si>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</si>
  <si>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</si>
  <si>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</si>
  <si>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</si>
  <si>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</si>
  <si>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</si>
  <si>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</si>
  <si>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</si>
  <si>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</si>
  <si>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</si>
  <si>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</si>
  <si>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</si>
  <si>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</si>
  <si>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</si>
  <si>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</si>
  <si>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</si>
  <si>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</si>
  <si>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</si>
  <si>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</si>
  <si>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</si>
  <si>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</si>
  <si>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</si>
  <si>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</si>
  <si>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</si>
  <si>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</si>
  <si>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</si>
  <si>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</si>
  <si>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</si>
  <si>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</si>
  <si>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</si>
  <si>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</si>
  <si>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</si>
  <si>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</si>
  <si>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</si>
  <si>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</si>
  <si>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</si>
  <si>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</si>
  <si>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</si>
  <si>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</si>
  <si>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</si>
  <si>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</si>
  <si>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</si>
  <si>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</si>
  <si>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</si>
  <si>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</si>
  <si>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</si>
  <si>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</si>
  <si>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</si>
  <si>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</si>
  <si>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</si>
  <si>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</si>
  <si>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</si>
  <si>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</si>
  <si>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</si>
  <si>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</si>
  <si>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</si>
  <si>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</si>
  <si>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</si>
  <si>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</si>
  <si>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</si>
  <si>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</si>
  <si>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</si>
  <si>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</si>
  <si>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</si>
  <si>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</si>
  <si>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</si>
  <si>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</si>
  <si>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</si>
  <si>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</si>
  <si>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</si>
  <si>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</si>
  <si>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</si>
  <si>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</si>
  <si>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</si>
  <si>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</si>
  <si>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</si>
  <si>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</si>
  <si>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</si>
  <si>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</si>
  <si>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</si>
  <si>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</si>
  <si>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</si>
  <si>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</si>
  <si>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</si>
  <si>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</si>
  <si>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</si>
  <si>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</si>
  <si>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</si>
  <si>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</si>
  <si>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</si>
  <si>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</si>
  <si>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</si>
  <si>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</si>
  <si>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</si>
  <si>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</si>
  <si>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</si>
  <si>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</si>
  <si>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</si>
  <si>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</si>
  <si>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</si>
  <si>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</si>
  <si>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</si>
  <si>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</si>
  <si>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</si>
  <si>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</si>
  <si>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</si>
  <si>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</si>
  <si>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</si>
  <si>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</si>
  <si>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</si>
  <si>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</si>
  <si>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</si>
  <si>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</si>
  <si>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</si>
  <si>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</si>
  <si>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</si>
  <si>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</si>
  <si>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</si>
  <si>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</si>
  <si>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</si>
  <si>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</si>
  <si>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</si>
  <si>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</si>
  <si>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</si>
  <si>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</si>
  <si>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</si>
  <si>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</si>
  <si>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</si>
  <si>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</si>
  <si>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</si>
  <si>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</si>
  <si>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</si>
  <si>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</si>
  <si>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</si>
  <si>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</si>
  <si>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</si>
  <si>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</si>
  <si>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</si>
  <si>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</si>
  <si>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</si>
  <si>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</si>
  <si>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</si>
  <si>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</si>
  <si>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</si>
  <si>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</si>
  <si>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</si>
  <si>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</si>
  <si>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</si>
  <si>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</si>
  <si>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</si>
  <si>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</si>
  <si>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</si>
  <si>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</si>
  <si>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</si>
  <si>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</si>
  <si>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</si>
  <si>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</si>
  <si>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</si>
  <si>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</si>
  <si>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</si>
  <si>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</si>
  <si>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</si>
  <si>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</si>
  <si>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</si>
  <si>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</si>
  <si>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</si>
  <si>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</si>
  <si>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</si>
  <si>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</si>
  <si>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</si>
  <si>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</si>
  <si>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</si>
  <si>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</si>
  <si>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</si>
  <si>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</si>
  <si>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</si>
  <si>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</si>
  <si>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</si>
  <si>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</si>
  <si>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</si>
  <si>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</si>
  <si>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</si>
  <si>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</si>
  <si>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</si>
  <si>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</si>
  <si>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</si>
  <si>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</si>
  <si>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</si>
  <si>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</si>
  <si>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</si>
  <si>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</si>
  <si>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</si>
  <si>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</si>
  <si>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</si>
  <si>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</si>
  <si>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</si>
  <si>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</si>
  <si>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</si>
  <si>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</si>
  <si>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</si>
  <si>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</si>
  <si>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</si>
  <si>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</si>
  <si>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</si>
  <si>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</si>
  <si>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</si>
  <si>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</si>
  <si>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</si>
  <si>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</si>
  <si>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</si>
  <si>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</si>
  <si>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</si>
  <si>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</si>
  <si>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</si>
  <si>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</si>
  <si>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</si>
  <si>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</si>
  <si>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</si>
  <si>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</si>
  <si>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</si>
  <si>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</si>
  <si>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</si>
  <si>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</si>
  <si>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</si>
  <si>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</si>
  <si>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</si>
  <si>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</si>
  <si>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</si>
  <si>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</si>
  <si>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</si>
  <si>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</si>
  <si>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</si>
  <si>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</si>
  <si>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</si>
  <si>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</si>
  <si>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</si>
  <si>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</si>
  <si>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</si>
  <si>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</si>
  <si>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</si>
  <si>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</si>
  <si>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</si>
  <si>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</si>
  <si>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</si>
  <si>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</si>
  <si>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</si>
  <si>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</si>
  <si>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</si>
  <si>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</si>
  <si>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</si>
  <si>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</si>
  <si>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</si>
  <si>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</si>
  <si>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</si>
  <si>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</si>
  <si>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</si>
  <si>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</si>
  <si>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</si>
  <si>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</si>
  <si>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</si>
  <si>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</si>
  <si>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</si>
  <si>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</si>
  <si>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</si>
  <si>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</si>
  <si>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</si>
  <si>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</si>
  <si>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</si>
  <si>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</si>
  <si>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44021</t>
  </si>
  <si>
    <t>GENT</t>
  </si>
  <si>
    <t>Paarden&amp;pony's 200 - 600 kg</t>
  </si>
  <si>
    <t>Paarden&amp;pony's &lt; 200 kg</t>
  </si>
  <si>
    <t>Fluvius</t>
  </si>
  <si>
    <t xml:space="preserve">Bron: </t>
  </si>
  <si>
    <t>referentietaak LNE (2017); Jaarverslag De Lijn</t>
  </si>
  <si>
    <t>Jean_Pierre Van Wingen</t>
  </si>
  <si>
    <t>Keuzekouter 20 , 9031 Drongen</t>
  </si>
  <si>
    <t>WKK-0220 Jean-Pierre Van Wingen</t>
  </si>
  <si>
    <t>interne verbrandingsmotor</t>
  </si>
  <si>
    <t>WKK interne verbrandinsgmotor (vloeibaar)</t>
  </si>
  <si>
    <t>IMEWO</t>
  </si>
  <si>
    <t>VLS-Group Ghent NV</t>
  </si>
  <si>
    <t>Belgicastraat 3 , 9042 Sint-Kruis-Winkel</t>
  </si>
  <si>
    <t>WKK-0227 VLS-Group Ghent</t>
  </si>
  <si>
    <t>Belgicastraat (Haven 2270) 3 , 9042 Sint-Kruis-Winkel</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</si>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</sst>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44021</v>
      </c>
      <c r="B6" s="394"/>
      <c r="C6" s="395"/>
    </row>
    <row r="7" spans="1:7" s="392" customFormat="1" ht="15.75" customHeight="1">
      <c r="A7" s="396" t="str">
        <f>txtMunicipality</f>
        <v>GENT</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0.20626582786777115</v>
      </c>
      <c r="C17" s="506">
        <f ca="1">'EF ele_warmte'!B22</f>
        <v>7.8209463957606584E-2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0.20626582786777115</v>
      </c>
      <c r="C29" s="507">
        <f ca="1">'EF ele_warmte'!B22</f>
        <v>7.8209463957606584E-2</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117091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3207</v>
      </c>
      <c r="C14" s="331"/>
      <c r="D14" s="331"/>
      <c r="E14" s="331"/>
      <c r="F14" s="331"/>
    </row>
    <row r="15" spans="1:6">
      <c r="A15" s="1290" t="s">
        <v>183</v>
      </c>
      <c r="B15" s="1291">
        <v>38</v>
      </c>
      <c r="C15" s="331"/>
      <c r="D15" s="331"/>
      <c r="E15" s="331"/>
      <c r="F15" s="331"/>
    </row>
    <row r="16" spans="1:6">
      <c r="A16" s="1290" t="s">
        <v>6</v>
      </c>
      <c r="B16" s="1291">
        <v>1403</v>
      </c>
      <c r="C16" s="331"/>
      <c r="D16" s="331"/>
      <c r="E16" s="331"/>
      <c r="F16" s="331"/>
    </row>
    <row r="17" spans="1:6">
      <c r="A17" s="1290" t="s">
        <v>7</v>
      </c>
      <c r="B17" s="1291">
        <v>864</v>
      </c>
      <c r="C17" s="331"/>
      <c r="D17" s="331"/>
      <c r="E17" s="331"/>
      <c r="F17" s="331"/>
    </row>
    <row r="18" spans="1:6">
      <c r="A18" s="1290" t="s">
        <v>8</v>
      </c>
      <c r="B18" s="1291">
        <v>1436</v>
      </c>
      <c r="C18" s="331"/>
      <c r="D18" s="331"/>
      <c r="E18" s="331"/>
      <c r="F18" s="331"/>
    </row>
    <row r="19" spans="1:6">
      <c r="A19" s="1290" t="s">
        <v>9</v>
      </c>
      <c r="B19" s="1291">
        <v>1271</v>
      </c>
      <c r="C19" s="331"/>
      <c r="D19" s="331"/>
      <c r="E19" s="331"/>
      <c r="F19" s="331"/>
    </row>
    <row r="20" spans="1:6">
      <c r="A20" s="1290" t="s">
        <v>10</v>
      </c>
      <c r="B20" s="1291">
        <v>1052</v>
      </c>
      <c r="C20" s="331"/>
      <c r="D20" s="331"/>
      <c r="E20" s="331"/>
      <c r="F20" s="331"/>
    </row>
    <row r="21" spans="1:6">
      <c r="A21" s="1290" t="s">
        <v>11</v>
      </c>
      <c r="B21" s="1291">
        <v>2125</v>
      </c>
      <c r="C21" s="331"/>
      <c r="D21" s="331"/>
      <c r="E21" s="331"/>
      <c r="F21" s="331"/>
    </row>
    <row r="22" spans="1:6">
      <c r="A22" s="1290" t="s">
        <v>12</v>
      </c>
      <c r="B22" s="1291">
        <v>4427</v>
      </c>
      <c r="C22" s="331"/>
      <c r="D22" s="331"/>
      <c r="E22" s="331"/>
      <c r="F22" s="331"/>
    </row>
    <row r="23" spans="1:6">
      <c r="A23" s="1290" t="s">
        <v>13</v>
      </c>
      <c r="B23" s="1291">
        <v>92</v>
      </c>
      <c r="C23" s="331"/>
      <c r="D23" s="331"/>
      <c r="E23" s="331"/>
      <c r="F23" s="331"/>
    </row>
    <row r="24" spans="1:6">
      <c r="A24" s="1290" t="s">
        <v>14</v>
      </c>
      <c r="B24" s="1291">
        <v>8</v>
      </c>
      <c r="C24" s="331"/>
      <c r="D24" s="331"/>
      <c r="E24" s="331"/>
      <c r="F24" s="331"/>
    </row>
    <row r="25" spans="1:6">
      <c r="A25" s="1290" t="s">
        <v>15</v>
      </c>
      <c r="B25" s="1291">
        <v>617</v>
      </c>
      <c r="C25" s="331"/>
      <c r="D25" s="331"/>
      <c r="E25" s="331"/>
      <c r="F25" s="331"/>
    </row>
    <row r="26" spans="1:6">
      <c r="A26" s="1290" t="s">
        <v>16</v>
      </c>
      <c r="B26" s="1291">
        <v>332</v>
      </c>
      <c r="C26" s="331"/>
      <c r="D26" s="331"/>
      <c r="E26" s="331"/>
      <c r="F26" s="331"/>
    </row>
    <row r="27" spans="1:6">
      <c r="A27" s="1290" t="s">
        <v>17</v>
      </c>
      <c r="B27" s="1291">
        <v>9</v>
      </c>
      <c r="C27" s="331"/>
      <c r="D27" s="331"/>
      <c r="E27" s="331"/>
      <c r="F27" s="331"/>
    </row>
    <row r="28" spans="1:6" s="43" customFormat="1">
      <c r="A28" s="1292" t="s">
        <v>18</v>
      </c>
      <c r="B28" s="1293">
        <v>4038</v>
      </c>
      <c r="C28" s="337"/>
      <c r="D28" s="337"/>
      <c r="E28" s="337"/>
      <c r="F28" s="337"/>
    </row>
    <row r="29" spans="1:6">
      <c r="A29" s="1292" t="s">
        <v>966</v>
      </c>
      <c r="B29" s="1293">
        <v>511</v>
      </c>
      <c r="C29" s="337"/>
      <c r="D29" s="337"/>
      <c r="E29" s="337"/>
      <c r="F29" s="337"/>
    </row>
    <row r="30" spans="1:6">
      <c r="A30" s="1285" t="s">
        <v>967</v>
      </c>
      <c r="B30" s="1294">
        <v>92</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9</v>
      </c>
      <c r="F35" s="1291">
        <v>116560.748303606</v>
      </c>
    </row>
    <row r="36" spans="1:6">
      <c r="A36" s="1290" t="s">
        <v>24</v>
      </c>
      <c r="B36" s="1290" t="s">
        <v>26</v>
      </c>
      <c r="C36" s="1291">
        <v>10</v>
      </c>
      <c r="D36" s="1291">
        <v>1217643.2769148301</v>
      </c>
      <c r="E36" s="1291">
        <v>31</v>
      </c>
      <c r="F36" s="1291">
        <v>9737696.7678835206</v>
      </c>
    </row>
    <row r="37" spans="1:6">
      <c r="A37" s="1290" t="s">
        <v>24</v>
      </c>
      <c r="B37" s="1290" t="s">
        <v>27</v>
      </c>
      <c r="C37" s="1291">
        <v>0</v>
      </c>
      <c r="D37" s="1291">
        <v>0</v>
      </c>
      <c r="E37" s="1291">
        <v>3</v>
      </c>
      <c r="F37" s="1291">
        <v>89699.894752915003</v>
      </c>
    </row>
    <row r="38" spans="1:6">
      <c r="A38" s="1290" t="s">
        <v>24</v>
      </c>
      <c r="B38" s="1290" t="s">
        <v>28</v>
      </c>
      <c r="C38" s="1291">
        <v>2</v>
      </c>
      <c r="D38" s="1291">
        <v>49360.257725540003</v>
      </c>
      <c r="E38" s="1291">
        <v>18</v>
      </c>
      <c r="F38" s="1291">
        <v>1006544.37382038</v>
      </c>
    </row>
    <row r="39" spans="1:6">
      <c r="A39" s="1290" t="s">
        <v>29</v>
      </c>
      <c r="B39" s="1290" t="s">
        <v>30</v>
      </c>
      <c r="C39" s="1291">
        <v>83978</v>
      </c>
      <c r="D39" s="1291">
        <v>1178447085.3974066</v>
      </c>
      <c r="E39" s="1291">
        <v>114161</v>
      </c>
      <c r="F39" s="1291">
        <v>388835521.0346902</v>
      </c>
    </row>
    <row r="40" spans="1:6">
      <c r="A40" s="1290" t="s">
        <v>29</v>
      </c>
      <c r="B40" s="1290" t="s">
        <v>28</v>
      </c>
      <c r="C40" s="1291">
        <v>2</v>
      </c>
      <c r="D40" s="1291">
        <v>201086.126085411</v>
      </c>
      <c r="E40" s="1291">
        <v>2</v>
      </c>
      <c r="F40" s="1291">
        <v>13017.727848787201</v>
      </c>
    </row>
    <row r="41" spans="1:6">
      <c r="A41" s="1290" t="s">
        <v>31</v>
      </c>
      <c r="B41" s="1290" t="s">
        <v>32</v>
      </c>
      <c r="C41" s="1291">
        <v>692</v>
      </c>
      <c r="D41" s="1291">
        <v>27914685.0896575</v>
      </c>
      <c r="E41" s="1291">
        <v>1462</v>
      </c>
      <c r="F41" s="1291">
        <v>41524900.985818498</v>
      </c>
    </row>
    <row r="42" spans="1:6">
      <c r="A42" s="1290" t="s">
        <v>31</v>
      </c>
      <c r="B42" s="1290" t="s">
        <v>33</v>
      </c>
      <c r="C42" s="1291">
        <v>7</v>
      </c>
      <c r="D42" s="1291">
        <v>7430332.0676394803</v>
      </c>
      <c r="E42" s="1291">
        <v>17</v>
      </c>
      <c r="F42" s="1291">
        <v>19096918.130606402</v>
      </c>
    </row>
    <row r="43" spans="1:6">
      <c r="A43" s="1290" t="s">
        <v>31</v>
      </c>
      <c r="B43" s="1290" t="s">
        <v>34</v>
      </c>
      <c r="C43" s="1291">
        <v>0</v>
      </c>
      <c r="D43" s="1291">
        <v>0</v>
      </c>
      <c r="E43" s="1291">
        <v>0</v>
      </c>
      <c r="F43" s="1291">
        <v>0</v>
      </c>
    </row>
    <row r="44" spans="1:6">
      <c r="A44" s="1290" t="s">
        <v>31</v>
      </c>
      <c r="B44" s="1290" t="s">
        <v>35</v>
      </c>
      <c r="C44" s="1291">
        <v>62</v>
      </c>
      <c r="D44" s="1291">
        <v>47303379.227868699</v>
      </c>
      <c r="E44" s="1291">
        <v>95</v>
      </c>
      <c r="F44" s="1291">
        <v>47960187.779075801</v>
      </c>
    </row>
    <row r="45" spans="1:6">
      <c r="A45" s="1290" t="s">
        <v>31</v>
      </c>
      <c r="B45" s="1290" t="s">
        <v>36</v>
      </c>
      <c r="C45" s="1291">
        <v>3</v>
      </c>
      <c r="D45" s="1291">
        <v>170429.39476806001</v>
      </c>
      <c r="E45" s="1291">
        <v>22</v>
      </c>
      <c r="F45" s="1291">
        <v>19944999.8752928</v>
      </c>
    </row>
    <row r="46" spans="1:6">
      <c r="A46" s="1290" t="s">
        <v>31</v>
      </c>
      <c r="B46" s="1290" t="s">
        <v>37</v>
      </c>
      <c r="C46" s="1291">
        <v>0</v>
      </c>
      <c r="D46" s="1291">
        <v>0</v>
      </c>
      <c r="E46" s="1291">
        <v>0</v>
      </c>
      <c r="F46" s="1291">
        <v>0</v>
      </c>
    </row>
    <row r="47" spans="1:6">
      <c r="A47" s="1290" t="s">
        <v>31</v>
      </c>
      <c r="B47" s="1290" t="s">
        <v>38</v>
      </c>
      <c r="C47" s="1291">
        <v>84</v>
      </c>
      <c r="D47" s="1291">
        <v>2886261.3487648899</v>
      </c>
      <c r="E47" s="1291">
        <v>126</v>
      </c>
      <c r="F47" s="1291">
        <v>14446051.3159684</v>
      </c>
    </row>
    <row r="48" spans="1:6">
      <c r="A48" s="1290" t="s">
        <v>31</v>
      </c>
      <c r="B48" s="1290" t="s">
        <v>28</v>
      </c>
      <c r="C48" s="1291">
        <v>253</v>
      </c>
      <c r="D48" s="1291">
        <v>188261862.45546499</v>
      </c>
      <c r="E48" s="1291">
        <v>333</v>
      </c>
      <c r="F48" s="1291">
        <v>191527723.42153299</v>
      </c>
    </row>
    <row r="49" spans="1:6">
      <c r="A49" s="1290" t="s">
        <v>31</v>
      </c>
      <c r="B49" s="1290" t="s">
        <v>39</v>
      </c>
      <c r="C49" s="1291">
        <v>23</v>
      </c>
      <c r="D49" s="1291">
        <v>982893.51175362198</v>
      </c>
      <c r="E49" s="1291">
        <v>28</v>
      </c>
      <c r="F49" s="1291">
        <v>497552.00584450603</v>
      </c>
    </row>
    <row r="50" spans="1:6">
      <c r="A50" s="1290" t="s">
        <v>31</v>
      </c>
      <c r="B50" s="1290" t="s">
        <v>40</v>
      </c>
      <c r="C50" s="1291">
        <v>155</v>
      </c>
      <c r="D50" s="1291">
        <v>25906593.418896601</v>
      </c>
      <c r="E50" s="1291">
        <v>228</v>
      </c>
      <c r="F50" s="1291">
        <v>31093667.364531402</v>
      </c>
    </row>
    <row r="51" spans="1:6">
      <c r="A51" s="1290" t="s">
        <v>41</v>
      </c>
      <c r="B51" s="1290" t="s">
        <v>42</v>
      </c>
      <c r="C51" s="1291">
        <v>63</v>
      </c>
      <c r="D51" s="1291">
        <v>3626485.52107094</v>
      </c>
      <c r="E51" s="1291">
        <v>241</v>
      </c>
      <c r="F51" s="1291">
        <v>2712095.7699851901</v>
      </c>
    </row>
    <row r="52" spans="1:6">
      <c r="A52" s="1290" t="s">
        <v>41</v>
      </c>
      <c r="B52" s="1290" t="s">
        <v>28</v>
      </c>
      <c r="C52" s="1291">
        <v>33</v>
      </c>
      <c r="D52" s="1291">
        <v>1605079.19362495</v>
      </c>
      <c r="E52" s="1291">
        <v>49</v>
      </c>
      <c r="F52" s="1291">
        <v>421523.41447596002</v>
      </c>
    </row>
    <row r="53" spans="1:6">
      <c r="A53" s="1290" t="s">
        <v>43</v>
      </c>
      <c r="B53" s="1290" t="s">
        <v>44</v>
      </c>
      <c r="C53" s="1291">
        <v>3876</v>
      </c>
      <c r="D53" s="1291">
        <v>77298509.956346303</v>
      </c>
      <c r="E53" s="1291">
        <v>6023</v>
      </c>
      <c r="F53" s="1291">
        <v>29930098.823400099</v>
      </c>
    </row>
    <row r="54" spans="1:6">
      <c r="A54" s="1290" t="s">
        <v>45</v>
      </c>
      <c r="B54" s="1290" t="s">
        <v>46</v>
      </c>
      <c r="C54" s="1291">
        <v>0</v>
      </c>
      <c r="D54" s="1291">
        <v>0</v>
      </c>
      <c r="E54" s="1291">
        <v>12</v>
      </c>
      <c r="F54" s="1291">
        <v>17125183</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823</v>
      </c>
      <c r="D57" s="1291">
        <v>45160021.862963103</v>
      </c>
      <c r="E57" s="1291">
        <v>1244</v>
      </c>
      <c r="F57" s="1291">
        <v>41166940.403316602</v>
      </c>
    </row>
    <row r="58" spans="1:6">
      <c r="A58" s="1290" t="s">
        <v>48</v>
      </c>
      <c r="B58" s="1290" t="s">
        <v>50</v>
      </c>
      <c r="C58" s="1291">
        <v>515</v>
      </c>
      <c r="D58" s="1291">
        <v>82695834.230557606</v>
      </c>
      <c r="E58" s="1291">
        <v>762</v>
      </c>
      <c r="F58" s="1291">
        <v>65867272.502354003</v>
      </c>
    </row>
    <row r="59" spans="1:6">
      <c r="A59" s="1290" t="s">
        <v>48</v>
      </c>
      <c r="B59" s="1290" t="s">
        <v>51</v>
      </c>
      <c r="C59" s="1291">
        <v>1952</v>
      </c>
      <c r="D59" s="1291">
        <v>82759478.244120702</v>
      </c>
      <c r="E59" s="1291">
        <v>3444</v>
      </c>
      <c r="F59" s="1291">
        <v>164930274.131632</v>
      </c>
    </row>
    <row r="60" spans="1:6">
      <c r="A60" s="1290" t="s">
        <v>48</v>
      </c>
      <c r="B60" s="1290" t="s">
        <v>52</v>
      </c>
      <c r="C60" s="1291">
        <v>1490</v>
      </c>
      <c r="D60" s="1291">
        <v>140223535.345431</v>
      </c>
      <c r="E60" s="1291">
        <v>2114</v>
      </c>
      <c r="F60" s="1291">
        <v>72219962.238734394</v>
      </c>
    </row>
    <row r="61" spans="1:6">
      <c r="A61" s="1290" t="s">
        <v>48</v>
      </c>
      <c r="B61" s="1290" t="s">
        <v>53</v>
      </c>
      <c r="C61" s="1291">
        <v>4008</v>
      </c>
      <c r="D61" s="1291">
        <v>279061265.733266</v>
      </c>
      <c r="E61" s="1291">
        <v>7757</v>
      </c>
      <c r="F61" s="1291">
        <v>239985956.443297</v>
      </c>
    </row>
    <row r="62" spans="1:6">
      <c r="A62" s="1290" t="s">
        <v>48</v>
      </c>
      <c r="B62" s="1290" t="s">
        <v>54</v>
      </c>
      <c r="C62" s="1291">
        <v>238</v>
      </c>
      <c r="D62" s="1291">
        <v>84299057.826777607</v>
      </c>
      <c r="E62" s="1291">
        <v>259</v>
      </c>
      <c r="F62" s="1291">
        <v>66860877.571297899</v>
      </c>
    </row>
    <row r="63" spans="1:6">
      <c r="A63" s="1290" t="s">
        <v>48</v>
      </c>
      <c r="B63" s="1290" t="s">
        <v>28</v>
      </c>
      <c r="C63" s="1291">
        <v>794</v>
      </c>
      <c r="D63" s="1291">
        <v>163842862.13451701</v>
      </c>
      <c r="E63" s="1291">
        <v>898</v>
      </c>
      <c r="F63" s="1291">
        <v>83830563.975376606</v>
      </c>
    </row>
    <row r="64" spans="1:6">
      <c r="A64" s="1290" t="s">
        <v>55</v>
      </c>
      <c r="B64" s="1290" t="s">
        <v>56</v>
      </c>
      <c r="C64" s="1291">
        <v>0</v>
      </c>
      <c r="D64" s="1291">
        <v>0</v>
      </c>
      <c r="E64" s="1291">
        <v>0</v>
      </c>
      <c r="F64" s="1291">
        <v>0</v>
      </c>
    </row>
    <row r="65" spans="1:6">
      <c r="A65" s="1290" t="s">
        <v>55</v>
      </c>
      <c r="B65" s="1290" t="s">
        <v>28</v>
      </c>
      <c r="C65" s="1291">
        <v>21</v>
      </c>
      <c r="D65" s="1291">
        <v>620389.718920441</v>
      </c>
      <c r="E65" s="1291">
        <v>19</v>
      </c>
      <c r="F65" s="1291">
        <v>666457.41446557106</v>
      </c>
    </row>
    <row r="66" spans="1:6">
      <c r="A66" s="1290" t="s">
        <v>55</v>
      </c>
      <c r="B66" s="1290" t="s">
        <v>57</v>
      </c>
      <c r="C66" s="1291">
        <v>0</v>
      </c>
      <c r="D66" s="1291">
        <v>0</v>
      </c>
      <c r="E66" s="1291">
        <v>6</v>
      </c>
      <c r="F66" s="1291">
        <v>82991.784858054103</v>
      </c>
    </row>
    <row r="67" spans="1:6">
      <c r="A67" s="1292" t="s">
        <v>55</v>
      </c>
      <c r="B67" s="1292" t="s">
        <v>58</v>
      </c>
      <c r="C67" s="1291">
        <v>0</v>
      </c>
      <c r="D67" s="1291">
        <v>0</v>
      </c>
      <c r="E67" s="1291">
        <v>0</v>
      </c>
      <c r="F67" s="1291">
        <v>0</v>
      </c>
    </row>
    <row r="68" spans="1:6">
      <c r="A68" s="1285" t="s">
        <v>55</v>
      </c>
      <c r="B68" s="1285" t="s">
        <v>59</v>
      </c>
      <c r="C68" s="1294">
        <v>32</v>
      </c>
      <c r="D68" s="1294">
        <v>2851440.2147172899</v>
      </c>
      <c r="E68" s="1294">
        <v>122</v>
      </c>
      <c r="F68" s="1294">
        <v>14444750.7249885</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601533342</v>
      </c>
      <c r="E73" s="455"/>
      <c r="F73" s="331"/>
    </row>
    <row r="74" spans="1:6">
      <c r="A74" s="1290" t="s">
        <v>63</v>
      </c>
      <c r="B74" s="1290" t="s">
        <v>773</v>
      </c>
      <c r="C74" s="1304" t="s">
        <v>774</v>
      </c>
      <c r="D74" s="1305">
        <v>87291982.601166666</v>
      </c>
      <c r="E74" s="455"/>
      <c r="F74" s="331"/>
    </row>
    <row r="75" spans="1:6">
      <c r="A75" s="1290" t="s">
        <v>64</v>
      </c>
      <c r="B75" s="1290" t="s">
        <v>771</v>
      </c>
      <c r="C75" s="1304" t="s">
        <v>775</v>
      </c>
      <c r="D75" s="1305">
        <v>371880662</v>
      </c>
      <c r="E75" s="455"/>
      <c r="F75" s="331"/>
    </row>
    <row r="76" spans="1:6">
      <c r="A76" s="1290" t="s">
        <v>64</v>
      </c>
      <c r="B76" s="1290" t="s">
        <v>773</v>
      </c>
      <c r="C76" s="1304" t="s">
        <v>776</v>
      </c>
      <c r="D76" s="1305">
        <v>28505272.601166666</v>
      </c>
      <c r="E76" s="455"/>
      <c r="F76" s="331"/>
    </row>
    <row r="77" spans="1:6">
      <c r="A77" s="1290" t="s">
        <v>65</v>
      </c>
      <c r="B77" s="1290" t="s">
        <v>771</v>
      </c>
      <c r="C77" s="1304" t="s">
        <v>777</v>
      </c>
      <c r="D77" s="1305">
        <v>948024333</v>
      </c>
      <c r="E77" s="455"/>
      <c r="F77" s="331"/>
    </row>
    <row r="78" spans="1:6">
      <c r="A78" s="1285" t="s">
        <v>65</v>
      </c>
      <c r="B78" s="1285" t="s">
        <v>773</v>
      </c>
      <c r="C78" s="1285" t="s">
        <v>778</v>
      </c>
      <c r="D78" s="1306">
        <v>152072838</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11301634.797666669</v>
      </c>
      <c r="C83" s="455"/>
      <c r="D83" s="331"/>
      <c r="E83" s="331"/>
      <c r="F83" s="331"/>
    </row>
    <row r="84" spans="1:6">
      <c r="A84" s="1285" t="s">
        <v>336</v>
      </c>
      <c r="B84" s="1306">
        <v>2629528.5954402657</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69626.263982426244</v>
      </c>
      <c r="C90" s="331"/>
      <c r="D90" s="331"/>
      <c r="E90" s="331"/>
      <c r="F90" s="331"/>
    </row>
    <row r="91" spans="1:6">
      <c r="A91" s="1290" t="s">
        <v>67</v>
      </c>
      <c r="B91" s="1291">
        <v>8744.1400669646009</v>
      </c>
      <c r="C91" s="331"/>
      <c r="D91" s="331"/>
      <c r="E91" s="331"/>
      <c r="F91" s="331"/>
    </row>
    <row r="92" spans="1:6">
      <c r="A92" s="1285" t="s">
        <v>68</v>
      </c>
      <c r="B92" s="1286">
        <v>18008.852375722294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62627</v>
      </c>
      <c r="C97" s="331"/>
      <c r="D97" s="331"/>
      <c r="E97" s="331"/>
      <c r="F97" s="331"/>
    </row>
    <row r="98" spans="1:6">
      <c r="A98" s="1290" t="s">
        <v>71</v>
      </c>
      <c r="B98" s="1291">
        <v>127</v>
      </c>
      <c r="C98" s="331"/>
      <c r="D98" s="331"/>
      <c r="E98" s="331"/>
      <c r="F98" s="331"/>
    </row>
    <row r="99" spans="1:6">
      <c r="A99" s="1290" t="s">
        <v>72</v>
      </c>
      <c r="B99" s="1291">
        <v>385</v>
      </c>
      <c r="C99" s="331"/>
      <c r="D99" s="331"/>
      <c r="E99" s="331"/>
      <c r="F99" s="331"/>
    </row>
    <row r="100" spans="1:6">
      <c r="A100" s="1290" t="s">
        <v>73</v>
      </c>
      <c r="B100" s="1291">
        <v>8623</v>
      </c>
      <c r="C100" s="331"/>
      <c r="D100" s="331"/>
      <c r="E100" s="331"/>
      <c r="F100" s="331"/>
    </row>
    <row r="101" spans="1:6">
      <c r="A101" s="1290" t="s">
        <v>74</v>
      </c>
      <c r="B101" s="1291">
        <v>396</v>
      </c>
      <c r="C101" s="331"/>
      <c r="D101" s="331"/>
      <c r="E101" s="331"/>
      <c r="F101" s="331"/>
    </row>
    <row r="102" spans="1:6">
      <c r="A102" s="1290" t="s">
        <v>75</v>
      </c>
      <c r="B102" s="1291">
        <v>4616</v>
      </c>
      <c r="C102" s="331"/>
      <c r="D102" s="331"/>
      <c r="E102" s="331"/>
      <c r="F102" s="331"/>
    </row>
    <row r="103" spans="1:6">
      <c r="A103" s="1290" t="s">
        <v>76</v>
      </c>
      <c r="B103" s="1291">
        <v>1823</v>
      </c>
      <c r="C103" s="331"/>
      <c r="D103" s="331"/>
      <c r="E103" s="331"/>
      <c r="F103" s="331"/>
    </row>
    <row r="104" spans="1:6">
      <c r="A104" s="1290" t="s">
        <v>77</v>
      </c>
      <c r="B104" s="1291">
        <v>21695</v>
      </c>
      <c r="C104" s="331"/>
      <c r="D104" s="331"/>
      <c r="E104" s="331"/>
      <c r="F104" s="331"/>
    </row>
    <row r="105" spans="1:6">
      <c r="A105" s="1285" t="s">
        <v>78</v>
      </c>
      <c r="B105" s="1294">
        <v>311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1</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27</v>
      </c>
      <c r="C123" s="1291">
        <v>106</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379</v>
      </c>
      <c r="C129" s="331"/>
      <c r="D129" s="331"/>
      <c r="E129" s="331"/>
      <c r="F129" s="331"/>
    </row>
    <row r="130" spans="1:6">
      <c r="A130" s="1290" t="s">
        <v>294</v>
      </c>
      <c r="B130" s="1291">
        <v>13</v>
      </c>
      <c r="C130" s="331"/>
      <c r="D130" s="331"/>
      <c r="E130" s="331"/>
      <c r="F130" s="331"/>
    </row>
    <row r="131" spans="1:6">
      <c r="A131" s="1290" t="s">
        <v>295</v>
      </c>
      <c r="B131" s="1291">
        <v>11</v>
      </c>
      <c r="C131" s="331"/>
      <c r="D131" s="331"/>
      <c r="E131" s="331"/>
      <c r="F131" s="331"/>
    </row>
    <row r="132" spans="1:6">
      <c r="A132" s="1285" t="s">
        <v>296</v>
      </c>
      <c r="B132" s="1286">
        <v>16</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1569816.9728101662</v>
      </c>
      <c r="C3" s="43" t="s">
        <v>169</v>
      </c>
      <c r="D3" s="43"/>
      <c r="E3" s="156"/>
      <c r="F3" s="43"/>
      <c r="G3" s="43"/>
      <c r="H3" s="43"/>
      <c r="I3" s="43"/>
      <c r="J3" s="43"/>
      <c r="K3" s="96"/>
    </row>
    <row r="4" spans="1:11">
      <c r="A4" s="362" t="s">
        <v>170</v>
      </c>
      <c r="B4" s="49">
        <f>IF(ISERROR('SEAP template'!B78+'SEAP template'!C78),0,'SEAP template'!B78+'SEAP template'!C78)</f>
        <v>108178.25642511314</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777.44117647058818</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0.20626582786777115</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874.62132352941182</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11183.0625</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7.8209463957606584E-2</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17125.183000000001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17125.183000000001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0.20626582786777115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3532.3400488820807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388848.53876253898</v>
      </c>
      <c r="C5" s="17">
        <f>IF(ISERROR('Eigen informatie GS &amp; warmtenet'!B57),0,'Eigen informatie GS &amp; warmtenet'!B57)</f>
        <v>0</v>
      </c>
      <c r="D5" s="30">
        <f>(SUM(HH_hh_gas_kWh,HH_rest_gas_kWh)/1000)*0.902</f>
        <v>1063140.65071419</v>
      </c>
      <c r="E5" s="17">
        <f>B46*B57</f>
        <v>85266.788853788268</v>
      </c>
      <c r="F5" s="17">
        <f>B51*B62</f>
        <v>56058.027140635197</v>
      </c>
      <c r="G5" s="18"/>
      <c r="H5" s="17"/>
      <c r="I5" s="17"/>
      <c r="J5" s="17">
        <f>B50*B61+C50*C61</f>
        <v>0</v>
      </c>
      <c r="K5" s="17"/>
      <c r="L5" s="17"/>
      <c r="M5" s="17"/>
      <c r="N5" s="17">
        <f>B48*B59+C48*C59</f>
        <v>77971.002601350046</v>
      </c>
      <c r="O5" s="17">
        <f>B69*B70*B71</f>
        <v>759.78000000000009</v>
      </c>
      <c r="P5" s="17">
        <f>B77*B78*B79/1000-B77*B78*B79/1000/B80</f>
        <v>819.86666666666667</v>
      </c>
    </row>
    <row r="6" spans="1:16">
      <c r="A6" s="16" t="s">
        <v>631</v>
      </c>
      <c r="B6" s="776">
        <f>kWh_PV_kleiner_dan_10kW</f>
        <v>8744.1400669646009</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397592.67882950359</v>
      </c>
      <c r="C8" s="21">
        <f>C5</f>
        <v>0</v>
      </c>
      <c r="D8" s="21">
        <f>D5</f>
        <v>1063140.65071419</v>
      </c>
      <c r="E8" s="21">
        <f>E5</f>
        <v>85266.788853788268</v>
      </c>
      <c r="F8" s="21">
        <f>F5</f>
        <v>56058.027140635197</v>
      </c>
      <c r="G8" s="21"/>
      <c r="H8" s="21"/>
      <c r="I8" s="21"/>
      <c r="J8" s="21">
        <f>J5</f>
        <v>0</v>
      </c>
      <c r="K8" s="21"/>
      <c r="L8" s="21">
        <f>L5</f>
        <v>0</v>
      </c>
      <c r="M8" s="21">
        <f>M5</f>
        <v>0</v>
      </c>
      <c r="N8" s="21">
        <f>N5</f>
        <v>77971.002601350046</v>
      </c>
      <c r="O8" s="21">
        <f>O5</f>
        <v>759.78000000000009</v>
      </c>
      <c r="P8" s="21">
        <f>P5</f>
        <v>819.86666666666667</v>
      </c>
    </row>
    <row r="9" spans="1:16">
      <c r="B9" s="19"/>
      <c r="C9" s="19"/>
      <c r="D9" s="260"/>
      <c r="E9" s="19"/>
      <c r="F9" s="19"/>
      <c r="G9" s="19"/>
      <c r="H9" s="19"/>
      <c r="I9" s="19"/>
      <c r="J9" s="19"/>
      <c r="K9" s="19"/>
      <c r="L9" s="19"/>
      <c r="M9" s="19"/>
      <c r="N9" s="19"/>
      <c r="O9" s="19"/>
      <c r="P9" s="19"/>
    </row>
    <row r="10" spans="1:16">
      <c r="A10" s="24" t="s">
        <v>213</v>
      </c>
      <c r="B10" s="25">
        <f ca="1">'EF ele_warmte'!B12</f>
        <v>0.20626582786777115</v>
      </c>
      <c r="C10" s="25">
        <f ca="1">'EF ele_warmte'!B22</f>
        <v>7.8209463957606584E-2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82009.783052932398</v>
      </c>
      <c r="C12" s="23">
        <f ca="1">C10*C8</f>
        <v>0</v>
      </c>
      <c r="D12" s="23">
        <f>D8*D10</f>
        <v>214754.41144426638</v>
      </c>
      <c r="E12" s="23">
        <f>E10*E8</f>
        <v>19355.561069809937</v>
      </c>
      <c r="F12" s="23">
        <f>F10*F8</f>
        <v>14967.493246549599</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62627</v>
      </c>
      <c r="C18" s="167" t="s">
        <v>110</v>
      </c>
      <c r="D18" s="229"/>
      <c r="E18" s="15"/>
    </row>
    <row r="19" spans="1:7">
      <c r="A19" s="172" t="s">
        <v>71</v>
      </c>
      <c r="B19" s="37">
        <f>aantalw2001_ander</f>
        <v>127</v>
      </c>
      <c r="C19" s="167" t="s">
        <v>110</v>
      </c>
      <c r="D19" s="230"/>
      <c r="E19" s="15"/>
    </row>
    <row r="20" spans="1:7">
      <c r="A20" s="172" t="s">
        <v>72</v>
      </c>
      <c r="B20" s="37">
        <f>aantalw2001_propaan</f>
        <v>385</v>
      </c>
      <c r="C20" s="168">
        <f>IF(ISERROR(B20/SUM($B$20,$B$21,$B$22)*100),0,B20/SUM($B$20,$B$21,$B$22)*100)</f>
        <v>4.0940025521054872</v>
      </c>
      <c r="D20" s="230"/>
      <c r="E20" s="15"/>
    </row>
    <row r="21" spans="1:7">
      <c r="A21" s="172" t="s">
        <v>73</v>
      </c>
      <c r="B21" s="37">
        <f>aantalw2001_elektriciteit</f>
        <v>8623</v>
      </c>
      <c r="C21" s="168">
        <f>IF(ISERROR(B21/SUM($B$20,$B$21,$B$22)*100),0,B21/SUM($B$20,$B$21,$B$22)*100)</f>
        <v>91.695023394300307</v>
      </c>
      <c r="D21" s="230"/>
      <c r="E21" s="15"/>
    </row>
    <row r="22" spans="1:7">
      <c r="A22" s="172" t="s">
        <v>74</v>
      </c>
      <c r="B22" s="37">
        <f>aantalw2001_hout</f>
        <v>396</v>
      </c>
      <c r="C22" s="168">
        <f>IF(ISERROR(B22/SUM($B$20,$B$21,$B$22)*100),0,B22/SUM($B$20,$B$21,$B$22)*100)</f>
        <v>4.2109740535942155</v>
      </c>
      <c r="D22" s="230"/>
      <c r="E22" s="15"/>
    </row>
    <row r="23" spans="1:7">
      <c r="A23" s="172" t="s">
        <v>75</v>
      </c>
      <c r="B23" s="37">
        <f>aantalw2001_niet_gespec</f>
        <v>4616</v>
      </c>
      <c r="C23" s="167" t="s">
        <v>110</v>
      </c>
      <c r="D23" s="229"/>
      <c r="E23" s="15"/>
    </row>
    <row r="24" spans="1:7">
      <c r="A24" s="172" t="s">
        <v>76</v>
      </c>
      <c r="B24" s="37">
        <f>aantalw2001_steenkool</f>
        <v>1823</v>
      </c>
      <c r="C24" s="167" t="s">
        <v>110</v>
      </c>
      <c r="D24" s="230"/>
      <c r="E24" s="15"/>
    </row>
    <row r="25" spans="1:7">
      <c r="A25" s="172" t="s">
        <v>77</v>
      </c>
      <c r="B25" s="37">
        <f>aantalw2001_stookolie</f>
        <v>21695</v>
      </c>
      <c r="C25" s="167" t="s">
        <v>110</v>
      </c>
      <c r="D25" s="229"/>
      <c r="E25" s="52"/>
    </row>
    <row r="26" spans="1:7">
      <c r="A26" s="172" t="s">
        <v>78</v>
      </c>
      <c r="B26" s="37">
        <f>aantalw2001_WP</f>
        <v>311</v>
      </c>
      <c r="C26" s="167" t="s">
        <v>110</v>
      </c>
      <c r="D26" s="229"/>
      <c r="E26" s="15"/>
    </row>
    <row r="27" spans="1:7" s="15" customFormat="1">
      <c r="A27" s="172"/>
      <c r="B27" s="29"/>
      <c r="C27" s="36"/>
      <c r="D27" s="229"/>
    </row>
    <row r="28" spans="1:7" s="15" customFormat="1">
      <c r="A28" s="231" t="s">
        <v>711</v>
      </c>
      <c r="B28" s="37">
        <f>aantalHuishoudens</f>
        <v>117091</v>
      </c>
      <c r="C28" s="36"/>
      <c r="D28" s="229"/>
    </row>
    <row r="29" spans="1:7" s="15" customFormat="1">
      <c r="A29" s="231" t="s">
        <v>712</v>
      </c>
      <c r="B29" s="37">
        <f>SUM(HH_hh_gas_aantal,HH_rest_gas_aantal)</f>
        <v>83980</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83980</v>
      </c>
      <c r="C32" s="168">
        <f>IF(ISERROR(B32/SUM($B$32,$B$34,$B$35,$B$36,$B$38,$B$39)*100),0,B32/SUM($B$32,$B$34,$B$35,$B$36,$B$38,$B$39)*100)</f>
        <v>71.748342560317127</v>
      </c>
      <c r="D32" s="234"/>
      <c r="G32" s="15"/>
    </row>
    <row r="33" spans="1:7">
      <c r="A33" s="172" t="s">
        <v>71</v>
      </c>
      <c r="B33" s="34" t="s">
        <v>110</v>
      </c>
      <c r="C33" s="168"/>
      <c r="D33" s="234"/>
      <c r="G33" s="15"/>
    </row>
    <row r="34" spans="1:7">
      <c r="A34" s="172" t="s">
        <v>72</v>
      </c>
      <c r="B34" s="33">
        <f>IF((($B$28-$B$32-$B$39-$B$77-$B$38)*C20/100)&lt;0,0,($B$28-$B$32-$B$39-$B$77-$B$38)*C20/100)</f>
        <v>1252.3840387069333</v>
      </c>
      <c r="C34" s="168">
        <f>IF(ISERROR(B34/SUM($B$32,$B$34,$B$35,$B$36,$B$38,$B$39)*100),0,B34/SUM($B$32,$B$34,$B$35,$B$36,$B$38,$B$39)*100)</f>
        <v>1.069974744298863</v>
      </c>
      <c r="D34" s="234"/>
      <c r="G34" s="15"/>
    </row>
    <row r="35" spans="1:7">
      <c r="A35" s="172" t="s">
        <v>73</v>
      </c>
      <c r="B35" s="33">
        <f>IF((($B$28-$B$32-$B$39-$B$77-$B$38)*C21/100)&lt;0,0,($B$28-$B$32-$B$39-$B$77-$B$38)*C21/100)</f>
        <v>28050.149521480227</v>
      </c>
      <c r="C35" s="168">
        <f>IF(ISERROR(B35/SUM($B$32,$B$34,$B$35,$B$36,$B$38,$B$39)*100),0,B35/SUM($B$32,$B$34,$B$35,$B$36,$B$38,$B$39)*100)</f>
        <v>23.964655117114535</v>
      </c>
      <c r="D35" s="234"/>
      <c r="G35" s="15"/>
    </row>
    <row r="36" spans="1:7">
      <c r="A36" s="172" t="s">
        <v>74</v>
      </c>
      <c r="B36" s="33">
        <f>IF((($B$28-$B$32-$B$39-$B$77-$B$38)*C22/100)&lt;0,0,($B$28-$B$32-$B$39-$B$77-$B$38)*C22/100)</f>
        <v>1288.1664398128457</v>
      </c>
      <c r="C36" s="168">
        <f>IF(ISERROR(B36/SUM($B$32,$B$34,$B$35,$B$36,$B$38,$B$39)*100),0,B36/SUM($B$32,$B$34,$B$35,$B$36,$B$38,$B$39)*100)</f>
        <v>1.1005454512788306</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2477.2999999999993</v>
      </c>
      <c r="C39" s="168">
        <f>IF(ISERROR(B39/SUM($B$32,$B$34,$B$35,$B$36,$B$38,$B$39)*100),0,B39/SUM($B$32,$B$34,$B$35,$B$36,$B$38,$B$39)*100)</f>
        <v>2.1164821269906353</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83980</v>
      </c>
      <c r="C44" s="34" t="s">
        <v>110</v>
      </c>
      <c r="D44" s="175"/>
    </row>
    <row r="45" spans="1:7">
      <c r="A45" s="172" t="s">
        <v>71</v>
      </c>
      <c r="B45" s="33" t="str">
        <f t="shared" si="0"/>
        <v>-</v>
      </c>
      <c r="C45" s="34" t="s">
        <v>110</v>
      </c>
      <c r="D45" s="175"/>
    </row>
    <row r="46" spans="1:7">
      <c r="A46" s="172" t="s">
        <v>72</v>
      </c>
      <c r="B46" s="33">
        <f t="shared" si="0"/>
        <v>1252.3840387069333</v>
      </c>
      <c r="C46" s="34" t="s">
        <v>110</v>
      </c>
      <c r="D46" s="175"/>
    </row>
    <row r="47" spans="1:7">
      <c r="A47" s="172" t="s">
        <v>73</v>
      </c>
      <c r="B47" s="33">
        <f t="shared" si="0"/>
        <v>28050.149521480227</v>
      </c>
      <c r="C47" s="34" t="s">
        <v>110</v>
      </c>
      <c r="D47" s="175"/>
    </row>
    <row r="48" spans="1:7">
      <c r="A48" s="172" t="s">
        <v>74</v>
      </c>
      <c r="B48" s="33">
        <f t="shared" si="0"/>
        <v>1288.1664398128457</v>
      </c>
      <c r="C48" s="33">
        <f>B48*10</f>
        <v>12881.664398128458</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2477.2999999999993</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486</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43</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734861.84726600861</v>
      </c>
      <c r="C5" s="17">
        <f>IF(ISERROR('Eigen informatie GS &amp; warmtenet'!B58),0,'Eigen informatie GS &amp; warmtenet'!B58)</f>
        <v>0</v>
      </c>
      <c r="D5" s="30">
        <f>SUM(D6:D12)</f>
        <v>791993.93395062489</v>
      </c>
      <c r="E5" s="17">
        <f>SUM(E6:E12)</f>
        <v>15448.480227612739</v>
      </c>
      <c r="F5" s="17">
        <f>SUM(F6:F12)</f>
        <v>166459.37851977578</v>
      </c>
      <c r="G5" s="18"/>
      <c r="H5" s="17"/>
      <c r="I5" s="17"/>
      <c r="J5" s="17">
        <f>SUM(J6:J12)</f>
        <v>0</v>
      </c>
      <c r="K5" s="17"/>
      <c r="L5" s="17"/>
      <c r="M5" s="17"/>
      <c r="N5" s="17">
        <f>SUM(N6:N12)</f>
        <v>14564.220884834609</v>
      </c>
      <c r="O5" s="17">
        <f>B38*B39*B40</f>
        <v>20.323333333333334</v>
      </c>
      <c r="P5" s="17">
        <f>B46*B47*B48/1000-B46*B47*B48/1000/B49</f>
        <v>209.73333333333335</v>
      </c>
      <c r="R5" s="32"/>
    </row>
    <row r="6" spans="1:18">
      <c r="A6" s="32" t="s">
        <v>53</v>
      </c>
      <c r="B6" s="37">
        <f>B26</f>
        <v>239985.95644329701</v>
      </c>
      <c r="C6" s="33"/>
      <c r="D6" s="37">
        <f>IF(ISERROR(TER_kantoor_gas_kWh/1000),0,TER_kantoor_gas_kWh/1000)*0.902</f>
        <v>251713.26169140596</v>
      </c>
      <c r="E6" s="33">
        <f>$C$26*'E Balans VL '!I12/100/3.6*1000000</f>
        <v>8400.4525194640592</v>
      </c>
      <c r="F6" s="33">
        <f>$C$26*('E Balans VL '!L12+'E Balans VL '!N12)/100/3.6*1000000</f>
        <v>36387.023444799299</v>
      </c>
      <c r="G6" s="34"/>
      <c r="H6" s="33"/>
      <c r="I6" s="33"/>
      <c r="J6" s="33">
        <f>$C$26*('E Balans VL '!D12+'E Balans VL '!E12)/100/3.6*1000000</f>
        <v>0</v>
      </c>
      <c r="K6" s="33"/>
      <c r="L6" s="33"/>
      <c r="M6" s="33"/>
      <c r="N6" s="33">
        <f>$C$26*'E Balans VL '!Y12/100/3.6*1000000</f>
        <v>1855.0163297695365</v>
      </c>
      <c r="O6" s="33"/>
      <c r="P6" s="33"/>
      <c r="R6" s="32"/>
    </row>
    <row r="7" spans="1:18">
      <c r="A7" s="32" t="s">
        <v>52</v>
      </c>
      <c r="B7" s="37">
        <f t="shared" ref="B7:B12" si="0">B27</f>
        <v>72219.962238734399</v>
      </c>
      <c r="C7" s="33"/>
      <c r="D7" s="37">
        <f>IF(ISERROR(TER_horeca_gas_kWh/1000),0,TER_horeca_gas_kWh/1000)*0.902</f>
        <v>126481.62888157877</v>
      </c>
      <c r="E7" s="33">
        <f>$C$27*'E Balans VL '!I9/100/3.6*1000000</f>
        <v>4074.1661618917574</v>
      </c>
      <c r="F7" s="33">
        <f>$C$27*('E Balans VL '!L9+'E Balans VL '!N9)/100/3.6*1000000</f>
        <v>12581.11709239009</v>
      </c>
      <c r="G7" s="34"/>
      <c r="H7" s="33"/>
      <c r="I7" s="33"/>
      <c r="J7" s="33">
        <f>$C$27*('E Balans VL '!D9+'E Balans VL '!E9)/100/3.6*1000000</f>
        <v>0</v>
      </c>
      <c r="K7" s="33"/>
      <c r="L7" s="33"/>
      <c r="M7" s="33"/>
      <c r="N7" s="33">
        <f>$C$27*'E Balans VL '!Y9/100/3.6*1000000</f>
        <v>0</v>
      </c>
      <c r="O7" s="33"/>
      <c r="P7" s="33"/>
      <c r="R7" s="32"/>
    </row>
    <row r="8" spans="1:18">
      <c r="A8" s="6" t="s">
        <v>51</v>
      </c>
      <c r="B8" s="37">
        <f t="shared" si="0"/>
        <v>164930.274131632</v>
      </c>
      <c r="C8" s="33"/>
      <c r="D8" s="37">
        <f>IF(ISERROR(TER_handel_gas_kWh/1000),0,TER_handel_gas_kWh/1000)*0.902</f>
        <v>74649.049376196883</v>
      </c>
      <c r="E8" s="33">
        <f>$C$28*'E Balans VL '!I13/100/3.6*1000000</f>
        <v>846.73527071897513</v>
      </c>
      <c r="F8" s="33">
        <f>$C$28*('E Balans VL '!L13+'E Balans VL '!N13)/100/3.6*1000000</f>
        <v>25429.699836754113</v>
      </c>
      <c r="G8" s="34"/>
      <c r="H8" s="33"/>
      <c r="I8" s="33"/>
      <c r="J8" s="33">
        <f>$C$28*('E Balans VL '!D13+'E Balans VL '!E13)/100/3.6*1000000</f>
        <v>0</v>
      </c>
      <c r="K8" s="33"/>
      <c r="L8" s="33"/>
      <c r="M8" s="33"/>
      <c r="N8" s="33">
        <f>$C$28*'E Balans VL '!Y13/100/3.6*1000000</f>
        <v>77.139902456350399</v>
      </c>
      <c r="O8" s="33"/>
      <c r="P8" s="33"/>
      <c r="R8" s="32"/>
    </row>
    <row r="9" spans="1:18">
      <c r="A9" s="32" t="s">
        <v>50</v>
      </c>
      <c r="B9" s="37">
        <f t="shared" si="0"/>
        <v>65867.272502353997</v>
      </c>
      <c r="C9" s="33"/>
      <c r="D9" s="37">
        <f>IF(ISERROR(TER_gezond_gas_kWh/1000),0,TER_gezond_gas_kWh/1000)*0.902</f>
        <v>74591.642475962959</v>
      </c>
      <c r="E9" s="33">
        <f>$C$29*'E Balans VL '!I10/100/3.6*1000000</f>
        <v>27.301515362323055</v>
      </c>
      <c r="F9" s="33">
        <f>$C$29*('E Balans VL '!L10+'E Balans VL '!N10)/100/3.6*1000000</f>
        <v>16222.164554631168</v>
      </c>
      <c r="G9" s="34"/>
      <c r="H9" s="33"/>
      <c r="I9" s="33"/>
      <c r="J9" s="33">
        <f>$C$29*('E Balans VL '!D10+'E Balans VL '!E10)/100/3.6*1000000</f>
        <v>0</v>
      </c>
      <c r="K9" s="33"/>
      <c r="L9" s="33"/>
      <c r="M9" s="33"/>
      <c r="N9" s="33">
        <f>$C$29*'E Balans VL '!Y10/100/3.6*1000000</f>
        <v>569.25626416095315</v>
      </c>
      <c r="O9" s="33"/>
      <c r="P9" s="33"/>
      <c r="R9" s="32"/>
    </row>
    <row r="10" spans="1:18">
      <c r="A10" s="32" t="s">
        <v>49</v>
      </c>
      <c r="B10" s="37">
        <f t="shared" si="0"/>
        <v>41166.940403316599</v>
      </c>
      <c r="C10" s="33"/>
      <c r="D10" s="37">
        <f>IF(ISERROR(TER_ander_gas_kWh/1000),0,TER_ander_gas_kWh/1000)*0.902</f>
        <v>40734.339720392723</v>
      </c>
      <c r="E10" s="33">
        <f>$C$30*'E Balans VL '!I14/100/3.6*1000000</f>
        <v>250.95468439808357</v>
      </c>
      <c r="F10" s="33">
        <f>$C$30*('E Balans VL '!L14+'E Balans VL '!N14)/100/3.6*1000000</f>
        <v>10913.919824034179</v>
      </c>
      <c r="G10" s="34"/>
      <c r="H10" s="33"/>
      <c r="I10" s="33"/>
      <c r="J10" s="33">
        <f>$C$30*('E Balans VL '!D14+'E Balans VL '!E14)/100/3.6*1000000</f>
        <v>0</v>
      </c>
      <c r="K10" s="33"/>
      <c r="L10" s="33"/>
      <c r="M10" s="33"/>
      <c r="N10" s="33">
        <f>$C$30*'E Balans VL '!Y14/100/3.6*1000000</f>
        <v>9488.0902108571481</v>
      </c>
      <c r="O10" s="33"/>
      <c r="P10" s="33"/>
      <c r="R10" s="32"/>
    </row>
    <row r="11" spans="1:18">
      <c r="A11" s="32" t="s">
        <v>54</v>
      </c>
      <c r="B11" s="37">
        <f t="shared" si="0"/>
        <v>66860.877571297897</v>
      </c>
      <c r="C11" s="33"/>
      <c r="D11" s="37">
        <f>IF(ISERROR(TER_onderwijs_gas_kWh/1000),0,TER_onderwijs_gas_kWh/1000)*0.902</f>
        <v>76037.750159753399</v>
      </c>
      <c r="E11" s="33">
        <f>$C$31*'E Balans VL '!I11/100/3.6*1000000</f>
        <v>50.95147019200369</v>
      </c>
      <c r="F11" s="33">
        <f>$C$31*('E Balans VL '!L11+'E Balans VL '!N11)/100/3.6*1000000</f>
        <v>48384.195139138494</v>
      </c>
      <c r="G11" s="34"/>
      <c r="H11" s="33"/>
      <c r="I11" s="33"/>
      <c r="J11" s="33">
        <f>$C$31*('E Balans VL '!D11+'E Balans VL '!E11)/100/3.6*1000000</f>
        <v>0</v>
      </c>
      <c r="K11" s="33"/>
      <c r="L11" s="33"/>
      <c r="M11" s="33"/>
      <c r="N11" s="33">
        <f>$C$31*'E Balans VL '!Y11/100/3.6*1000000</f>
        <v>197.05498566117731</v>
      </c>
      <c r="O11" s="33"/>
      <c r="P11" s="33"/>
      <c r="R11" s="32"/>
    </row>
    <row r="12" spans="1:18">
      <c r="A12" s="32" t="s">
        <v>259</v>
      </c>
      <c r="B12" s="37">
        <f t="shared" si="0"/>
        <v>83830.563975376601</v>
      </c>
      <c r="C12" s="33"/>
      <c r="D12" s="37">
        <f>IF(ISERROR(TER_rest_gas_kWh/1000),0,TER_rest_gas_kWh/1000)*0.902</f>
        <v>147786.26164533437</v>
      </c>
      <c r="E12" s="33">
        <f>$C$32*'E Balans VL '!I8/100/3.6*1000000</f>
        <v>1797.9186055855366</v>
      </c>
      <c r="F12" s="33">
        <f>$C$32*('E Balans VL '!L8+'E Balans VL '!N8)/100/3.6*1000000</f>
        <v>16541.258628028441</v>
      </c>
      <c r="G12" s="34"/>
      <c r="H12" s="33"/>
      <c r="I12" s="33"/>
      <c r="J12" s="33">
        <f>$C$32*('E Balans VL '!D8+'E Balans VL '!E8)/100/3.6*1000000</f>
        <v>0</v>
      </c>
      <c r="K12" s="33"/>
      <c r="L12" s="33"/>
      <c r="M12" s="33"/>
      <c r="N12" s="33">
        <f>$C$32*'E Balans VL '!Y8/100/3.6*1000000</f>
        <v>2377.6631919294423</v>
      </c>
      <c r="O12" s="33"/>
      <c r="P12" s="33"/>
      <c r="R12" s="32"/>
    </row>
    <row r="13" spans="1:18">
      <c r="A13" s="16" t="s">
        <v>495</v>
      </c>
      <c r="B13" s="248">
        <f ca="1">'lokale energieproductie'!N39+'lokale energieproductie'!N32</f>
        <v>1899</v>
      </c>
      <c r="C13" s="248">
        <f ca="1">'lokale energieproductie'!O39+'lokale energieproductie'!O32</f>
        <v>45.5625</v>
      </c>
      <c r="D13" s="309">
        <f ca="1">('lokale energieproductie'!P32+'lokale energieproductie'!P39)*(-1)</f>
        <v>0</v>
      </c>
      <c r="E13" s="249"/>
      <c r="F13" s="309">
        <f ca="1">('lokale energieproductie'!S32+'lokale energieproductie'!S39)*(-1)</f>
        <v>0</v>
      </c>
      <c r="G13" s="250"/>
      <c r="H13" s="249"/>
      <c r="I13" s="249"/>
      <c r="J13" s="249"/>
      <c r="K13" s="249"/>
      <c r="L13" s="309">
        <f ca="1">('lokale energieproductie'!U32+'lokale energieproductie'!T32+'lokale energieproductie'!U39+'lokale energieproductie'!T39)*(-1)</f>
        <v>-101.25</v>
      </c>
      <c r="M13" s="249"/>
      <c r="N13" s="309">
        <f ca="1">('lokale energieproductie'!Q32+'lokale energieproductie'!R32+'lokale energieproductie'!V32+'lokale energieproductie'!Q39+'lokale energieproductie'!R39+'lokale energieproductie'!V39)*(-1)</f>
        <v>-5310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736760.84726600861</v>
      </c>
      <c r="C16" s="21">
        <f ca="1">C5+C13+C14</f>
        <v>45.5625</v>
      </c>
      <c r="D16" s="21">
        <f t="shared" ref="D16:N16" ca="1" si="1">MAX((D5+D13+D14),0)</f>
        <v>791993.93395062489</v>
      </c>
      <c r="E16" s="21">
        <f t="shared" si="1"/>
        <v>15448.480227612739</v>
      </c>
      <c r="F16" s="21">
        <f t="shared" ca="1" si="1"/>
        <v>166459.37851977578</v>
      </c>
      <c r="G16" s="21">
        <f t="shared" si="1"/>
        <v>0</v>
      </c>
      <c r="H16" s="21">
        <f t="shared" si="1"/>
        <v>0</v>
      </c>
      <c r="I16" s="21">
        <f t="shared" si="1"/>
        <v>0</v>
      </c>
      <c r="J16" s="21">
        <f t="shared" si="1"/>
        <v>0</v>
      </c>
      <c r="K16" s="21">
        <f t="shared" si="1"/>
        <v>0</v>
      </c>
      <c r="L16" s="21">
        <f t="shared" ca="1" si="1"/>
        <v>0</v>
      </c>
      <c r="M16" s="21">
        <f t="shared" si="1"/>
        <v>0</v>
      </c>
      <c r="N16" s="21">
        <f t="shared" ca="1" si="1"/>
        <v>9254.220884834609</v>
      </c>
      <c r="O16" s="21">
        <f>O5</f>
        <v>20.323333333333334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0.20626582786777115</v>
      </c>
      <c r="C18" s="25">
        <f ca="1">'EF ele_warmte'!B22</f>
        <v>7.8209463957606584E-2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151968.58610188376</v>
      </c>
      <c r="C20" s="23">
        <f t="shared" ref="C20:P20" ca="1" si="2">C16*C18</f>
        <v>3.56341870156845</v>
      </c>
      <c r="D20" s="23">
        <f t="shared" ca="1" si="2"/>
        <v>159982.77465802623</v>
      </c>
      <c r="E20" s="23">
        <f t="shared" si="2"/>
        <v>3506.805011668092</v>
      </c>
      <c r="F20" s="23">
        <f t="shared" ca="1" si="2"/>
        <v>44444.654064780138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239985.95644329701</v>
      </c>
      <c r="C26" s="39">
        <f>IF(ISERROR(B26*3.6/1000000/'E Balans VL '!Z12*100),0,B26*3.6/1000000/'E Balans VL '!Z12*100)</f>
        <v>5.0501064665978479</v>
      </c>
      <c r="D26" s="238" t="s">
        <v>718</v>
      </c>
      <c r="F26" s="6"/>
    </row>
    <row r="27" spans="1:18">
      <c r="A27" s="232" t="s">
        <v>52</v>
      </c>
      <c r="B27" s="33">
        <f>IF(ISERROR(TER_horeca_ele_kWh/1000),0,TER_horeca_ele_kWh/1000)</f>
        <v>72219.962238734399</v>
      </c>
      <c r="C27" s="39">
        <f>IF(ISERROR(B27*3.6/1000000/'E Balans VL '!Z9*100),0,B27*3.6/1000000/'E Balans VL '!Z9*100)</f>
        <v>6.1146612665390681</v>
      </c>
      <c r="D27" s="238" t="s">
        <v>718</v>
      </c>
      <c r="F27" s="6"/>
    </row>
    <row r="28" spans="1:18">
      <c r="A28" s="172" t="s">
        <v>51</v>
      </c>
      <c r="B28" s="33">
        <f>IF(ISERROR(TER_handel_ele_kWh/1000),0,TER_handel_ele_kWh/1000)</f>
        <v>164930.274131632</v>
      </c>
      <c r="C28" s="39">
        <f>IF(ISERROR(B28*3.6/1000000/'E Balans VL '!Z13*100),0,B28*3.6/1000000/'E Balans VL '!Z13*100)</f>
        <v>4.566071832933317</v>
      </c>
      <c r="D28" s="238" t="s">
        <v>718</v>
      </c>
      <c r="F28" s="6"/>
    </row>
    <row r="29" spans="1:18">
      <c r="A29" s="232" t="s">
        <v>50</v>
      </c>
      <c r="B29" s="33">
        <f>IF(ISERROR(TER_gezond_ele_kWh/1000),0,TER_gezond_ele_kWh/1000)</f>
        <v>65867.272502353997</v>
      </c>
      <c r="C29" s="39">
        <f>IF(ISERROR(B29*3.6/1000000/'E Balans VL '!Z10*100),0,B29*3.6/1000000/'E Balans VL '!Z10*100)</f>
        <v>8.5620152014537378</v>
      </c>
      <c r="D29" s="238" t="s">
        <v>718</v>
      </c>
      <c r="F29" s="6"/>
    </row>
    <row r="30" spans="1:18">
      <c r="A30" s="232" t="s">
        <v>49</v>
      </c>
      <c r="B30" s="33">
        <f>IF(ISERROR(TER_ander_ele_kWh/1000),0,TER_ander_ele_kWh/1000)</f>
        <v>41166.940403316599</v>
      </c>
      <c r="C30" s="39">
        <f>IF(ISERROR(B30*3.6/1000000/'E Balans VL '!Z14*100),0,B30*3.6/1000000/'E Balans VL '!Z14*100)</f>
        <v>3.1908154109404121</v>
      </c>
      <c r="D30" s="238" t="s">
        <v>718</v>
      </c>
      <c r="F30" s="6"/>
    </row>
    <row r="31" spans="1:18">
      <c r="A31" s="232" t="s">
        <v>54</v>
      </c>
      <c r="B31" s="33">
        <f>IF(ISERROR(TER_onderwijs_ele_kWh/1000),0,TER_onderwijs_ele_kWh/1000)</f>
        <v>66860.877571297897</v>
      </c>
      <c r="C31" s="39">
        <f>IF(ISERROR(B31*3.6/1000000/'E Balans VL '!Z11*100),0,B31*3.6/1000000/'E Balans VL '!Z11*100)</f>
        <v>12.791625164633386</v>
      </c>
      <c r="D31" s="238" t="s">
        <v>718</v>
      </c>
    </row>
    <row r="32" spans="1:18">
      <c r="A32" s="232" t="s">
        <v>259</v>
      </c>
      <c r="B32" s="33">
        <f>IF(ISERROR(TER_rest_ele_kWh/1000),0,TER_rest_ele_kWh/1000)</f>
        <v>83830.563975376601</v>
      </c>
      <c r="C32" s="39">
        <f>IF(ISERROR(B32*3.6/1000000/'E Balans VL '!Z8*100),0,B32*3.6/1000000/'E Balans VL '!Z8*100)</f>
        <v>0.69124737477173226</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13</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366092.00087867078</v>
      </c>
      <c r="C5" s="17">
        <f>IF(ISERROR('Eigen informatie GS &amp; warmtenet'!B59),0,'Eigen informatie GS &amp; warmtenet'!B59)</f>
        <v>0</v>
      </c>
      <c r="D5" s="30">
        <f>SUM(D6:D15)</f>
        <v>271372.50573636207</v>
      </c>
      <c r="E5" s="17">
        <f>SUM(E6:E15)</f>
        <v>4051.700014160002</v>
      </c>
      <c r="F5" s="17">
        <f>SUM(F6:F15)</f>
        <v>86290.532519084838</v>
      </c>
      <c r="G5" s="18"/>
      <c r="H5" s="17"/>
      <c r="I5" s="17"/>
      <c r="J5" s="17">
        <f>SUM(J6:J15)</f>
        <v>2524.2542591017045</v>
      </c>
      <c r="K5" s="17"/>
      <c r="L5" s="17"/>
      <c r="M5" s="17"/>
      <c r="N5" s="17">
        <f>SUM(N6:N15)</f>
        <v>7251.8225335247507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47960.187779075801</v>
      </c>
      <c r="C8" s="33"/>
      <c r="D8" s="37">
        <f>IF( ISERROR(IND_metaal_Gas_kWH/1000),0,IND_metaal_Gas_kWH/1000)*0.902</f>
        <v>42667.648063537563</v>
      </c>
      <c r="E8" s="33">
        <f>C30*'E Balans VL '!I18/100/3.6*1000000</f>
        <v>337.0056575881315</v>
      </c>
      <c r="F8" s="33">
        <f>C30*'E Balans VL '!L18/100/3.6*1000000+C30*'E Balans VL '!N18/100/3.6*1000000</f>
        <v>5265.7480234254863</v>
      </c>
      <c r="G8" s="34"/>
      <c r="H8" s="33"/>
      <c r="I8" s="33"/>
      <c r="J8" s="40">
        <f>C30*'E Balans VL '!D18/100/3.6*1000000+C30*'E Balans VL '!E18/100/3.6*1000000</f>
        <v>989.52204687647588</v>
      </c>
      <c r="K8" s="33"/>
      <c r="L8" s="33"/>
      <c r="M8" s="33"/>
      <c r="N8" s="33">
        <f>C30*'E Balans VL '!Y18/100/3.6*1000000</f>
        <v>179.758237884995</v>
      </c>
      <c r="O8" s="33"/>
      <c r="P8" s="33"/>
      <c r="R8" s="32"/>
    </row>
    <row r="9" spans="1:18">
      <c r="A9" s="6" t="s">
        <v>32</v>
      </c>
      <c r="B9" s="37">
        <f t="shared" si="0"/>
        <v>41524.900985818495</v>
      </c>
      <c r="C9" s="33"/>
      <c r="D9" s="37">
        <f>IF( ISERROR(IND_andere_gas_kWh/1000),0,IND_andere_gas_kWh/1000)*0.902</f>
        <v>25179.045950871066</v>
      </c>
      <c r="E9" s="33">
        <f>C31*'E Balans VL '!I19/100/3.6*1000000</f>
        <v>697.46158168470606</v>
      </c>
      <c r="F9" s="33">
        <f>C31*'E Balans VL '!L19/100/3.6*1000000+C31*'E Balans VL '!N19/100/3.6*1000000</f>
        <v>32461.802508947672</v>
      </c>
      <c r="G9" s="34"/>
      <c r="H9" s="33"/>
      <c r="I9" s="33"/>
      <c r="J9" s="40">
        <f>C31*'E Balans VL '!D19/100/3.6*1000000+C31*'E Balans VL '!E19/100/3.6*1000000</f>
        <v>3.7451795126363225</v>
      </c>
      <c r="K9" s="33"/>
      <c r="L9" s="33"/>
      <c r="M9" s="33"/>
      <c r="N9" s="33">
        <f>C31*'E Balans VL '!Y19/100/3.6*1000000</f>
        <v>3077.6613714343016</v>
      </c>
      <c r="O9" s="33"/>
      <c r="P9" s="33"/>
      <c r="R9" s="32"/>
    </row>
    <row r="10" spans="1:18">
      <c r="A10" s="6" t="s">
        <v>40</v>
      </c>
      <c r="B10" s="37">
        <f t="shared" si="0"/>
        <v>31093.6673645314</v>
      </c>
      <c r="C10" s="33"/>
      <c r="D10" s="37">
        <f>IF( ISERROR(IND_voed_gas_kWh/1000),0,IND_voed_gas_kWh/1000)*0.902</f>
        <v>23367.747263844736</v>
      </c>
      <c r="E10" s="33">
        <f>C32*'E Balans VL '!I20/100/3.6*1000000</f>
        <v>283.68570006113242</v>
      </c>
      <c r="F10" s="33">
        <f>C32*'E Balans VL '!L20/100/3.6*1000000+C32*'E Balans VL '!N20/100/3.6*1000000</f>
        <v>5016.381098898295</v>
      </c>
      <c r="G10" s="34"/>
      <c r="H10" s="33"/>
      <c r="I10" s="33"/>
      <c r="J10" s="40">
        <f>C32*'E Balans VL '!D20/100/3.6*1000000+C32*'E Balans VL '!E20/100/3.6*1000000</f>
        <v>128.0641082022502</v>
      </c>
      <c r="K10" s="33"/>
      <c r="L10" s="33"/>
      <c r="M10" s="33"/>
      <c r="N10" s="33">
        <f>C32*'E Balans VL '!Y20/100/3.6*1000000</f>
        <v>454.87583549825246</v>
      </c>
      <c r="O10" s="33"/>
      <c r="P10" s="33"/>
      <c r="R10" s="32"/>
    </row>
    <row r="11" spans="1:18">
      <c r="A11" s="6" t="s">
        <v>39</v>
      </c>
      <c r="B11" s="37">
        <f t="shared" si="0"/>
        <v>497.55200584450603</v>
      </c>
      <c r="C11" s="33"/>
      <c r="D11" s="37">
        <f>IF( ISERROR(IND_textiel_gas_kWh/1000),0,IND_textiel_gas_kWh/1000)*0.902</f>
        <v>886.56994760176701</v>
      </c>
      <c r="E11" s="33">
        <f>C33*'E Balans VL '!I21/100/3.6*1000000</f>
        <v>1.1348238333801979</v>
      </c>
      <c r="F11" s="33">
        <f>C33*'E Balans VL '!L21/100/3.6*1000000+C33*'E Balans VL '!N21/100/3.6*1000000</f>
        <v>10.635635602332714</v>
      </c>
      <c r="G11" s="34"/>
      <c r="H11" s="33"/>
      <c r="I11" s="33"/>
      <c r="J11" s="40">
        <f>C33*'E Balans VL '!D21/100/3.6*1000000+C33*'E Balans VL '!E21/100/3.6*1000000</f>
        <v>0</v>
      </c>
      <c r="K11" s="33"/>
      <c r="L11" s="33"/>
      <c r="M11" s="33"/>
      <c r="N11" s="33">
        <f>C33*'E Balans VL '!Y21/100/3.6*1000000</f>
        <v>3.5295668049457896</v>
      </c>
      <c r="O11" s="33"/>
      <c r="P11" s="33"/>
      <c r="R11" s="32"/>
    </row>
    <row r="12" spans="1:18">
      <c r="A12" s="6" t="s">
        <v>36</v>
      </c>
      <c r="B12" s="37">
        <f t="shared" si="0"/>
        <v>19944.9998752928</v>
      </c>
      <c r="C12" s="33"/>
      <c r="D12" s="37">
        <f>IF( ISERROR(IND_min_gas_kWh/1000),0,IND_min_gas_kWh/1000)*0.902</f>
        <v>153.72731408079014</v>
      </c>
      <c r="E12" s="33">
        <f>C34*'E Balans VL '!I22/100/3.6*1000000</f>
        <v>494.70083906551815</v>
      </c>
      <c r="F12" s="33">
        <f>C34*'E Balans VL '!L22/100/3.6*1000000+C34*'E Balans VL '!N22/100/3.6*1000000</f>
        <v>2119.347210049079</v>
      </c>
      <c r="G12" s="34"/>
      <c r="H12" s="33"/>
      <c r="I12" s="33"/>
      <c r="J12" s="40">
        <f>C34*'E Balans VL '!D22/100/3.6*1000000+C34*'E Balans VL '!E22/100/3.6*1000000</f>
        <v>113.29930226371177</v>
      </c>
      <c r="K12" s="33"/>
      <c r="L12" s="33"/>
      <c r="M12" s="33"/>
      <c r="N12" s="33">
        <f>C34*'E Balans VL '!Y22/100/3.6*1000000</f>
        <v>0</v>
      </c>
      <c r="O12" s="33"/>
      <c r="P12" s="33"/>
      <c r="R12" s="32"/>
    </row>
    <row r="13" spans="1:18">
      <c r="A13" s="6" t="s">
        <v>38</v>
      </c>
      <c r="B13" s="37">
        <f t="shared" si="0"/>
        <v>14446.0513159684</v>
      </c>
      <c r="C13" s="33"/>
      <c r="D13" s="37">
        <f>IF( ISERROR(IND_papier_gas_kWh/1000),0,IND_papier_gas_kWh/1000)*0.902</f>
        <v>2603.4077365859307</v>
      </c>
      <c r="E13" s="33">
        <f>C35*'E Balans VL '!I23/100/3.6*1000000</f>
        <v>444.46729815614373</v>
      </c>
      <c r="F13" s="33">
        <f>C35*'E Balans VL '!L23/100/3.6*1000000+C35*'E Balans VL '!N23/100/3.6*1000000</f>
        <v>3067.4015540452701</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19096.918130606402</v>
      </c>
      <c r="C14" s="33"/>
      <c r="D14" s="37">
        <f>IF( ISERROR(IND_chemie_gas_kWh/1000),0,IND_chemie_gas_kWh/1000)*0.902</f>
        <v>6702.1595250108112</v>
      </c>
      <c r="E14" s="33">
        <f>C36*'E Balans VL '!I24/100/3.6*1000000</f>
        <v>64.751705783938277</v>
      </c>
      <c r="F14" s="33">
        <f>C36*'E Balans VL '!L24/100/3.6*1000000+C36*'E Balans VL '!N24/100/3.6*1000000</f>
        <v>61.286637198724307</v>
      </c>
      <c r="G14" s="34"/>
      <c r="H14" s="33"/>
      <c r="I14" s="33"/>
      <c r="J14" s="40">
        <f>C36*'E Balans VL '!D24/100/3.6*1000000+C36*'E Balans VL '!E24/100/3.6*1000000</f>
        <v>0</v>
      </c>
      <c r="K14" s="33"/>
      <c r="L14" s="33"/>
      <c r="M14" s="33"/>
      <c r="N14" s="33">
        <f>C36*'E Balans VL '!Y24/100/3.6*1000000</f>
        <v>89.292013821818571</v>
      </c>
      <c r="O14" s="33"/>
      <c r="P14" s="33"/>
      <c r="R14" s="32"/>
    </row>
    <row r="15" spans="1:18">
      <c r="A15" s="6" t="s">
        <v>269</v>
      </c>
      <c r="B15" s="37">
        <f t="shared" si="0"/>
        <v>191527.72342153298</v>
      </c>
      <c r="C15" s="33"/>
      <c r="D15" s="37">
        <f>IF( ISERROR(IND_rest_gas_kWh/1000),0,IND_rest_gas_kWh/1000)*0.902</f>
        <v>169812.19993482943</v>
      </c>
      <c r="E15" s="33">
        <f>C37*'E Balans VL '!I15/100/3.6*1000000</f>
        <v>1728.4924079870518</v>
      </c>
      <c r="F15" s="33">
        <f>C37*'E Balans VL '!L15/100/3.6*1000000+C37*'E Balans VL '!N15/100/3.6*1000000</f>
        <v>38287.929850917979</v>
      </c>
      <c r="G15" s="34"/>
      <c r="H15" s="33"/>
      <c r="I15" s="33"/>
      <c r="J15" s="40">
        <f>C37*'E Balans VL '!D15/100/3.6*1000000+C37*'E Balans VL '!E15/100/3.6*1000000</f>
        <v>1289.6236222466305</v>
      </c>
      <c r="K15" s="33"/>
      <c r="L15" s="33"/>
      <c r="M15" s="33"/>
      <c r="N15" s="33">
        <f>C37*'E Balans VL '!Y15/100/3.6*1000000</f>
        <v>3446.7055080804371</v>
      </c>
      <c r="O15" s="33"/>
      <c r="P15" s="33"/>
      <c r="R15" s="32"/>
    </row>
    <row r="16" spans="1:18">
      <c r="A16" s="16" t="s">
        <v>495</v>
      </c>
      <c r="B16" s="248">
        <f>'lokale energieproductie'!N38+'lokale energieproductie'!N31</f>
        <v>9900</v>
      </c>
      <c r="C16" s="248">
        <f>'lokale energieproductie'!O38+'lokale energieproductie'!O31</f>
        <v>11137.5</v>
      </c>
      <c r="D16" s="309">
        <f>('lokale energieproductie'!P31+'lokale energieproductie'!P38)*(-1)</f>
        <v>0</v>
      </c>
      <c r="E16" s="249"/>
      <c r="F16" s="309">
        <f>('lokale energieproductie'!S31+'lokale energieproductie'!S38)*(-1)</f>
        <v>-6187.5</v>
      </c>
      <c r="G16" s="250"/>
      <c r="H16" s="249"/>
      <c r="I16" s="249"/>
      <c r="J16" s="249"/>
      <c r="K16" s="249"/>
      <c r="L16" s="309">
        <f>('lokale energieproductie'!T31+'lokale energieproductie'!U31+'lokale energieproductie'!T38+'lokale energieproductie'!U38)*(-1)</f>
        <v>-18562.5</v>
      </c>
      <c r="M16" s="249"/>
      <c r="N16" s="309">
        <f>('lokale energieproductie'!Q31+'lokale energieproductie'!R31+'lokale energieproductie'!V31+'lokale energieproductie'!Q38+'lokale energieproductie'!R38+'lokale energieproductie'!V38)*(-1)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375992.00087867078</v>
      </c>
      <c r="C18" s="21">
        <f>C5+C16</f>
        <v>11137.5</v>
      </c>
      <c r="D18" s="21">
        <f>MAX((D5+D16),0)</f>
        <v>271372.50573636207</v>
      </c>
      <c r="E18" s="21">
        <f>MAX((E5+E16),0)</f>
        <v>4051.700014160002</v>
      </c>
      <c r="F18" s="21">
        <f>MAX((F5+F16),0)</f>
        <v>80103.032519084838</v>
      </c>
      <c r="G18" s="21"/>
      <c r="H18" s="21"/>
      <c r="I18" s="21"/>
      <c r="J18" s="21">
        <f>MAX((J5+J16),0)</f>
        <v>2524.2542591017045</v>
      </c>
      <c r="K18" s="21"/>
      <c r="L18" s="21">
        <f>MAX((L5+L16),0)</f>
        <v>0</v>
      </c>
      <c r="M18" s="21"/>
      <c r="N18" s="21">
        <f>MAX((N5+N16),0)</f>
        <v>7251.8225335247507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0.20626582786777115</v>
      </c>
      <c r="C20" s="25">
        <f ca="1">'EF ele_warmte'!B22</f>
        <v>7.8209463957606584E-2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77554.301332898758</v>
      </c>
      <c r="C22" s="23">
        <f ca="1">C18*C20</f>
        <v>871.05790482784334</v>
      </c>
      <c r="D22" s="23">
        <f>D18*D20</f>
        <v>54817.24615874514</v>
      </c>
      <c r="E22" s="23">
        <f>E18*E20</f>
        <v>919.7359032143205</v>
      </c>
      <c r="F22" s="23">
        <f>F18*F20</f>
        <v>21387.509682595653</v>
      </c>
      <c r="G22" s="23"/>
      <c r="H22" s="23"/>
      <c r="I22" s="23"/>
      <c r="J22" s="23">
        <f>J18*J20</f>
        <v>893.58600772200339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47960.187779075801</v>
      </c>
      <c r="C30" s="39">
        <f>IF(ISERROR(B30*3.6/1000000/'E Balans VL '!Z18*100),0,B30*3.6/1000000/'E Balans VL '!Z18*100)</f>
        <v>3.1927389873979277</v>
      </c>
      <c r="D30" s="238" t="s">
        <v>718</v>
      </c>
    </row>
    <row r="31" spans="1:18">
      <c r="A31" s="6" t="s">
        <v>32</v>
      </c>
      <c r="B31" s="37">
        <f>IF( ISERROR(IND_ander_ele_kWh/1000),0,IND_ander_ele_kWh/1000)</f>
        <v>41524.900985818495</v>
      </c>
      <c r="C31" s="39">
        <f>IF(ISERROR(B31*3.6/1000000/'E Balans VL '!Z19*100),0,B31*3.6/1000000/'E Balans VL '!Z19*100)</f>
        <v>1.8406342997257013</v>
      </c>
      <c r="D31" s="238" t="s">
        <v>718</v>
      </c>
    </row>
    <row r="32" spans="1:18">
      <c r="A32" s="172" t="s">
        <v>40</v>
      </c>
      <c r="B32" s="37">
        <f>IF( ISERROR(IND_voed_ele_kWh/1000),0,IND_voed_ele_kWh/1000)</f>
        <v>31093.6673645314</v>
      </c>
      <c r="C32" s="39">
        <f>IF(ISERROR(B32*3.6/1000000/'E Balans VL '!Z20*100),0,B32*3.6/1000000/'E Balans VL '!Z20*100)</f>
        <v>1.0386176861627749</v>
      </c>
      <c r="D32" s="238" t="s">
        <v>718</v>
      </c>
    </row>
    <row r="33" spans="1:5">
      <c r="A33" s="172" t="s">
        <v>39</v>
      </c>
      <c r="B33" s="37">
        <f>IF( ISERROR(IND_textiel_ele_kWh/1000),0,IND_textiel_ele_kWh/1000)</f>
        <v>497.55200584450603</v>
      </c>
      <c r="C33" s="39">
        <f>IF(ISERROR(B33*3.6/1000000/'E Balans VL '!Z21*100),0,B33*3.6/1000000/'E Balans VL '!Z21*100)</f>
        <v>6.5503868944246021E-2</v>
      </c>
      <c r="D33" s="238" t="s">
        <v>718</v>
      </c>
    </row>
    <row r="34" spans="1:5">
      <c r="A34" s="172" t="s">
        <v>36</v>
      </c>
      <c r="B34" s="37">
        <f>IF( ISERROR(IND_min_ele_kWh/1000),0,IND_min_ele_kWh/1000)</f>
        <v>19944.9998752928</v>
      </c>
      <c r="C34" s="39">
        <f>IF(ISERROR(B34*3.6/1000000/'E Balans VL '!Z22*100),0,B34*3.6/1000000/'E Balans VL '!Z22*100)</f>
        <v>3.8790833923742727</v>
      </c>
      <c r="D34" s="238" t="s">
        <v>718</v>
      </c>
    </row>
    <row r="35" spans="1:5">
      <c r="A35" s="172" t="s">
        <v>38</v>
      </c>
      <c r="B35" s="37">
        <f>IF( ISERROR(IND_papier_ele_kWh/1000),0,IND_papier_ele_kWh/1000)</f>
        <v>14446.0513159684</v>
      </c>
      <c r="C35" s="39">
        <f>IF(ISERROR(B35*3.6/1000000/'E Balans VL '!Z22*100),0,B35*3.6/1000000/'E Balans VL '!Z22*100)</f>
        <v>2.8095983001021128</v>
      </c>
      <c r="D35" s="238" t="s">
        <v>718</v>
      </c>
    </row>
    <row r="36" spans="1:5">
      <c r="A36" s="172" t="s">
        <v>33</v>
      </c>
      <c r="B36" s="37">
        <f>IF( ISERROR(IND_chemie_ele_kWh/1000),0,IND_chemie_ele_kWh/1000)</f>
        <v>19096.918130606402</v>
      </c>
      <c r="C36" s="39">
        <f>IF(ISERROR(B36*3.6/1000000/'E Balans VL '!Z24*100),0,B36*3.6/1000000/'E Balans VL '!Z24*100)</f>
        <v>0.44844707331526446</v>
      </c>
      <c r="D36" s="238" t="s">
        <v>718</v>
      </c>
    </row>
    <row r="37" spans="1:5">
      <c r="A37" s="172" t="s">
        <v>269</v>
      </c>
      <c r="B37" s="37">
        <f>IF( ISERROR(IND_rest_ele_kWh/1000),0,IND_rest_ele_kWh/1000)</f>
        <v>191527.72342153298</v>
      </c>
      <c r="C37" s="39">
        <f>IF(ISERROR(B37*3.6/1000000/'E Balans VL '!Z15*100),0,B37*3.6/1000000/'E Balans VL '!Z15*100)</f>
        <v>1.4246542369043387</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3133.6191844611503</v>
      </c>
      <c r="C5" s="17">
        <f>'Eigen informatie GS &amp; warmtenet'!B60</f>
        <v>0</v>
      </c>
      <c r="D5" s="30">
        <f>IF(ISERROR(SUM(LB_lb_gas_kWh,LB_rest_gas_kWh)/1000),0,SUM(LB_lb_gas_kWh,LB_rest_gas_kWh)/1000)*0.902</f>
        <v>4718.8713726556916</v>
      </c>
      <c r="E5" s="17">
        <f>B17*'E Balans VL '!I25/3.6*1000000/100</f>
        <v>32.815938500565572</v>
      </c>
      <c r="F5" s="17">
        <f>B17*('E Balans VL '!L25/3.6*1000000+'E Balans VL '!N25/3.6*1000000)/100</f>
        <v>13414.271154389256</v>
      </c>
      <c r="G5" s="18"/>
      <c r="H5" s="17"/>
      <c r="I5" s="17"/>
      <c r="J5" s="17">
        <f>('E Balans VL '!D25+'E Balans VL '!E25)/3.6*1000000*landbouw!B17/100</f>
        <v>279.86028028028755</v>
      </c>
      <c r="K5" s="17"/>
      <c r="L5" s="17">
        <f>L6*(-1)</f>
        <v>0</v>
      </c>
      <c r="M5" s="17"/>
      <c r="N5" s="17">
        <f>N6*(-1)</f>
        <v>0</v>
      </c>
      <c r="O5" s="17"/>
      <c r="P5" s="17"/>
      <c r="R5" s="32"/>
    </row>
    <row r="6" spans="1:18">
      <c r="A6" s="16" t="s">
        <v>495</v>
      </c>
      <c r="B6" s="17" t="s">
        <v>210</v>
      </c>
      <c r="C6" s="17">
        <f>'lokale energieproductie'!O40+'lokale energieproductie'!O33</f>
        <v>0</v>
      </c>
      <c r="D6" s="309">
        <f>('lokale energieproductie'!P33+'lokale energieproductie'!P40)*(-1)</f>
        <v>0</v>
      </c>
      <c r="E6" s="249"/>
      <c r="F6" s="309">
        <f>('lokale energieproductie'!S33+'lokale energieproductie'!S40)*(-1)</f>
        <v>0</v>
      </c>
      <c r="G6" s="250"/>
      <c r="H6" s="249"/>
      <c r="I6" s="249"/>
      <c r="J6" s="249"/>
      <c r="K6" s="249"/>
      <c r="L6" s="309">
        <f>('lokale energieproductie'!T33+'lokale energieproductie'!U33+'lokale energieproductie'!T40+'lokale energieproductie'!U40)*(-1)</f>
        <v>0</v>
      </c>
      <c r="M6" s="249"/>
      <c r="N6" s="309">
        <f>('lokale energieproductie'!V33+'lokale energieproductie'!R33+'lokale energieproductie'!Q33+'lokale energieproductie'!Q40+'lokale energieproductie'!R40+'lokale energieproductie'!V40)*(-1)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3133.6191844611503</v>
      </c>
      <c r="C8" s="21">
        <f>C5+C6</f>
        <v>0</v>
      </c>
      <c r="D8" s="21">
        <f>MAX((D5+D6),0)</f>
        <v>4718.8713726556916</v>
      </c>
      <c r="E8" s="21">
        <f>MAX((E5+E6),0)</f>
        <v>32.815938500565572</v>
      </c>
      <c r="F8" s="21">
        <f>MAX((F5+F6),0)</f>
        <v>13414.271154389256</v>
      </c>
      <c r="G8" s="21"/>
      <c r="H8" s="21"/>
      <c r="I8" s="21"/>
      <c r="J8" s="21">
        <f>MAX((J5+J6),0)</f>
        <v>279.86028028028755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0.20626582786777115</v>
      </c>
      <c r="C10" s="31">
        <f ca="1">'EF ele_warmte'!B22</f>
        <v>7.8209463957606584E-2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646.35855530520905</v>
      </c>
      <c r="C12" s="23">
        <f ca="1">C8*C10</f>
        <v>0</v>
      </c>
      <c r="D12" s="23">
        <f>D8*D10</f>
        <v>953.21201727644973</v>
      </c>
      <c r="E12" s="23">
        <f>E8*E10</f>
        <v>7.4492180396283851</v>
      </c>
      <c r="F12" s="23">
        <f>F8*F10</f>
        <v>3581.6103982219315</v>
      </c>
      <c r="G12" s="23"/>
      <c r="H12" s="23"/>
      <c r="I12" s="23"/>
      <c r="J12" s="23">
        <f>J8*J10</f>
        <v>99.070539219221786</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0.48232448251729393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462.45525955169938</v>
      </c>
      <c r="C26" s="248">
        <f>B26*'GWP N2O_CH4'!B5</f>
        <v>9711.5604505856863</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105.92986113290362</v>
      </c>
      <c r="C27" s="248">
        <f>B27*'GWP N2O_CH4'!B5</f>
        <v>2224.5270837909761</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5.8394830112532059</v>
      </c>
      <c r="C28" s="248">
        <f>B28*'GWP N2O_CH4'!B4</f>
        <v>1810.2397334884938</v>
      </c>
      <c r="D28" s="50"/>
    </row>
    <row r="29" spans="1:4">
      <c r="A29" s="41" t="s">
        <v>276</v>
      </c>
      <c r="B29" s="248">
        <f>B34*'ha_N2O bodem landbouw'!B4</f>
        <v>28.853579007148934</v>
      </c>
      <c r="C29" s="248">
        <f>B29*'GWP N2O_CH4'!B4</f>
        <v>8944.6094922161701</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4.7684328850877561E-3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4.8443505103469382E-5</v>
      </c>
      <c r="C5" s="443" t="s">
        <v>210</v>
      </c>
      <c r="D5" s="428">
        <f>SUM(D6:D11)</f>
        <v>2.5943684407333801E-4</v>
      </c>
      <c r="E5" s="428">
        <f>SUM(E6:E11)</f>
        <v>2.9258191128229818E-2</v>
      </c>
      <c r="F5" s="441" t="s">
        <v>210</v>
      </c>
      <c r="G5" s="428">
        <f>SUM(G6:G11)</f>
        <v>6.3299677152978155</v>
      </c>
      <c r="H5" s="428">
        <f>SUM(H6:H11)</f>
        <v>0.9164000580392746</v>
      </c>
      <c r="I5" s="443" t="s">
        <v>210</v>
      </c>
      <c r="J5" s="443" t="s">
        <v>210</v>
      </c>
      <c r="K5" s="443" t="s">
        <v>210</v>
      </c>
      <c r="L5" s="443" t="s">
        <v>210</v>
      </c>
      <c r="M5" s="428">
        <f>SUM(M6:M11)</f>
        <v>0.31486716198868908</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1.5165921779504908E-5</v>
      </c>
      <c r="C6" s="429"/>
      <c r="D6" s="429">
        <f>vkm_GW_PW*SUMIFS(TableVerdeelsleutelVkm[CNG],TableVerdeelsleutelVkm[Voertuigtype],"Lichte voertuigen")*SUMIFS(TableECFTransport[EnergieConsumptieFactor (PJ per km)],TableECFTransport[Index],CONCATENATE($A6,"_CNG_CNG"))</f>
        <v>7.1935838008607895E-5</v>
      </c>
      <c r="E6" s="431">
        <f>vkm_GW_PW*SUMIFS(TableVerdeelsleutelVkm[LPG],TableVerdeelsleutelVkm[Voertuigtype],"Lichte voertuigen")*SUMIFS(TableECFTransport[EnergieConsumptieFactor (PJ per km)],TableECFTransport[Index],CONCATENATE($A6,"_LPG_LPG"))</f>
        <v>7.4438586361025563E-3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1.0082525133846933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0.25104359648213409</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5.4988988921486404E-2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0.82002712234185204</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2.2774051363791539E-5</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3.5327135747428143E-2</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9.3758942978135093E-6</v>
      </c>
      <c r="C8" s="429"/>
      <c r="D8" s="431">
        <f>vkm_NGW_PW*SUMIFS(TableVerdeelsleutelVkm[CNG],TableVerdeelsleutelVkm[Voertuigtype],"Lichte voertuigen")*SUMIFS(TableECFTransport[EnergieConsumptieFactor (PJ per km)],TableECFTransport[Index],CONCATENATE($A8,"_CNG_CNG"))</f>
        <v>7.5238729625001462E-5</v>
      </c>
      <c r="E8" s="431">
        <f>vkm_NGW_PW*SUMIFS(TableVerdeelsleutelVkm[LPG],TableVerdeelsleutelVkm[Voertuigtype],"Lichte voertuigen")*SUMIFS(TableECFTransport[EnergieConsumptieFactor (PJ per km)],TableECFTransport[Index],CONCATENATE($A8,"_LPG_LPG"))</f>
        <v>7.2947962542203315E-3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0.94703731891102727</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0.24873731641985239</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5.2245742388877872E-2</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0.37064242939290998</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1.2394069704753852E-5</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1.5967538555520758E-2</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2.3901689026150965E-5</v>
      </c>
      <c r="C10" s="429"/>
      <c r="D10" s="431">
        <f>vkm_SW_PW*SUMIFS(TableVerdeelsleutelVkm[CNG],TableVerdeelsleutelVkm[Voertuigtype],"Lichte voertuigen")*SUMIFS(TableECFTransport[EnergieConsumptieFactor (PJ per km)],TableECFTransport[Index],CONCATENATE($A10,"_CNG_CNG"))</f>
        <v>1.1226227643972867E-4</v>
      </c>
      <c r="E10" s="431">
        <f>vkm_SW_PW*SUMIFS(TableVerdeelsleutelVkm[LPG],TableVerdeelsleutelVkm[Voertuigtype],"Lichte voertuigen")*SUMIFS(TableECFTransport[EnergieConsumptieFactor (PJ per km)],TableECFTransport[Index],CONCATENATE($A10,"_LPG_LPG"))</f>
        <v>1.451953623790693E-2</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1.8085919692171692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0.41654385235456609</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9.7084114752357994E-2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1.3754163620501638</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4.012466165343786E-5</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5.9253641623017883E-2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13.456529195408162</v>
      </c>
      <c r="C14" s="21"/>
      <c r="D14" s="21">
        <f t="shared" ref="D14:M14" si="0">((D5)*10^9/3600)+D12</f>
        <v>72.065790020371679</v>
      </c>
      <c r="E14" s="21">
        <f t="shared" si="0"/>
        <v>8127.2753133971719</v>
      </c>
      <c r="F14" s="21"/>
      <c r="G14" s="21">
        <f t="shared" si="0"/>
        <v>1758324.3653605042</v>
      </c>
      <c r="H14" s="21">
        <f t="shared" si="0"/>
        <v>254555.57167757628</v>
      </c>
      <c r="I14" s="21"/>
      <c r="J14" s="21"/>
      <c r="K14" s="21"/>
      <c r="L14" s="21"/>
      <c r="M14" s="21">
        <f t="shared" si="0"/>
        <v>87463.100552413627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0.20626582786777115</v>
      </c>
      <c r="C16" s="56">
        <f ca="1">'EF ele_warmte'!B22</f>
        <v>7.8209463957606584E-2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2.7756221347176968</v>
      </c>
      <c r="C18" s="23"/>
      <c r="D18" s="23">
        <f t="shared" ref="D18:M18" si="1">D14*D16</f>
        <v>14.557289584115081</v>
      </c>
      <c r="E18" s="23">
        <f t="shared" si="1"/>
        <v>1844.8914961411581</v>
      </c>
      <c r="F18" s="23"/>
      <c r="G18" s="23">
        <f t="shared" si="1"/>
        <v>469472.60555125464</v>
      </c>
      <c r="H18" s="23">
        <f t="shared" si="1"/>
        <v>63384.337347716493</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3.3368717876136975E-2</v>
      </c>
      <c r="C50" s="320">
        <f t="shared" ref="C50:P50" si="2">SUM(C51:C52)</f>
        <v>0</v>
      </c>
      <c r="D50" s="320">
        <f t="shared" si="2"/>
        <v>0</v>
      </c>
      <c r="E50" s="320">
        <f t="shared" si="2"/>
        <v>0</v>
      </c>
      <c r="F50" s="320">
        <f t="shared" si="2"/>
        <v>0</v>
      </c>
      <c r="G50" s="320">
        <f t="shared" si="2"/>
        <v>0.1490929495979324</v>
      </c>
      <c r="H50" s="320">
        <f t="shared" si="2"/>
        <v>0</v>
      </c>
      <c r="I50" s="320">
        <f t="shared" si="2"/>
        <v>0</v>
      </c>
      <c r="J50" s="320">
        <f t="shared" si="2"/>
        <v>0</v>
      </c>
      <c r="K50" s="320">
        <f t="shared" si="2"/>
        <v>0</v>
      </c>
      <c r="L50" s="320">
        <f t="shared" si="2"/>
        <v>0</v>
      </c>
      <c r="M50" s="320">
        <f t="shared" si="2"/>
        <v>6.3399804245724539E-3</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0.1490929495979324</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6.3399804245724539E-3</v>
      </c>
      <c r="N51" s="322"/>
      <c r="O51" s="322"/>
      <c r="P51" s="325"/>
    </row>
    <row r="52" spans="1:18">
      <c r="A52" s="4" t="s">
        <v>329</v>
      </c>
      <c r="B52" s="326">
        <f>vkm_tram*SUMIFS(TableECFTransport[EnergieConsumptieFactor (PJ per km)],TableECFTransport[Index],"Tram_gemiddeld_Electric_Electric")</f>
        <v>3.3368717876136975E-2</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9269.0882989269376</v>
      </c>
      <c r="C54" s="21">
        <f t="shared" ref="C54:P54" si="3">(C50)*10^9/3600</f>
        <v>0</v>
      </c>
      <c r="D54" s="21">
        <f t="shared" si="3"/>
        <v>0</v>
      </c>
      <c r="E54" s="21">
        <f t="shared" si="3"/>
        <v>0</v>
      </c>
      <c r="F54" s="21">
        <f t="shared" si="3"/>
        <v>0</v>
      </c>
      <c r="G54" s="21">
        <f t="shared" si="3"/>
        <v>41414.708221647888</v>
      </c>
      <c r="H54" s="21">
        <f t="shared" si="3"/>
        <v>0</v>
      </c>
      <c r="I54" s="21">
        <f t="shared" si="3"/>
        <v>0</v>
      </c>
      <c r="J54" s="21">
        <f t="shared" si="3"/>
        <v>0</v>
      </c>
      <c r="K54" s="21">
        <f t="shared" si="3"/>
        <v>0</v>
      </c>
      <c r="L54" s="21">
        <f t="shared" si="3"/>
        <v>0</v>
      </c>
      <c r="M54" s="21">
        <f t="shared" si="3"/>
        <v>1761.1056734923484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0.20626582786777115</v>
      </c>
      <c r="C56" s="56">
        <f ca="1">'EF ele_warmte'!B22</f>
        <v>7.8209463957606584E-2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1911.8961715576354</v>
      </c>
      <c r="C58" s="23">
        <f t="shared" ref="C58:P58" ca="1" si="4">C54*C56</f>
        <v>0</v>
      </c>
      <c r="D58" s="23">
        <f t="shared" si="4"/>
        <v>0</v>
      </c>
      <c r="E58" s="23">
        <f t="shared" si="4"/>
        <v>0</v>
      </c>
      <c r="F58" s="23">
        <f t="shared" si="4"/>
        <v>0</v>
      </c>
      <c r="G58" s="23">
        <f t="shared" si="4"/>
        <v>11057.727095179987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753886.03026600857</v>
      </c>
      <c r="D10" s="684">
        <f ca="1">tertiair!C16</f>
        <v>45.5625</v>
      </c>
      <c r="E10" s="684">
        <f ca="1">tertiair!D16</f>
        <v>791993.93395062489</v>
      </c>
      <c r="F10" s="684">
        <f>tertiair!E16</f>
        <v>15448.480227612739</v>
      </c>
      <c r="G10" s="684">
        <f ca="1">tertiair!F16</f>
        <v>166459.37851977578</v>
      </c>
      <c r="H10" s="684">
        <f>tertiair!G16</f>
        <v>0</v>
      </c>
      <c r="I10" s="684">
        <f>tertiair!H16</f>
        <v>0</v>
      </c>
      <c r="J10" s="684">
        <f>tertiair!I16</f>
        <v>0</v>
      </c>
      <c r="K10" s="684">
        <f>tertiair!J16</f>
        <v>0</v>
      </c>
      <c r="L10" s="684">
        <f>tertiair!K16</f>
        <v>0</v>
      </c>
      <c r="M10" s="684">
        <f ca="1">tertiair!L16</f>
        <v>0</v>
      </c>
      <c r="N10" s="684">
        <f>tertiair!M16</f>
        <v>0</v>
      </c>
      <c r="O10" s="684">
        <f ca="1">tertiair!N16</f>
        <v>9254.220884834609</v>
      </c>
      <c r="P10" s="684">
        <f>tertiair!O16</f>
        <v>20.323333333333334</v>
      </c>
      <c r="Q10" s="685">
        <f>tertiair!P16</f>
        <v>209.73333333333335</v>
      </c>
      <c r="R10" s="687">
        <f ca="1">SUM(C10:Q10)</f>
        <v>1737317.6630155232</v>
      </c>
      <c r="S10" s="67"/>
    </row>
    <row r="11" spans="1:19" s="453" customFormat="1">
      <c r="A11" s="799" t="s">
        <v>224</v>
      </c>
      <c r="B11" s="804"/>
      <c r="C11" s="684">
        <f>huishoudens!B8</f>
        <v>397592.67882950359</v>
      </c>
      <c r="D11" s="684">
        <f>huishoudens!C8</f>
        <v>0</v>
      </c>
      <c r="E11" s="684">
        <f>huishoudens!D8</f>
        <v>1063140.65071419</v>
      </c>
      <c r="F11" s="684">
        <f>huishoudens!E8</f>
        <v>85266.788853788268</v>
      </c>
      <c r="G11" s="684">
        <f>huishoudens!F8</f>
        <v>56058.027140635197</v>
      </c>
      <c r="H11" s="684">
        <f>huishoudens!G8</f>
        <v>0</v>
      </c>
      <c r="I11" s="684">
        <f>huishoudens!H8</f>
        <v>0</v>
      </c>
      <c r="J11" s="684">
        <f>huishoudens!I8</f>
        <v>0</v>
      </c>
      <c r="K11" s="684">
        <f>huishoudens!J8</f>
        <v>0</v>
      </c>
      <c r="L11" s="684">
        <f>huishoudens!K8</f>
        <v>0</v>
      </c>
      <c r="M11" s="684">
        <f>huishoudens!L8</f>
        <v>0</v>
      </c>
      <c r="N11" s="684">
        <f>huishoudens!M8</f>
        <v>0</v>
      </c>
      <c r="O11" s="684">
        <f>huishoudens!N8</f>
        <v>77971.002601350046</v>
      </c>
      <c r="P11" s="684">
        <f>huishoudens!O8</f>
        <v>759.78000000000009</v>
      </c>
      <c r="Q11" s="685">
        <f>huishoudens!P8</f>
        <v>819.86666666666667</v>
      </c>
      <c r="R11" s="687">
        <f>SUM(C11:Q11)</f>
        <v>1681608.7948061337</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375992.00087867078</v>
      </c>
      <c r="D13" s="684">
        <f>industrie!C18</f>
        <v>11137.5</v>
      </c>
      <c r="E13" s="684">
        <f>industrie!D18</f>
        <v>271372.50573636207</v>
      </c>
      <c r="F13" s="684">
        <f>industrie!E18</f>
        <v>4051.700014160002</v>
      </c>
      <c r="G13" s="684">
        <f>industrie!F18</f>
        <v>80103.032519084838</v>
      </c>
      <c r="H13" s="684">
        <f>industrie!G18</f>
        <v>0</v>
      </c>
      <c r="I13" s="684">
        <f>industrie!H18</f>
        <v>0</v>
      </c>
      <c r="J13" s="684">
        <f>industrie!I18</f>
        <v>0</v>
      </c>
      <c r="K13" s="684">
        <f>industrie!J18</f>
        <v>2524.2542591017045</v>
      </c>
      <c r="L13" s="684">
        <f>industrie!K18</f>
        <v>0</v>
      </c>
      <c r="M13" s="684">
        <f>industrie!L18</f>
        <v>0</v>
      </c>
      <c r="N13" s="684">
        <f>industrie!M18</f>
        <v>0</v>
      </c>
      <c r="O13" s="684">
        <f>industrie!N18</f>
        <v>7251.8225335247507</v>
      </c>
      <c r="P13" s="684">
        <f>industrie!O18</f>
        <v>0</v>
      </c>
      <c r="Q13" s="685">
        <f>industrie!P18</f>
        <v>0</v>
      </c>
      <c r="R13" s="687">
        <f>SUM(C13:Q13)</f>
        <v>752432.8159409042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1527470.7099741828</v>
      </c>
      <c r="D16" s="717">
        <f t="shared" ref="D16:R16" ca="1" si="0">SUM(D9:D15)</f>
        <v>11183.0625</v>
      </c>
      <c r="E16" s="717">
        <f t="shared" ca="1" si="0"/>
        <v>2126507.0904011768</v>
      </c>
      <c r="F16" s="717">
        <f t="shared" si="0"/>
        <v>104766.96909556101</v>
      </c>
      <c r="G16" s="717">
        <f t="shared" ca="1" si="0"/>
        <v>302620.43817949586</v>
      </c>
      <c r="H16" s="717">
        <f t="shared" si="0"/>
        <v>0</v>
      </c>
      <c r="I16" s="717">
        <f t="shared" si="0"/>
        <v>0</v>
      </c>
      <c r="J16" s="717">
        <f t="shared" si="0"/>
        <v>0</v>
      </c>
      <c r="K16" s="717">
        <f t="shared" si="0"/>
        <v>2524.2542591017045</v>
      </c>
      <c r="L16" s="717">
        <f t="shared" si="0"/>
        <v>0</v>
      </c>
      <c r="M16" s="717">
        <f t="shared" ca="1" si="0"/>
        <v>0</v>
      </c>
      <c r="N16" s="717">
        <f t="shared" si="0"/>
        <v>0</v>
      </c>
      <c r="O16" s="717">
        <f t="shared" ca="1" si="0"/>
        <v>94477.046019709407</v>
      </c>
      <c r="P16" s="717">
        <f t="shared" si="0"/>
        <v>780.10333333333347</v>
      </c>
      <c r="Q16" s="717">
        <f t="shared" si="0"/>
        <v>1029.5999999999999</v>
      </c>
      <c r="R16" s="717">
        <f t="shared" ca="1" si="0"/>
        <v>4171359.2737625614</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9269.0882989269376</v>
      </c>
      <c r="D19" s="684">
        <f>transport!C54</f>
        <v>0</v>
      </c>
      <c r="E19" s="684">
        <f>transport!D54</f>
        <v>0</v>
      </c>
      <c r="F19" s="684">
        <f>transport!E54</f>
        <v>0</v>
      </c>
      <c r="G19" s="684">
        <f>transport!F54</f>
        <v>0</v>
      </c>
      <c r="H19" s="684">
        <f>transport!G54</f>
        <v>41414.708221647888</v>
      </c>
      <c r="I19" s="684">
        <f>transport!H54</f>
        <v>0</v>
      </c>
      <c r="J19" s="684">
        <f>transport!I54</f>
        <v>0</v>
      </c>
      <c r="K19" s="684">
        <f>transport!J54</f>
        <v>0</v>
      </c>
      <c r="L19" s="684">
        <f>transport!K54</f>
        <v>0</v>
      </c>
      <c r="M19" s="684">
        <f>transport!L54</f>
        <v>0</v>
      </c>
      <c r="N19" s="684">
        <f>transport!M54</f>
        <v>1761.1056734923484</v>
      </c>
      <c r="O19" s="684">
        <f>transport!N54</f>
        <v>0</v>
      </c>
      <c r="P19" s="684">
        <f>transport!O54</f>
        <v>0</v>
      </c>
      <c r="Q19" s="685">
        <f>transport!P54</f>
        <v>0</v>
      </c>
      <c r="R19" s="687">
        <f>SUM(C19:Q19)</f>
        <v>52444.902194067174</v>
      </c>
      <c r="S19" s="67"/>
    </row>
    <row r="20" spans="1:19" s="453" customFormat="1">
      <c r="A20" s="799" t="s">
        <v>306</v>
      </c>
      <c r="B20" s="804"/>
      <c r="C20" s="684">
        <f>transport!B14</f>
        <v>13.456529195408162</v>
      </c>
      <c r="D20" s="684">
        <f>transport!C14</f>
        <v>0</v>
      </c>
      <c r="E20" s="684">
        <f>transport!D14</f>
        <v>72.065790020371679</v>
      </c>
      <c r="F20" s="684">
        <f>transport!E14</f>
        <v>8127.2753133971719</v>
      </c>
      <c r="G20" s="684">
        <f>transport!F14</f>
        <v>0</v>
      </c>
      <c r="H20" s="684">
        <f>transport!G14</f>
        <v>1758324.3653605042</v>
      </c>
      <c r="I20" s="684">
        <f>transport!H14</f>
        <v>254555.57167757628</v>
      </c>
      <c r="J20" s="684">
        <f>transport!I14</f>
        <v>0</v>
      </c>
      <c r="K20" s="684">
        <f>transport!J14</f>
        <v>0</v>
      </c>
      <c r="L20" s="684">
        <f>transport!K14</f>
        <v>0</v>
      </c>
      <c r="M20" s="684">
        <f>transport!L14</f>
        <v>0</v>
      </c>
      <c r="N20" s="684">
        <f>transport!M14</f>
        <v>87463.100552413627</v>
      </c>
      <c r="O20" s="684">
        <f>transport!N14</f>
        <v>0</v>
      </c>
      <c r="P20" s="684">
        <f>transport!O14</f>
        <v>0</v>
      </c>
      <c r="Q20" s="685">
        <f>transport!P14</f>
        <v>0</v>
      </c>
      <c r="R20" s="687">
        <f>SUM(C20:Q20)</f>
        <v>2108555.8352231071</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9282.5448281223453</v>
      </c>
      <c r="D22" s="802">
        <f t="shared" ref="D22:R22" si="1">SUM(D18:D21)</f>
        <v>0</v>
      </c>
      <c r="E22" s="802">
        <f t="shared" si="1"/>
        <v>72.065790020371679</v>
      </c>
      <c r="F22" s="802">
        <f t="shared" si="1"/>
        <v>8127.2753133971719</v>
      </c>
      <c r="G22" s="802">
        <f t="shared" si="1"/>
        <v>0</v>
      </c>
      <c r="H22" s="802">
        <f t="shared" si="1"/>
        <v>1799739.0735821521</v>
      </c>
      <c r="I22" s="802">
        <f t="shared" si="1"/>
        <v>254555.57167757628</v>
      </c>
      <c r="J22" s="802">
        <f t="shared" si="1"/>
        <v>0</v>
      </c>
      <c r="K22" s="802">
        <f t="shared" si="1"/>
        <v>0</v>
      </c>
      <c r="L22" s="802">
        <f t="shared" si="1"/>
        <v>0</v>
      </c>
      <c r="M22" s="802">
        <f t="shared" si="1"/>
        <v>0</v>
      </c>
      <c r="N22" s="802">
        <f t="shared" si="1"/>
        <v>89224.206225905975</v>
      </c>
      <c r="O22" s="802">
        <f t="shared" si="1"/>
        <v>0</v>
      </c>
      <c r="P22" s="802">
        <f t="shared" si="1"/>
        <v>0</v>
      </c>
      <c r="Q22" s="802">
        <f t="shared" si="1"/>
        <v>0</v>
      </c>
      <c r="R22" s="802">
        <f t="shared" si="1"/>
        <v>2161000.7374171745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3133.6191844611503</v>
      </c>
      <c r="D24" s="684">
        <f>+landbouw!C8</f>
        <v>0</v>
      </c>
      <c r="E24" s="684">
        <f>+landbouw!D8</f>
        <v>4718.8713726556916</v>
      </c>
      <c r="F24" s="684">
        <f>+landbouw!E8</f>
        <v>32.815938500565572</v>
      </c>
      <c r="G24" s="684">
        <f>+landbouw!F8</f>
        <v>13414.271154389256</v>
      </c>
      <c r="H24" s="684">
        <f>+landbouw!G8</f>
        <v>0</v>
      </c>
      <c r="I24" s="684">
        <f>+landbouw!H8</f>
        <v>0</v>
      </c>
      <c r="J24" s="684">
        <f>+landbouw!I8</f>
        <v>0</v>
      </c>
      <c r="K24" s="684">
        <f>+landbouw!J8</f>
        <v>279.86028028028755</v>
      </c>
      <c r="L24" s="684">
        <f>+landbouw!K8</f>
        <v>0</v>
      </c>
      <c r="M24" s="684">
        <f>+landbouw!L8</f>
        <v>0</v>
      </c>
      <c r="N24" s="684">
        <f>+landbouw!M8</f>
        <v>0</v>
      </c>
      <c r="O24" s="684">
        <f>+landbouw!N8</f>
        <v>0</v>
      </c>
      <c r="P24" s="684">
        <f>+landbouw!O8</f>
        <v>0</v>
      </c>
      <c r="Q24" s="685">
        <f>+landbouw!P8</f>
        <v>0</v>
      </c>
      <c r="R24" s="687">
        <f>SUM(C24:Q24)</f>
        <v>21579.437930286953</v>
      </c>
      <c r="S24" s="67"/>
    </row>
    <row r="25" spans="1:19" s="453" customFormat="1" ht="15" thickBot="1">
      <c r="A25" s="821" t="s">
        <v>912</v>
      </c>
      <c r="B25" s="978"/>
      <c r="C25" s="979">
        <f>IF(Onbekend_ele_kWh="---",0,Onbekend_ele_kWh)/1000+IF(REST_rest_ele_kWh="---",0,REST_rest_ele_kWh)/1000</f>
        <v>29930.098823400098</v>
      </c>
      <c r="D25" s="979"/>
      <c r="E25" s="979">
        <f>IF(onbekend_gas_kWh="---",0,onbekend_gas_kWh)/1000+IF(REST_rest_gas_kWh="---",0,REST_rest_gas_kWh)/1000</f>
        <v>77298.509956346301</v>
      </c>
      <c r="F25" s="979"/>
      <c r="G25" s="979"/>
      <c r="H25" s="979"/>
      <c r="I25" s="979"/>
      <c r="J25" s="979"/>
      <c r="K25" s="979"/>
      <c r="L25" s="979"/>
      <c r="M25" s="979"/>
      <c r="N25" s="979"/>
      <c r="O25" s="979"/>
      <c r="P25" s="979"/>
      <c r="Q25" s="980"/>
      <c r="R25" s="687">
        <f>SUM(C25:Q25)</f>
        <v>107228.6087797464</v>
      </c>
      <c r="S25" s="67"/>
    </row>
    <row r="26" spans="1:19" s="453" customFormat="1" ht="15.75" thickBot="1">
      <c r="A26" s="690" t="s">
        <v>913</v>
      </c>
      <c r="B26" s="807"/>
      <c r="C26" s="802">
        <f>SUM(C24:C25)</f>
        <v>33063.718007861251</v>
      </c>
      <c r="D26" s="802">
        <f t="shared" ref="D26:R26" si="2">SUM(D24:D25)</f>
        <v>0</v>
      </c>
      <c r="E26" s="802">
        <f t="shared" si="2"/>
        <v>82017.38132900199</v>
      </c>
      <c r="F26" s="802">
        <f t="shared" si="2"/>
        <v>32.815938500565572</v>
      </c>
      <c r="G26" s="802">
        <f t="shared" si="2"/>
        <v>13414.271154389256</v>
      </c>
      <c r="H26" s="802">
        <f t="shared" si="2"/>
        <v>0</v>
      </c>
      <c r="I26" s="802">
        <f t="shared" si="2"/>
        <v>0</v>
      </c>
      <c r="J26" s="802">
        <f t="shared" si="2"/>
        <v>0</v>
      </c>
      <c r="K26" s="802">
        <f t="shared" si="2"/>
        <v>279.86028028028755</v>
      </c>
      <c r="L26" s="802">
        <f t="shared" si="2"/>
        <v>0</v>
      </c>
      <c r="M26" s="802">
        <f t="shared" si="2"/>
        <v>0</v>
      </c>
      <c r="N26" s="802">
        <f t="shared" si="2"/>
        <v>0</v>
      </c>
      <c r="O26" s="802">
        <f t="shared" si="2"/>
        <v>0</v>
      </c>
      <c r="P26" s="802">
        <f t="shared" si="2"/>
        <v>0</v>
      </c>
      <c r="Q26" s="802">
        <f t="shared" si="2"/>
        <v>0</v>
      </c>
      <c r="R26" s="802">
        <f t="shared" si="2"/>
        <v>128808.04671003335</v>
      </c>
      <c r="S26" s="67"/>
    </row>
    <row r="27" spans="1:19" s="453" customFormat="1" ht="17.25" thickTop="1" thickBot="1">
      <c r="A27" s="691" t="s">
        <v>115</v>
      </c>
      <c r="B27" s="794"/>
      <c r="C27" s="692">
        <f ca="1">C22+C16+C26</f>
        <v>1569816.9728101662</v>
      </c>
      <c r="D27" s="692">
        <f t="shared" ref="D27:R27" ca="1" si="3">D22+D16+D26</f>
        <v>11183.0625</v>
      </c>
      <c r="E27" s="692">
        <f t="shared" ca="1" si="3"/>
        <v>2208596.5375201991</v>
      </c>
      <c r="F27" s="692">
        <f t="shared" si="3"/>
        <v>112927.06034745876</v>
      </c>
      <c r="G27" s="692">
        <f t="shared" ca="1" si="3"/>
        <v>316034.70933388511</v>
      </c>
      <c r="H27" s="692">
        <f t="shared" si="3"/>
        <v>1799739.0735821521</v>
      </c>
      <c r="I27" s="692">
        <f t="shared" si="3"/>
        <v>254555.57167757628</v>
      </c>
      <c r="J27" s="692">
        <f t="shared" si="3"/>
        <v>0</v>
      </c>
      <c r="K27" s="692">
        <f t="shared" si="3"/>
        <v>2804.114539381992</v>
      </c>
      <c r="L27" s="692">
        <f t="shared" si="3"/>
        <v>0</v>
      </c>
      <c r="M27" s="692">
        <f t="shared" ca="1" si="3"/>
        <v>0</v>
      </c>
      <c r="N27" s="692">
        <f t="shared" si="3"/>
        <v>89224.206225905975</v>
      </c>
      <c r="O27" s="692">
        <f t="shared" ca="1" si="3"/>
        <v>94477.046019709407</v>
      </c>
      <c r="P27" s="692">
        <f t="shared" si="3"/>
        <v>780.10333333333347</v>
      </c>
      <c r="Q27" s="692">
        <f t="shared" si="3"/>
        <v>1029.5999999999999</v>
      </c>
      <c r="R27" s="692">
        <f t="shared" ca="1" si="3"/>
        <v>6461168.0578897689</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155500.92615076585</v>
      </c>
      <c r="D40" s="684">
        <f ca="1">tertiair!C20</f>
        <v>3.56341870156845</v>
      </c>
      <c r="E40" s="684">
        <f ca="1">tertiair!D20</f>
        <v>159982.77465802623</v>
      </c>
      <c r="F40" s="684">
        <f>tertiair!E20</f>
        <v>3506.805011668092</v>
      </c>
      <c r="G40" s="684">
        <f ca="1">tertiair!F20</f>
        <v>44444.654064780138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363438.72330394189</v>
      </c>
    </row>
    <row r="41" spans="1:18">
      <c r="A41" s="812" t="s">
        <v>224</v>
      </c>
      <c r="B41" s="819"/>
      <c r="C41" s="684">
        <f ca="1">huishoudens!B12</f>
        <v>82009.783052932398</v>
      </c>
      <c r="D41" s="684">
        <f ca="1">huishoudens!C12</f>
        <v>0</v>
      </c>
      <c r="E41" s="684">
        <f>huishoudens!D12</f>
        <v>214754.41144426638</v>
      </c>
      <c r="F41" s="684">
        <f>huishoudens!E12</f>
        <v>19355.561069809937</v>
      </c>
      <c r="G41" s="684">
        <f>huishoudens!F12</f>
        <v>14967.493246549599</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331087.24881355837</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77554.301332898758</v>
      </c>
      <c r="D43" s="684">
        <f ca="1">industrie!C22</f>
        <v>871.05790482784334</v>
      </c>
      <c r="E43" s="684">
        <f>industrie!D22</f>
        <v>54817.24615874514</v>
      </c>
      <c r="F43" s="684">
        <f>industrie!E22</f>
        <v>919.7359032143205</v>
      </c>
      <c r="G43" s="684">
        <f>industrie!F22</f>
        <v>21387.509682595653</v>
      </c>
      <c r="H43" s="684">
        <f>industrie!G22</f>
        <v>0</v>
      </c>
      <c r="I43" s="684">
        <f>industrie!H22</f>
        <v>0</v>
      </c>
      <c r="J43" s="684">
        <f>industrie!I22</f>
        <v>0</v>
      </c>
      <c r="K43" s="684">
        <f>industrie!J22</f>
        <v>893.58600772200339</v>
      </c>
      <c r="L43" s="684">
        <f>industrie!K22</f>
        <v>0</v>
      </c>
      <c r="M43" s="684">
        <f>industrie!L22</f>
        <v>0</v>
      </c>
      <c r="N43" s="684">
        <f>industrie!M22</f>
        <v>0</v>
      </c>
      <c r="O43" s="684">
        <f>industrie!N22</f>
        <v>0</v>
      </c>
      <c r="P43" s="684">
        <f>industrie!O22</f>
        <v>0</v>
      </c>
      <c r="Q43" s="759">
        <f>industrie!P22</f>
        <v>0</v>
      </c>
      <c r="R43" s="839">
        <f t="shared" ca="1" si="4"/>
        <v>156443.43699000371</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315065.01053659699</v>
      </c>
      <c r="D46" s="717">
        <f t="shared" ref="D46:Q46" ca="1" si="5">SUM(D39:D45)</f>
        <v>874.62132352941182</v>
      </c>
      <c r="E46" s="717">
        <f t="shared" ca="1" si="5"/>
        <v>429554.43226103776</v>
      </c>
      <c r="F46" s="717">
        <f t="shared" si="5"/>
        <v>23782.101984692352</v>
      </c>
      <c r="G46" s="717">
        <f t="shared" ca="1" si="5"/>
        <v>80799.656993925397</v>
      </c>
      <c r="H46" s="717">
        <f t="shared" si="5"/>
        <v>0</v>
      </c>
      <c r="I46" s="717">
        <f t="shared" si="5"/>
        <v>0</v>
      </c>
      <c r="J46" s="717">
        <f t="shared" si="5"/>
        <v>0</v>
      </c>
      <c r="K46" s="717">
        <f t="shared" si="5"/>
        <v>893.58600772200339</v>
      </c>
      <c r="L46" s="717">
        <f t="shared" si="5"/>
        <v>0</v>
      </c>
      <c r="M46" s="717">
        <f t="shared" ca="1" si="5"/>
        <v>0</v>
      </c>
      <c r="N46" s="717">
        <f t="shared" si="5"/>
        <v>0</v>
      </c>
      <c r="O46" s="717">
        <f t="shared" ca="1" si="5"/>
        <v>0</v>
      </c>
      <c r="P46" s="717">
        <f t="shared" si="5"/>
        <v>0</v>
      </c>
      <c r="Q46" s="717">
        <f t="shared" si="5"/>
        <v>0</v>
      </c>
      <c r="R46" s="717">
        <f ca="1">SUM(R39:R45)</f>
        <v>850969.40910750395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1911.8961715576354</v>
      </c>
      <c r="D49" s="684">
        <f ca="1">transport!C58</f>
        <v>0</v>
      </c>
      <c r="E49" s="684">
        <f>transport!D58</f>
        <v>0</v>
      </c>
      <c r="F49" s="684">
        <f>transport!E58</f>
        <v>0</v>
      </c>
      <c r="G49" s="684">
        <f>transport!F58</f>
        <v>0</v>
      </c>
      <c r="H49" s="684">
        <f>transport!G58</f>
        <v>11057.727095179987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12969.623266737623</v>
      </c>
    </row>
    <row r="50" spans="1:18">
      <c r="A50" s="815" t="s">
        <v>306</v>
      </c>
      <c r="B50" s="825"/>
      <c r="C50" s="985">
        <f ca="1">transport!B18</f>
        <v>2.7756221347176968</v>
      </c>
      <c r="D50" s="985">
        <f>transport!C18</f>
        <v>0</v>
      </c>
      <c r="E50" s="985">
        <f>transport!D18</f>
        <v>14.557289584115081</v>
      </c>
      <c r="F50" s="985">
        <f>transport!E18</f>
        <v>1844.8914961411581</v>
      </c>
      <c r="G50" s="985">
        <f>transport!F18</f>
        <v>0</v>
      </c>
      <c r="H50" s="985">
        <f>transport!G18</f>
        <v>469472.60555125464</v>
      </c>
      <c r="I50" s="985">
        <f>transport!H18</f>
        <v>63384.337347716493</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534719.16730683111</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1914.671793692353</v>
      </c>
      <c r="D52" s="717">
        <f t="shared" ref="D52:Q52" ca="1" si="6">SUM(D48:D51)</f>
        <v>0</v>
      </c>
      <c r="E52" s="717">
        <f t="shared" si="6"/>
        <v>14.557289584115081</v>
      </c>
      <c r="F52" s="717">
        <f t="shared" si="6"/>
        <v>1844.8914961411581</v>
      </c>
      <c r="G52" s="717">
        <f t="shared" si="6"/>
        <v>0</v>
      </c>
      <c r="H52" s="717">
        <f t="shared" si="6"/>
        <v>480530.33264643466</v>
      </c>
      <c r="I52" s="717">
        <f t="shared" si="6"/>
        <v>63384.337347716493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547688.79057356878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646.35855530520905</v>
      </c>
      <c r="D54" s="985">
        <f ca="1">+landbouw!C12</f>
        <v>0</v>
      </c>
      <c r="E54" s="985">
        <f>+landbouw!D12</f>
        <v>953.21201727644973</v>
      </c>
      <c r="F54" s="985">
        <f>+landbouw!E12</f>
        <v>7.4492180396283851</v>
      </c>
      <c r="G54" s="985">
        <f>+landbouw!F12</f>
        <v>3581.6103982219315</v>
      </c>
      <c r="H54" s="985">
        <f>+landbouw!G12</f>
        <v>0</v>
      </c>
      <c r="I54" s="985">
        <f>+landbouw!H12</f>
        <v>0</v>
      </c>
      <c r="J54" s="985">
        <f>+landbouw!I12</f>
        <v>0</v>
      </c>
      <c r="K54" s="985">
        <f>+landbouw!J12</f>
        <v>99.070539219221786</v>
      </c>
      <c r="L54" s="985">
        <f>+landbouw!K12</f>
        <v>0</v>
      </c>
      <c r="M54" s="985">
        <f>+landbouw!L12</f>
        <v>0</v>
      </c>
      <c r="N54" s="985">
        <f>+landbouw!M12</f>
        <v>0</v>
      </c>
      <c r="O54" s="985">
        <f>+landbouw!N12</f>
        <v>0</v>
      </c>
      <c r="P54" s="985">
        <f>+landbouw!O12</f>
        <v>0</v>
      </c>
      <c r="Q54" s="986">
        <f>+landbouw!P12</f>
        <v>0</v>
      </c>
      <c r="R54" s="716">
        <f ca="1">SUM(C54:Q54)</f>
        <v>5287.7007280624412</v>
      </c>
    </row>
    <row r="55" spans="1:18" ht="15" thickBot="1">
      <c r="A55" s="815" t="s">
        <v>912</v>
      </c>
      <c r="B55" s="825"/>
      <c r="C55" s="985">
        <f ca="1">C25*'EF ele_warmte'!B12</f>
        <v>6173.5566119728246</v>
      </c>
      <c r="D55" s="985"/>
      <c r="E55" s="985">
        <f>E25*EF_CO2_aardgas</f>
        <v>15614.299011181954</v>
      </c>
      <c r="F55" s="985"/>
      <c r="G55" s="985"/>
      <c r="H55" s="985"/>
      <c r="I55" s="985"/>
      <c r="J55" s="985"/>
      <c r="K55" s="985"/>
      <c r="L55" s="985"/>
      <c r="M55" s="985"/>
      <c r="N55" s="985"/>
      <c r="O55" s="985"/>
      <c r="P55" s="985"/>
      <c r="Q55" s="986"/>
      <c r="R55" s="716">
        <f ca="1">SUM(C55:Q55)</f>
        <v>21787.855623154777</v>
      </c>
    </row>
    <row r="56" spans="1:18" ht="15.75" thickBot="1">
      <c r="A56" s="813" t="s">
        <v>913</v>
      </c>
      <c r="B56" s="826"/>
      <c r="C56" s="717">
        <f ca="1">SUM(C54:C55)</f>
        <v>6819.9151672780336</v>
      </c>
      <c r="D56" s="717">
        <f t="shared" ref="D56:Q56" ca="1" si="7">SUM(D54:D55)</f>
        <v>0</v>
      </c>
      <c r="E56" s="717">
        <f t="shared" si="7"/>
        <v>16567.511028458404</v>
      </c>
      <c r="F56" s="717">
        <f t="shared" si="7"/>
        <v>7.4492180396283851</v>
      </c>
      <c r="G56" s="717">
        <f t="shared" si="7"/>
        <v>3581.6103982219315</v>
      </c>
      <c r="H56" s="717">
        <f t="shared" si="7"/>
        <v>0</v>
      </c>
      <c r="I56" s="717">
        <f t="shared" si="7"/>
        <v>0</v>
      </c>
      <c r="J56" s="717">
        <f t="shared" si="7"/>
        <v>0</v>
      </c>
      <c r="K56" s="717">
        <f t="shared" si="7"/>
        <v>99.070539219221786</v>
      </c>
      <c r="L56" s="717">
        <f t="shared" si="7"/>
        <v>0</v>
      </c>
      <c r="M56" s="717">
        <f t="shared" si="7"/>
        <v>0</v>
      </c>
      <c r="N56" s="717">
        <f t="shared" si="7"/>
        <v>0</v>
      </c>
      <c r="O56" s="717">
        <f t="shared" si="7"/>
        <v>0</v>
      </c>
      <c r="P56" s="717">
        <f t="shared" si="7"/>
        <v>0</v>
      </c>
      <c r="Q56" s="718">
        <f t="shared" si="7"/>
        <v>0</v>
      </c>
      <c r="R56" s="719">
        <f ca="1">SUM(R54:R55)</f>
        <v>27075.556351217219</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323799.59749756736</v>
      </c>
      <c r="D61" s="725">
        <f t="shared" ref="D61:Q61" ca="1" si="8">D46+D52+D56</f>
        <v>874.62132352941182</v>
      </c>
      <c r="E61" s="725">
        <f t="shared" ca="1" si="8"/>
        <v>446136.50057908031</v>
      </c>
      <c r="F61" s="725">
        <f t="shared" si="8"/>
        <v>25634.442698873139</v>
      </c>
      <c r="G61" s="725">
        <f t="shared" ca="1" si="8"/>
        <v>84381.267392147332</v>
      </c>
      <c r="H61" s="725">
        <f t="shared" si="8"/>
        <v>480530.33264643466</v>
      </c>
      <c r="I61" s="725">
        <f t="shared" si="8"/>
        <v>63384.337347716493</v>
      </c>
      <c r="J61" s="725">
        <f t="shared" si="8"/>
        <v>0</v>
      </c>
      <c r="K61" s="725">
        <f t="shared" si="8"/>
        <v>992.6565469412252</v>
      </c>
      <c r="L61" s="725">
        <f t="shared" si="8"/>
        <v>0</v>
      </c>
      <c r="M61" s="725">
        <f t="shared" ca="1" si="8"/>
        <v>0</v>
      </c>
      <c r="N61" s="725">
        <f t="shared" si="8"/>
        <v>0</v>
      </c>
      <c r="O61" s="725">
        <f t="shared" ca="1" si="8"/>
        <v>0</v>
      </c>
      <c r="P61" s="725">
        <f t="shared" si="8"/>
        <v>0</v>
      </c>
      <c r="Q61" s="725">
        <f t="shared" si="8"/>
        <v>0</v>
      </c>
      <c r="R61" s="725">
        <f ca="1">R46+R52+R56</f>
        <v>1425733.7560322899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0.20626582786777117</v>
      </c>
      <c r="D63" s="769">
        <f t="shared" ca="1" si="9"/>
        <v>7.8209463957606584E-2</v>
      </c>
      <c r="E63" s="987">
        <f t="shared" ca="1" si="9"/>
        <v>0.20200000000000004</v>
      </c>
      <c r="F63" s="769">
        <f t="shared" si="9"/>
        <v>0.22700000000000001</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69626.263982426244</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26752.992442686897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7465.5</v>
      </c>
      <c r="C76" s="735">
        <f>'lokale energieproductie'!B8*IFERROR(SUM(D76:H76)/SUM(D76:O76),0)</f>
        <v>2474.9999999999995</v>
      </c>
      <c r="D76" s="997">
        <f>'lokale energieproductie'!C8</f>
        <v>0</v>
      </c>
      <c r="E76" s="998">
        <f>'lokale energieproductie'!D8</f>
        <v>0</v>
      </c>
      <c r="F76" s="998">
        <f>'lokale energieproductie'!E8</f>
        <v>2911.7647058823527</v>
      </c>
      <c r="G76" s="998">
        <f>'lokale energieproductie'!F8</f>
        <v>0</v>
      </c>
      <c r="H76" s="998">
        <f>'lokale energieproductie'!G8</f>
        <v>0</v>
      </c>
      <c r="I76" s="998">
        <f>'lokale energieproductie'!I8</f>
        <v>8782.9411764705892</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777.44117647058818</v>
      </c>
      <c r="R76" s="842">
        <v>0</v>
      </c>
    </row>
    <row r="77" spans="1:18" ht="30.75" thickBot="1">
      <c r="A77" s="738" t="s">
        <v>352</v>
      </c>
      <c r="B77" s="735">
        <f>'lokale energieproductie'!B9*IFERROR(SUM(I77:O77)/SUM(D77:O77),0)</f>
        <v>1858.5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5310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105703.25642511314</v>
      </c>
      <c r="C78" s="740">
        <f>SUM(C72:C77)</f>
        <v>2474.9999999999995</v>
      </c>
      <c r="D78" s="741">
        <f t="shared" ref="D78:H78" si="10">SUM(D76:D77)</f>
        <v>0</v>
      </c>
      <c r="E78" s="741">
        <f t="shared" si="10"/>
        <v>0</v>
      </c>
      <c r="F78" s="741">
        <f t="shared" si="10"/>
        <v>2911.7647058823527</v>
      </c>
      <c r="G78" s="741">
        <f t="shared" si="10"/>
        <v>0</v>
      </c>
      <c r="H78" s="741">
        <f t="shared" si="10"/>
        <v>0</v>
      </c>
      <c r="I78" s="741">
        <f>SUM(I76:I77)</f>
        <v>8782.9411764705892</v>
      </c>
      <c r="J78" s="741">
        <f>SUM(J76:J77)</f>
        <v>5310</v>
      </c>
      <c r="K78" s="741">
        <f t="shared" ref="K78:L78" si="11">SUM(K76:K77)</f>
        <v>0</v>
      </c>
      <c r="L78" s="741">
        <f t="shared" si="11"/>
        <v>0</v>
      </c>
      <c r="M78" s="741">
        <f>SUM(M76:M77)</f>
        <v>0</v>
      </c>
      <c r="N78" s="741">
        <f>SUM(N76:N77)</f>
        <v>0</v>
      </c>
      <c r="O78" s="850">
        <f>SUM(O76:O77)</f>
        <v>0</v>
      </c>
      <c r="P78" s="742">
        <v>0</v>
      </c>
      <c r="Q78" s="742">
        <f>SUM(Q76:Q77)</f>
        <v>777.44117647058818</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8398.6875</v>
      </c>
      <c r="C87" s="751">
        <f>'lokale energieproductie'!B17*IFERROR(SUM(D87:H87)/SUM(D87:O87),0)</f>
        <v>2784.3750000000005</v>
      </c>
      <c r="D87" s="762">
        <f>'lokale energieproductie'!C17</f>
        <v>0</v>
      </c>
      <c r="E87" s="762">
        <f>'lokale energieproductie'!D17</f>
        <v>0</v>
      </c>
      <c r="F87" s="762">
        <f>'lokale energieproductie'!E17</f>
        <v>3275.7352941176473</v>
      </c>
      <c r="G87" s="762">
        <f>'lokale energieproductie'!F17</f>
        <v>0</v>
      </c>
      <c r="H87" s="762">
        <f>'lokale energieproductie'!G17</f>
        <v>0</v>
      </c>
      <c r="I87" s="762">
        <f>'lokale energieproductie'!I17</f>
        <v>9880.8088235294108</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874.62132352941182</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8398.6875</v>
      </c>
      <c r="C90" s="740">
        <f>SUM(C87:C89)</f>
        <v>2784.3750000000005</v>
      </c>
      <c r="D90" s="740">
        <f t="shared" ref="D90:H90" si="12">SUM(D87:D89)</f>
        <v>0</v>
      </c>
      <c r="E90" s="740">
        <f t="shared" si="12"/>
        <v>0</v>
      </c>
      <c r="F90" s="740">
        <f t="shared" si="12"/>
        <v>3275.7352941176473</v>
      </c>
      <c r="G90" s="740">
        <f t="shared" si="12"/>
        <v>0</v>
      </c>
      <c r="H90" s="740">
        <f t="shared" si="12"/>
        <v>0</v>
      </c>
      <c r="I90" s="740">
        <f>SUM(I87:I89)</f>
        <v>9880.8088235294108</v>
      </c>
      <c r="J90" s="740">
        <f>SUM(J87:J89)</f>
        <v>0</v>
      </c>
      <c r="K90" s="740">
        <f t="shared" ref="K90:L90" si="13">SUM(K87:K89)</f>
        <v>0</v>
      </c>
      <c r="L90" s="740">
        <f t="shared" si="13"/>
        <v>0</v>
      </c>
      <c r="M90" s="740">
        <f>SUM(M87:M89)</f>
        <v>0</v>
      </c>
      <c r="N90" s="740">
        <f>SUM(N87:N89)</f>
        <v>0</v>
      </c>
      <c r="O90" s="740">
        <f>SUM(O87:O89)</f>
        <v>0</v>
      </c>
      <c r="P90" s="740">
        <v>0</v>
      </c>
      <c r="Q90" s="740">
        <f>SUM(Q87:Q89)</f>
        <v>874.62132352941182</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07" zoomScale="65" zoomScaleNormal="65" workbookViewId="0">
      <selection activeCell="M29" sqref="M2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69626.263982426244</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26752.992442686897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N30</f>
        <v>9940.5</v>
      </c>
      <c r="C8" s="554">
        <f>B49</f>
        <v>0</v>
      </c>
      <c r="D8" s="975"/>
      <c r="E8" s="975">
        <f>E49</f>
        <v>2911.7647058823527</v>
      </c>
      <c r="F8" s="976"/>
      <c r="G8" s="555"/>
      <c r="H8" s="975">
        <f>I49</f>
        <v>0</v>
      </c>
      <c r="I8" s="975">
        <f>G49+F49</f>
        <v>8782.9411764705892</v>
      </c>
      <c r="J8" s="975">
        <f>H49+D49+C49</f>
        <v>0</v>
      </c>
      <c r="K8" s="975"/>
      <c r="L8" s="975"/>
      <c r="M8" s="975"/>
      <c r="N8" s="556"/>
      <c r="O8" s="557">
        <f>C8*$C$12+D8*$D$12+E8*$E$12+F8*$F$12+G8*$G$12+H8*$H$12+I8*$I$12+J8*$J$12</f>
        <v>777.44117647058818</v>
      </c>
      <c r="P8" s="1236"/>
      <c r="Q8" s="1237"/>
      <c r="S8" s="1008"/>
      <c r="T8" s="1224"/>
      <c r="U8" s="1224"/>
    </row>
    <row r="9" spans="1:21" s="542" customFormat="1" ht="17.45" customHeight="1" thickBot="1">
      <c r="A9" s="558" t="s">
        <v>247</v>
      </c>
      <c r="B9" s="1012">
        <f>N37+'Eigen informatie GS &amp; warmtenet'!B12</f>
        <v>1858.5</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108178.25642511314</v>
      </c>
      <c r="C10" s="566">
        <f t="shared" ref="C10:L10" si="0">SUM(C8:C9)</f>
        <v>0</v>
      </c>
      <c r="D10" s="566">
        <f t="shared" si="0"/>
        <v>0</v>
      </c>
      <c r="E10" s="566">
        <f t="shared" si="0"/>
        <v>2911.7647058823527</v>
      </c>
      <c r="F10" s="566">
        <f t="shared" si="0"/>
        <v>0</v>
      </c>
      <c r="G10" s="566">
        <f t="shared" si="0"/>
        <v>0</v>
      </c>
      <c r="H10" s="566">
        <f t="shared" si="0"/>
        <v>0</v>
      </c>
      <c r="I10" s="566">
        <f t="shared" si="0"/>
        <v>8782.9411764705892</v>
      </c>
      <c r="J10" s="566">
        <f t="shared" si="0"/>
        <v>5310</v>
      </c>
      <c r="K10" s="566">
        <f t="shared" si="0"/>
        <v>0</v>
      </c>
      <c r="L10" s="566">
        <f t="shared" si="0"/>
        <v>0</v>
      </c>
      <c r="M10" s="970"/>
      <c r="N10" s="970"/>
      <c r="O10" s="567">
        <f>SUM(O4:O9)</f>
        <v>777.44117647058818</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O30</f>
        <v>11183.0625</v>
      </c>
      <c r="C17" s="578">
        <f>B50</f>
        <v>0</v>
      </c>
      <c r="D17" s="579"/>
      <c r="E17" s="579">
        <f>E50</f>
        <v>3275.7352941176473</v>
      </c>
      <c r="F17" s="580"/>
      <c r="G17" s="581"/>
      <c r="H17" s="578">
        <f>I50</f>
        <v>0</v>
      </c>
      <c r="I17" s="579">
        <f>G50+F50</f>
        <v>9880.8088235294108</v>
      </c>
      <c r="J17" s="579">
        <f>H50+D50+C50</f>
        <v>0</v>
      </c>
      <c r="K17" s="579"/>
      <c r="L17" s="579"/>
      <c r="M17" s="579"/>
      <c r="N17" s="971"/>
      <c r="O17" s="582">
        <f>C17*$C$22+E17*$E$22+H17*$H$22+I17*$I$22+J17*$J$22+D17*$D$22+F17*$F$22+G17*$G$22+K17*$K$22+L17*$L$22</f>
        <v>874.62132352941182</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11183.0625</v>
      </c>
      <c r="C20" s="565">
        <f>SUM(C17:C19)</f>
        <v>0</v>
      </c>
      <c r="D20" s="565">
        <f t="shared" ref="D20:L20" si="1">SUM(D17:D19)</f>
        <v>0</v>
      </c>
      <c r="E20" s="565">
        <f t="shared" si="1"/>
        <v>3275.7352941176473</v>
      </c>
      <c r="F20" s="565">
        <f t="shared" si="1"/>
        <v>0</v>
      </c>
      <c r="G20" s="565">
        <f t="shared" si="1"/>
        <v>0</v>
      </c>
      <c r="H20" s="565">
        <f t="shared" si="1"/>
        <v>0</v>
      </c>
      <c r="I20" s="565">
        <f t="shared" si="1"/>
        <v>9880.8088235294108</v>
      </c>
      <c r="J20" s="565">
        <f t="shared" si="1"/>
        <v>0</v>
      </c>
      <c r="K20" s="565">
        <f t="shared" si="1"/>
        <v>0</v>
      </c>
      <c r="L20" s="565">
        <f t="shared" si="1"/>
        <v>0</v>
      </c>
      <c r="M20" s="565"/>
      <c r="N20" s="565"/>
      <c r="O20" s="586">
        <f>SUM(O17:O19)</f>
        <v>874.62132352941182</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44021</v>
      </c>
      <c r="C28" s="785">
        <v>9031</v>
      </c>
      <c r="D28" s="638" t="s">
        <v>971</v>
      </c>
      <c r="E28" s="637" t="s">
        <v>972</v>
      </c>
      <c r="F28" s="637" t="s">
        <v>973</v>
      </c>
      <c r="G28" s="637" t="s">
        <v>974</v>
      </c>
      <c r="H28" s="637" t="s">
        <v>975</v>
      </c>
      <c r="I28" s="637" t="s">
        <v>972</v>
      </c>
      <c r="J28" s="784">
        <v>40096</v>
      </c>
      <c r="K28" s="784">
        <v>40179</v>
      </c>
      <c r="L28" s="637" t="s">
        <v>976</v>
      </c>
      <c r="M28" s="637">
        <v>9</v>
      </c>
      <c r="N28" s="637">
        <v>40.5</v>
      </c>
      <c r="O28" s="637">
        <v>45.5625</v>
      </c>
      <c r="P28" s="637">
        <v>0</v>
      </c>
      <c r="Q28" s="637">
        <v>0</v>
      </c>
      <c r="R28" s="637">
        <v>0</v>
      </c>
      <c r="S28" s="637">
        <v>0</v>
      </c>
      <c r="T28" s="637">
        <v>0</v>
      </c>
      <c r="U28" s="637">
        <v>101.25</v>
      </c>
      <c r="V28" s="637">
        <v>0</v>
      </c>
      <c r="W28" s="637">
        <v>0</v>
      </c>
      <c r="X28" s="637">
        <v>1600</v>
      </c>
      <c r="Y28" s="637" t="s">
        <v>49</v>
      </c>
      <c r="Z28" s="639" t="s">
        <v>155</v>
      </c>
    </row>
    <row r="29" spans="1:26" s="591" customFormat="1" ht="38.25">
      <c r="A29" s="590"/>
      <c r="B29" s="785">
        <v>44021</v>
      </c>
      <c r="C29" s="785">
        <v>9042</v>
      </c>
      <c r="D29" s="638" t="s">
        <v>977</v>
      </c>
      <c r="E29" s="637" t="s">
        <v>978</v>
      </c>
      <c r="F29" s="637" t="s">
        <v>979</v>
      </c>
      <c r="G29" s="637" t="s">
        <v>974</v>
      </c>
      <c r="H29" s="637" t="s">
        <v>975</v>
      </c>
      <c r="I29" s="637" t="s">
        <v>980</v>
      </c>
      <c r="J29" s="784">
        <v>39812</v>
      </c>
      <c r="K29" s="784">
        <v>39812</v>
      </c>
      <c r="L29" s="637" t="s">
        <v>976</v>
      </c>
      <c r="M29" s="637">
        <v>2200</v>
      </c>
      <c r="N29" s="637">
        <v>9900</v>
      </c>
      <c r="O29" s="637">
        <v>11137.5</v>
      </c>
      <c r="P29" s="637">
        <v>0</v>
      </c>
      <c r="Q29" s="637">
        <v>0</v>
      </c>
      <c r="R29" s="637">
        <v>0</v>
      </c>
      <c r="S29" s="637">
        <v>6187.5</v>
      </c>
      <c r="T29" s="637">
        <v>18562.5</v>
      </c>
      <c r="U29" s="637">
        <v>0</v>
      </c>
      <c r="V29" s="637">
        <v>0</v>
      </c>
      <c r="W29" s="637">
        <v>0</v>
      </c>
      <c r="X29" s="637">
        <v>300</v>
      </c>
      <c r="Y29" s="637" t="s">
        <v>33</v>
      </c>
      <c r="Z29" s="639" t="s">
        <v>390</v>
      </c>
    </row>
    <row r="30" spans="1:26" s="573" customFormat="1">
      <c r="A30" s="593" t="s">
        <v>279</v>
      </c>
      <c r="B30" s="594"/>
      <c r="C30" s="594"/>
      <c r="D30" s="594"/>
      <c r="E30" s="594"/>
      <c r="F30" s="594"/>
      <c r="G30" s="594"/>
      <c r="H30" s="594"/>
      <c r="I30" s="594"/>
      <c r="J30" s="594"/>
      <c r="K30" s="594"/>
      <c r="L30" s="595"/>
      <c r="M30" s="595">
        <f>SUM(M28:M29)</f>
        <v>2209</v>
      </c>
      <c r="N30" s="595">
        <f>SUM(N28:N29)</f>
        <v>9940.5</v>
      </c>
      <c r="O30" s="595">
        <f>SUM(O28:O29)</f>
        <v>11183.0625</v>
      </c>
      <c r="P30" s="595">
        <f>SUM(P28:P29)</f>
        <v>0</v>
      </c>
      <c r="Q30" s="595">
        <f>SUM(Q28:Q29)</f>
        <v>0</v>
      </c>
      <c r="R30" s="595">
        <f>SUM(R28:R29)</f>
        <v>0</v>
      </c>
      <c r="S30" s="595">
        <f>SUM(S28:S29)</f>
        <v>6187.5</v>
      </c>
      <c r="T30" s="595">
        <f>SUM(T28:T29)</f>
        <v>18562.5</v>
      </c>
      <c r="U30" s="595">
        <f>SUM(U28:U29)</f>
        <v>101.25</v>
      </c>
      <c r="V30" s="595">
        <f>SUM(V28:V29)</f>
        <v>0</v>
      </c>
      <c r="W30" s="595">
        <f>SUM(W28:W29)</f>
        <v>0</v>
      </c>
      <c r="X30" s="596"/>
      <c r="Y30" s="596"/>
      <c r="Z30" s="597"/>
    </row>
    <row r="31" spans="1:26" s="573" customFormat="1">
      <c r="A31" s="593" t="s">
        <v>286</v>
      </c>
      <c r="B31" s="594"/>
      <c r="C31" s="594"/>
      <c r="D31" s="594"/>
      <c r="E31" s="594"/>
      <c r="F31" s="594"/>
      <c r="G31" s="594"/>
      <c r="H31" s="594"/>
      <c r="I31" s="594"/>
      <c r="J31" s="594"/>
      <c r="K31" s="594"/>
      <c r="L31" s="595"/>
      <c r="M31" s="595">
        <f>SUMIF($Z$28:$Z$29,"industrie",M28:M29)</f>
        <v>2200</v>
      </c>
      <c r="N31" s="595">
        <f>SUMIF($Z$28:$Z$29,"industrie",N28:N29)</f>
        <v>9900</v>
      </c>
      <c r="O31" s="595">
        <f>SUMIF($Z$28:$Z$29,"industrie",O28:O29)</f>
        <v>11137.5</v>
      </c>
      <c r="P31" s="595">
        <f>SUMIF($Z$28:$Z$29,"industrie",P28:P29)</f>
        <v>0</v>
      </c>
      <c r="Q31" s="595">
        <f>SUMIF($Z$28:$Z$29,"industrie",Q28:Q29)</f>
        <v>0</v>
      </c>
      <c r="R31" s="595">
        <f>SUMIF($Z$28:$Z$29,"industrie",R28:R29)</f>
        <v>0</v>
      </c>
      <c r="S31" s="595">
        <f>SUMIF($Z$28:$Z$29,"industrie",S28:S29)</f>
        <v>6187.5</v>
      </c>
      <c r="T31" s="595">
        <f>SUMIF($Z$28:$Z$29,"industrie",T28:T29)</f>
        <v>18562.5</v>
      </c>
      <c r="U31" s="595">
        <f>SUMIF($Z$28:$Z$29,"industrie",U28:U29)</f>
        <v>0</v>
      </c>
      <c r="V31" s="595">
        <f>SUMIF($Z$28:$Z$29,"industrie",V28:V29)</f>
        <v>0</v>
      </c>
      <c r="W31" s="595">
        <f>SUMIF($Z$28:$Z$29,"industrie",W28:W29)</f>
        <v>0</v>
      </c>
      <c r="X31" s="596"/>
      <c r="Y31" s="596"/>
      <c r="Z31" s="597"/>
    </row>
    <row r="32" spans="1:26" s="573" customFormat="1">
      <c r="A32" s="593" t="s">
        <v>287</v>
      </c>
      <c r="B32" s="594"/>
      <c r="C32" s="594"/>
      <c r="D32" s="594"/>
      <c r="E32" s="594"/>
      <c r="F32" s="594"/>
      <c r="G32" s="594"/>
      <c r="H32" s="594"/>
      <c r="I32" s="594"/>
      <c r="J32" s="594"/>
      <c r="K32" s="594"/>
      <c r="L32" s="595"/>
      <c r="M32" s="595">
        <f ca="1">SUMIF($Z$28:AC29,"tertiair",M28:M29)</f>
        <v>9</v>
      </c>
      <c r="N32" s="595">
        <f ca="1">SUMIF($Z$28:AD29,"tertiair",N28:N29)</f>
        <v>40.5</v>
      </c>
      <c r="O32" s="595">
        <f ca="1">SUMIF($Z$28:AE29,"tertiair",O28:O29)</f>
        <v>45.5625</v>
      </c>
      <c r="P32" s="595">
        <f ca="1">SUMIF($Z$28:AF29,"tertiair",P28:P29)</f>
        <v>0</v>
      </c>
      <c r="Q32" s="595">
        <f ca="1">SUMIF($Z$28:AG29,"tertiair",Q28:Q29)</f>
        <v>0</v>
      </c>
      <c r="R32" s="595">
        <f ca="1">SUMIF($Z$28:AH29,"tertiair",R28:R29)</f>
        <v>0</v>
      </c>
      <c r="S32" s="595">
        <f ca="1">SUMIF($Z$28:AI29,"tertiair",S28:S29)</f>
        <v>0</v>
      </c>
      <c r="T32" s="595">
        <f ca="1">SUMIF($Z$28:AJ29,"tertiair",T28:T29)</f>
        <v>0</v>
      </c>
      <c r="U32" s="595">
        <f ca="1">SUMIF($Z$28:AK29,"tertiair",U28:U29)</f>
        <v>101.25</v>
      </c>
      <c r="V32" s="595">
        <f ca="1">SUMIF($Z$28:AL29,"tertiair",V28:V29)</f>
        <v>0</v>
      </c>
      <c r="W32" s="595">
        <f ca="1">SUMIF($Z$28:AM29,"tertiair",W28:W29)</f>
        <v>0</v>
      </c>
      <c r="X32" s="596"/>
      <c r="Y32" s="596"/>
      <c r="Z32" s="597"/>
    </row>
    <row r="33" spans="1:27" s="573" customFormat="1" ht="15.75" thickBot="1">
      <c r="A33" s="598" t="s">
        <v>288</v>
      </c>
      <c r="B33" s="599"/>
      <c r="C33" s="599"/>
      <c r="D33" s="599"/>
      <c r="E33" s="599"/>
      <c r="F33" s="599"/>
      <c r="G33" s="599"/>
      <c r="H33" s="599"/>
      <c r="I33" s="599"/>
      <c r="J33" s="599"/>
      <c r="K33" s="599"/>
      <c r="L33" s="600"/>
      <c r="M33" s="600">
        <f>SUMIF($Z$28:$Z$29,"landbouw",M28:M29)</f>
        <v>0</v>
      </c>
      <c r="N33" s="600">
        <f>SUMIF($Z$28:$Z$29,"landbouw",N28:N29)</f>
        <v>0</v>
      </c>
      <c r="O33" s="600">
        <f>SUMIF($Z$28:$Z$29,"landbouw",O28:O29)</f>
        <v>0</v>
      </c>
      <c r="P33" s="600">
        <f>SUMIF($Z$28:$Z$29,"landbouw",P28:P29)</f>
        <v>0</v>
      </c>
      <c r="Q33" s="600">
        <f>SUMIF($Z$28:$Z$29,"landbouw",Q28:Q29)</f>
        <v>0</v>
      </c>
      <c r="R33" s="600">
        <f>SUMIF($Z$28:$Z$29,"landbouw",R28:R29)</f>
        <v>0</v>
      </c>
      <c r="S33" s="600">
        <f>SUMIF($Z$28:$Z$29,"landbouw",S28:S29)</f>
        <v>0</v>
      </c>
      <c r="T33" s="600">
        <f>SUMIF($Z$28:$Z$29,"landbouw",T28:T29)</f>
        <v>0</v>
      </c>
      <c r="U33" s="600">
        <f>SUMIF($Z$28:$Z$29,"landbouw",U28:U29)</f>
        <v>0</v>
      </c>
      <c r="V33" s="600">
        <f>SUMIF($Z$28:$Z$29,"landbouw",V28:V29)</f>
        <v>0</v>
      </c>
      <c r="W33" s="600">
        <f>SUMIF($Z$28:$Z$29,"landbouw",W28:W29)</f>
        <v>0</v>
      </c>
      <c r="X33" s="601"/>
      <c r="Y33" s="601"/>
      <c r="Z33" s="602"/>
    </row>
    <row r="34" spans="1:27" s="542" customFormat="1" ht="15.75" thickBot="1">
      <c r="A34" s="603"/>
      <c r="B34" s="604"/>
      <c r="C34" s="604"/>
      <c r="D34" s="604"/>
      <c r="E34" s="604"/>
      <c r="F34" s="604"/>
      <c r="G34" s="604"/>
      <c r="H34" s="604"/>
      <c r="I34" s="604"/>
      <c r="J34" s="604"/>
      <c r="K34" s="604"/>
      <c r="L34" s="587"/>
      <c r="M34" s="587"/>
      <c r="N34" s="587"/>
      <c r="O34" s="588"/>
      <c r="P34" s="588"/>
    </row>
    <row r="35" spans="1:27" s="542" customFormat="1" ht="45">
      <c r="A35" s="605" t="s">
        <v>280</v>
      </c>
      <c r="B35" s="634" t="s">
        <v>89</v>
      </c>
      <c r="C35" s="634" t="s">
        <v>90</v>
      </c>
      <c r="D35" s="634" t="s">
        <v>91</v>
      </c>
      <c r="E35" s="634" t="s">
        <v>92</v>
      </c>
      <c r="F35" s="634" t="s">
        <v>93</v>
      </c>
      <c r="G35" s="634" t="s">
        <v>94</v>
      </c>
      <c r="H35" s="634" t="s">
        <v>95</v>
      </c>
      <c r="I35" s="634" t="s">
        <v>96</v>
      </c>
      <c r="J35" s="634" t="s">
        <v>97</v>
      </c>
      <c r="K35" s="634" t="s">
        <v>98</v>
      </c>
      <c r="L35" s="634" t="s">
        <v>99</v>
      </c>
      <c r="M35" s="635" t="s">
        <v>297</v>
      </c>
      <c r="N35" s="635" t="s">
        <v>100</v>
      </c>
      <c r="O35" s="635" t="s">
        <v>101</v>
      </c>
      <c r="P35" s="635" t="s">
        <v>545</v>
      </c>
      <c r="Q35" s="635" t="s">
        <v>102</v>
      </c>
      <c r="R35" s="635" t="s">
        <v>103</v>
      </c>
      <c r="S35" s="635" t="s">
        <v>104</v>
      </c>
      <c r="T35" s="635" t="s">
        <v>105</v>
      </c>
      <c r="U35" s="635" t="s">
        <v>106</v>
      </c>
      <c r="V35" s="635" t="s">
        <v>107</v>
      </c>
      <c r="W35" s="634" t="s">
        <v>108</v>
      </c>
      <c r="X35" s="634" t="s">
        <v>298</v>
      </c>
      <c r="Y35" s="634" t="s">
        <v>109</v>
      </c>
      <c r="Z35" s="636" t="s">
        <v>299</v>
      </c>
    </row>
    <row r="36" spans="1:27" s="606" customFormat="1" ht="63.75">
      <c r="A36" s="592"/>
      <c r="B36" s="785">
        <v>44021</v>
      </c>
      <c r="C36" s="785">
        <v>9000</v>
      </c>
      <c r="D36" s="640" t="s">
        <v>981</v>
      </c>
      <c r="E36" s="640" t="s">
        <v>982</v>
      </c>
      <c r="F36" s="640" t="s">
        <v>983</v>
      </c>
      <c r="G36" s="640" t="s">
        <v>984</v>
      </c>
      <c r="H36" s="640" t="s">
        <v>985</v>
      </c>
      <c r="I36" s="640" t="s">
        <v>986</v>
      </c>
      <c r="J36" s="784">
        <v>38292</v>
      </c>
      <c r="K36" s="784">
        <v>38687</v>
      </c>
      <c r="L36" s="640" t="s">
        <v>987</v>
      </c>
      <c r="M36" s="640">
        <v>413</v>
      </c>
      <c r="N36" s="640">
        <v>1858.5</v>
      </c>
      <c r="O36" s="640">
        <v>0</v>
      </c>
      <c r="P36" s="640">
        <v>0</v>
      </c>
      <c r="Q36" s="640">
        <v>5310</v>
      </c>
      <c r="R36" s="640">
        <v>0</v>
      </c>
      <c r="S36" s="640">
        <v>0</v>
      </c>
      <c r="T36" s="640">
        <v>0</v>
      </c>
      <c r="U36" s="640">
        <v>0</v>
      </c>
      <c r="V36" s="640">
        <v>0</v>
      </c>
      <c r="W36" s="640">
        <v>0</v>
      </c>
      <c r="X36" s="640">
        <v>1600</v>
      </c>
      <c r="Y36" s="640" t="s">
        <v>49</v>
      </c>
      <c r="Z36" s="641" t="s">
        <v>155</v>
      </c>
    </row>
    <row r="37" spans="1:27" s="573" customFormat="1">
      <c r="A37" s="593" t="s">
        <v>279</v>
      </c>
      <c r="B37" s="594"/>
      <c r="C37" s="594"/>
      <c r="D37" s="594"/>
      <c r="E37" s="594"/>
      <c r="F37" s="594"/>
      <c r="G37" s="594"/>
      <c r="H37" s="594"/>
      <c r="I37" s="594"/>
      <c r="J37" s="594"/>
      <c r="K37" s="594"/>
      <c r="L37" s="595"/>
      <c r="M37" s="595">
        <f>SUM(M36:M36)</f>
        <v>413</v>
      </c>
      <c r="N37" s="595">
        <f>SUM(N36:N36)</f>
        <v>1858.5</v>
      </c>
      <c r="O37" s="595">
        <f>SUM(O36:O36)</f>
        <v>0</v>
      </c>
      <c r="P37" s="595">
        <f>SUM(P36:P36)</f>
        <v>0</v>
      </c>
      <c r="Q37" s="595">
        <f>SUM(Q36:Q36)</f>
        <v>5310</v>
      </c>
      <c r="R37" s="595">
        <f>SUM(R36:R36)</f>
        <v>0</v>
      </c>
      <c r="S37" s="595">
        <f>SUM(S36:S36)</f>
        <v>0</v>
      </c>
      <c r="T37" s="595">
        <f>SUM(T36:T36)</f>
        <v>0</v>
      </c>
      <c r="U37" s="595">
        <f>SUM(U36:U36)</f>
        <v>0</v>
      </c>
      <c r="V37" s="595">
        <f>SUM(V36:V36)</f>
        <v>0</v>
      </c>
      <c r="W37" s="595">
        <f>SUM(W36:W36)</f>
        <v>0</v>
      </c>
      <c r="X37" s="596"/>
      <c r="Y37" s="596"/>
      <c r="Z37" s="597"/>
    </row>
    <row r="38" spans="1:27" s="573" customFormat="1">
      <c r="A38" s="593" t="s">
        <v>286</v>
      </c>
      <c r="B38" s="594"/>
      <c r="C38" s="594"/>
      <c r="D38" s="594"/>
      <c r="E38" s="594"/>
      <c r="F38" s="594"/>
      <c r="G38" s="594"/>
      <c r="H38" s="594"/>
      <c r="I38" s="594"/>
      <c r="J38" s="594"/>
      <c r="K38" s="594"/>
      <c r="L38" s="595"/>
      <c r="M38" s="595">
        <f>SUMIF($Z$36:$Z$36,"industrie",M36:M36)</f>
        <v>0</v>
      </c>
      <c r="N38" s="595">
        <f>SUMIF($Z$36:$Z$36,"industrie",N36:N36)</f>
        <v>0</v>
      </c>
      <c r="O38" s="595">
        <f>SUMIF($Z$36:$Z$36,"industrie",O36:O36)</f>
        <v>0</v>
      </c>
      <c r="P38" s="595">
        <f>SUMIF($Z$36:$Z$36,"industrie",P36:P36)</f>
        <v>0</v>
      </c>
      <c r="Q38" s="595">
        <f>SUMIF($Z$36:$Z$36,"industrie",Q36:Q36)</f>
        <v>0</v>
      </c>
      <c r="R38" s="595">
        <f>SUMIF($Z$36:$Z$36,"industrie",R36:R36)</f>
        <v>0</v>
      </c>
      <c r="S38" s="595">
        <f>SUMIF($Z$36:$Z$36,"industrie",S36:S36)</f>
        <v>0</v>
      </c>
      <c r="T38" s="595">
        <f>SUMIF($Z$36:$Z$36,"industrie",T36:T36)</f>
        <v>0</v>
      </c>
      <c r="U38" s="595">
        <f>SUMIF($Z$36:$Z$36,"industrie",U36:U36)</f>
        <v>0</v>
      </c>
      <c r="V38" s="595">
        <f>SUMIF($Z$36:$Z$36,"industrie",V36:V36)</f>
        <v>0</v>
      </c>
      <c r="W38" s="595">
        <f>SUMIF($Z$36:$Z$36,"industrie",W36:W36)</f>
        <v>0</v>
      </c>
      <c r="X38" s="596"/>
      <c r="Y38" s="596"/>
      <c r="Z38" s="597"/>
    </row>
    <row r="39" spans="1:27" s="573" customFormat="1">
      <c r="A39" s="593" t="s">
        <v>287</v>
      </c>
      <c r="B39" s="594"/>
      <c r="C39" s="594"/>
      <c r="D39" s="594"/>
      <c r="E39" s="594"/>
      <c r="F39" s="594"/>
      <c r="G39" s="594"/>
      <c r="H39" s="594"/>
      <c r="I39" s="594"/>
      <c r="J39" s="594"/>
      <c r="K39" s="594"/>
      <c r="L39" s="595"/>
      <c r="M39" s="595">
        <f>SUMIF($Z$36:$Z$37,"tertiair",M36:M37)</f>
        <v>413</v>
      </c>
      <c r="N39" s="595">
        <f>SUMIF($Z$36:$Z$37,"tertiair",N36:N37)</f>
        <v>1858.5</v>
      </c>
      <c r="O39" s="595">
        <f>SUMIF($Z$36:$Z$37,"tertiair",O36:O37)</f>
        <v>0</v>
      </c>
      <c r="P39" s="595">
        <f>SUMIF($Z$36:$Z$37,"tertiair",P36:P37)</f>
        <v>0</v>
      </c>
      <c r="Q39" s="595">
        <f>SUMIF($Z$36:$Z$37,"tertiair",Q36:Q37)</f>
        <v>5310</v>
      </c>
      <c r="R39" s="595">
        <f>SUMIF($Z$36:$Z$37,"tertiair",R36:R37)</f>
        <v>0</v>
      </c>
      <c r="S39" s="595">
        <f>SUMIF($Z$36:$Z$37,"tertiair",S36:S37)</f>
        <v>0</v>
      </c>
      <c r="T39" s="595">
        <f>SUMIF($Z$36:$Z$37,"tertiair",T36:T37)</f>
        <v>0</v>
      </c>
      <c r="U39" s="595">
        <f>SUMIF($Z$36:$Z$37,"tertiair",U36:U37)</f>
        <v>0</v>
      </c>
      <c r="V39" s="595">
        <f>SUMIF($Z$36:$Z$37,"tertiair",V36:V37)</f>
        <v>0</v>
      </c>
      <c r="W39" s="595">
        <f>SUMIF($Z$36:$Z$37,"tertiair",W36:W37)</f>
        <v>0</v>
      </c>
      <c r="X39" s="596"/>
      <c r="Y39" s="596"/>
      <c r="Z39" s="597"/>
    </row>
    <row r="40" spans="1:27" s="573" customFormat="1" ht="15.75" thickBot="1">
      <c r="A40" s="598" t="s">
        <v>288</v>
      </c>
      <c r="B40" s="599"/>
      <c r="C40" s="599"/>
      <c r="D40" s="599"/>
      <c r="E40" s="599"/>
      <c r="F40" s="599"/>
      <c r="G40" s="599"/>
      <c r="H40" s="599"/>
      <c r="I40" s="599"/>
      <c r="J40" s="599"/>
      <c r="K40" s="599"/>
      <c r="L40" s="600"/>
      <c r="M40" s="600">
        <f>SUMIF($Z$36:$Z$38,"landbouw",M36:M38)</f>
        <v>0</v>
      </c>
      <c r="N40" s="600">
        <f>SUMIF($Z$36:$Z$38,"landbouw",N36:N38)</f>
        <v>0</v>
      </c>
      <c r="O40" s="600">
        <f>SUMIF($Z$36:$Z$38,"landbouw",O36:O38)</f>
        <v>0</v>
      </c>
      <c r="P40" s="600">
        <f>SUMIF($Z$36:$Z$38,"landbouw",P36:P38)</f>
        <v>0</v>
      </c>
      <c r="Q40" s="600">
        <f>SUMIF($Z$36:$Z$38,"landbouw",Q36:Q38)</f>
        <v>0</v>
      </c>
      <c r="R40" s="600">
        <f>SUMIF($Z$36:$Z$38,"landbouw",R36:R38)</f>
        <v>0</v>
      </c>
      <c r="S40" s="600">
        <f>SUMIF($Z$36:$Z$38,"landbouw",S36:S38)</f>
        <v>0</v>
      </c>
      <c r="T40" s="600">
        <f>SUMIF($Z$36:$Z$38,"landbouw",T36:T38)</f>
        <v>0</v>
      </c>
      <c r="U40" s="600">
        <f>SUMIF($Z$36:$Z$38,"landbouw",U36:U38)</f>
        <v>0</v>
      </c>
      <c r="V40" s="600">
        <f>SUMIF($Z$36:$Z$38,"landbouw",V36:V38)</f>
        <v>0</v>
      </c>
      <c r="W40" s="600">
        <f>SUMIF($Z$36:$Z$38,"landbouw",W36:W38)</f>
        <v>0</v>
      </c>
      <c r="X40" s="601"/>
      <c r="Y40" s="601"/>
      <c r="Z40" s="602"/>
    </row>
    <row r="41" spans="1:27" s="607" customForma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row>
    <row r="42" spans="1:27" s="607" customFormat="1" ht="15.75" thickBo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row>
    <row r="43" spans="1:27">
      <c r="A43" s="608" t="s">
        <v>281</v>
      </c>
      <c r="B43" s="609"/>
      <c r="C43" s="609"/>
      <c r="D43" s="609"/>
      <c r="E43" s="609"/>
      <c r="F43" s="609"/>
      <c r="G43" s="609"/>
      <c r="H43" s="609"/>
      <c r="I43" s="610"/>
      <c r="J43" s="611"/>
      <c r="K43" s="611"/>
      <c r="L43" s="612"/>
      <c r="M43" s="612"/>
      <c r="N43" s="612"/>
      <c r="O43" s="612"/>
      <c r="P43" s="612"/>
    </row>
    <row r="44" spans="1:27">
      <c r="A44" s="614"/>
      <c r="B44" s="604"/>
      <c r="C44" s="604"/>
      <c r="D44" s="604"/>
      <c r="E44" s="604"/>
      <c r="F44" s="604"/>
      <c r="G44" s="604"/>
      <c r="H44" s="604"/>
      <c r="I44" s="615"/>
      <c r="J44" s="604"/>
      <c r="K44" s="604"/>
      <c r="L44" s="612"/>
      <c r="M44" s="612"/>
      <c r="N44" s="612"/>
      <c r="O44" s="612"/>
      <c r="P44" s="612"/>
    </row>
    <row r="45" spans="1:27">
      <c r="A45" s="616"/>
      <c r="B45" s="617" t="s">
        <v>282</v>
      </c>
      <c r="C45" s="617" t="s">
        <v>283</v>
      </c>
      <c r="D45" s="617"/>
      <c r="E45" s="617"/>
      <c r="F45" s="617"/>
      <c r="G45" s="617"/>
      <c r="H45" s="617"/>
      <c r="I45" s="618"/>
      <c r="J45" s="617"/>
      <c r="K45" s="617"/>
      <c r="L45" s="617"/>
      <c r="M45" s="617"/>
      <c r="N45" s="617"/>
      <c r="O45" s="617"/>
      <c r="P45" s="612"/>
    </row>
    <row r="46" spans="1:27">
      <c r="A46" s="614" t="s">
        <v>279</v>
      </c>
      <c r="B46" s="619">
        <f>IF(ISERROR(O30/(O30+N30)),0,O30/(O30+N30))</f>
        <v>0.52941176470588236</v>
      </c>
      <c r="C46" s="620">
        <f>IF(ISERROR(N30/(O30+N30)),0,N30/(N30+O30))</f>
        <v>0.47058823529411764</v>
      </c>
      <c r="D46" s="587"/>
      <c r="E46" s="587"/>
      <c r="F46" s="587"/>
      <c r="G46" s="587"/>
      <c r="H46" s="587"/>
      <c r="I46" s="621"/>
      <c r="J46" s="587"/>
      <c r="K46" s="587"/>
      <c r="L46" s="622"/>
      <c r="M46" s="622"/>
      <c r="N46" s="622"/>
      <c r="O46" s="622"/>
      <c r="P46" s="612"/>
    </row>
    <row r="47" spans="1:27">
      <c r="A47" s="614"/>
      <c r="B47" s="623"/>
      <c r="C47" s="623"/>
      <c r="D47" s="623"/>
      <c r="E47" s="623"/>
      <c r="F47" s="623"/>
      <c r="G47" s="623"/>
      <c r="H47" s="623"/>
      <c r="I47" s="624"/>
      <c r="J47" s="623"/>
      <c r="K47" s="623"/>
      <c r="L47" s="625"/>
      <c r="M47" s="625"/>
      <c r="N47" s="625"/>
      <c r="O47" s="625"/>
      <c r="P47" s="612"/>
    </row>
    <row r="48" spans="1:27" ht="30">
      <c r="A48" s="626"/>
      <c r="B48" s="627" t="s">
        <v>545</v>
      </c>
      <c r="C48" s="627" t="s">
        <v>102</v>
      </c>
      <c r="D48" s="627" t="s">
        <v>103</v>
      </c>
      <c r="E48" s="627" t="s">
        <v>104</v>
      </c>
      <c r="F48" s="627" t="s">
        <v>105</v>
      </c>
      <c r="G48" s="627" t="s">
        <v>106</v>
      </c>
      <c r="H48" s="627" t="s">
        <v>107</v>
      </c>
      <c r="I48" s="628" t="s">
        <v>108</v>
      </c>
      <c r="J48" s="617"/>
      <c r="K48" s="617"/>
      <c r="L48" s="625"/>
      <c r="M48" s="625"/>
      <c r="N48" s="625"/>
      <c r="O48" s="612"/>
      <c r="P48" s="612"/>
    </row>
    <row r="49" spans="1:16">
      <c r="A49" s="616" t="s">
        <v>284</v>
      </c>
      <c r="B49" s="629">
        <f t="shared" ref="B49:I49" si="2">$C$46*P30</f>
        <v>0</v>
      </c>
      <c r="C49" s="629">
        <f t="shared" si="2"/>
        <v>0</v>
      </c>
      <c r="D49" s="629">
        <f t="shared" si="2"/>
        <v>0</v>
      </c>
      <c r="E49" s="629">
        <f t="shared" si="2"/>
        <v>2911.7647058823527</v>
      </c>
      <c r="F49" s="629">
        <f t="shared" si="2"/>
        <v>8735.2941176470595</v>
      </c>
      <c r="G49" s="629">
        <f t="shared" si="2"/>
        <v>47.647058823529413</v>
      </c>
      <c r="H49" s="629">
        <f t="shared" si="2"/>
        <v>0</v>
      </c>
      <c r="I49" s="630">
        <f t="shared" si="2"/>
        <v>0</v>
      </c>
      <c r="J49" s="587"/>
      <c r="K49" s="587"/>
      <c r="L49" s="625"/>
      <c r="M49" s="625"/>
      <c r="N49" s="625"/>
      <c r="O49" s="612"/>
      <c r="P49" s="612"/>
    </row>
    <row r="50" spans="1:16" ht="15.75" thickBot="1">
      <c r="A50" s="631" t="s">
        <v>285</v>
      </c>
      <c r="B50" s="632">
        <f t="shared" ref="B50:I50" si="3">$B$46*P30</f>
        <v>0</v>
      </c>
      <c r="C50" s="632">
        <f t="shared" si="3"/>
        <v>0</v>
      </c>
      <c r="D50" s="632">
        <f t="shared" si="3"/>
        <v>0</v>
      </c>
      <c r="E50" s="632">
        <f t="shared" si="3"/>
        <v>3275.7352941176473</v>
      </c>
      <c r="F50" s="632">
        <f t="shared" si="3"/>
        <v>9827.2058823529405</v>
      </c>
      <c r="G50" s="632">
        <f t="shared" si="3"/>
        <v>53.602941176470587</v>
      </c>
      <c r="H50" s="632">
        <f t="shared" si="3"/>
        <v>0</v>
      </c>
      <c r="I50" s="633">
        <f t="shared" si="3"/>
        <v>0</v>
      </c>
      <c r="J50" s="587"/>
      <c r="K50" s="587"/>
      <c r="L50" s="625"/>
      <c r="M50" s="625"/>
      <c r="N50" s="625"/>
      <c r="O50" s="612"/>
      <c r="P50" s="612"/>
    </row>
    <row r="51" spans="1:16">
      <c r="J51" s="571"/>
      <c r="K51" s="571"/>
      <c r="L51" s="571"/>
      <c r="M51" s="571"/>
      <c r="N51" s="571"/>
    </row>
    <row r="52" spans="1:16">
      <c r="J52" s="571"/>
      <c r="K52" s="571"/>
      <c r="L52" s="571"/>
      <c r="M52" s="571"/>
      <c r="N52"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397592.67882950359</v>
      </c>
      <c r="C4" s="457">
        <f>huishoudens!C8</f>
        <v>0</v>
      </c>
      <c r="D4" s="457">
        <f>huishoudens!D8</f>
        <v>1063140.65071419</v>
      </c>
      <c r="E4" s="457">
        <f>huishoudens!E8</f>
        <v>85266.788853788268</v>
      </c>
      <c r="F4" s="457">
        <f>huishoudens!F8</f>
        <v>56058.027140635197</v>
      </c>
      <c r="G4" s="457">
        <f>huishoudens!G8</f>
        <v>0</v>
      </c>
      <c r="H4" s="457">
        <f>huishoudens!H8</f>
        <v>0</v>
      </c>
      <c r="I4" s="457">
        <f>huishoudens!I8</f>
        <v>0</v>
      </c>
      <c r="J4" s="457">
        <f>huishoudens!J8</f>
        <v>0</v>
      </c>
      <c r="K4" s="457">
        <f>huishoudens!K8</f>
        <v>0</v>
      </c>
      <c r="L4" s="457">
        <f>huishoudens!L8</f>
        <v>0</v>
      </c>
      <c r="M4" s="457">
        <f>huishoudens!M8</f>
        <v>0</v>
      </c>
      <c r="N4" s="457">
        <f>huishoudens!N8</f>
        <v>77971.002601350046</v>
      </c>
      <c r="O4" s="457">
        <f>huishoudens!O8</f>
        <v>759.78000000000009</v>
      </c>
      <c r="P4" s="458">
        <f>huishoudens!P8</f>
        <v>819.86666666666667</v>
      </c>
      <c r="Q4" s="459">
        <f>SUM(B4:P4)</f>
        <v>1681608.7948061337</v>
      </c>
    </row>
    <row r="5" spans="1:17">
      <c r="A5" s="456" t="s">
        <v>155</v>
      </c>
      <c r="B5" s="457">
        <f ca="1">tertiair!B16</f>
        <v>736760.84726600861</v>
      </c>
      <c r="C5" s="457">
        <f ca="1">tertiair!C16</f>
        <v>45.5625</v>
      </c>
      <c r="D5" s="457">
        <f ca="1">tertiair!D16</f>
        <v>791993.93395062489</v>
      </c>
      <c r="E5" s="457">
        <f>tertiair!E16</f>
        <v>15448.480227612739</v>
      </c>
      <c r="F5" s="457">
        <f ca="1">tertiair!F16</f>
        <v>166459.37851977578</v>
      </c>
      <c r="G5" s="457">
        <f>tertiair!G16</f>
        <v>0</v>
      </c>
      <c r="H5" s="457">
        <f>tertiair!H16</f>
        <v>0</v>
      </c>
      <c r="I5" s="457">
        <f>tertiair!I16</f>
        <v>0</v>
      </c>
      <c r="J5" s="457">
        <f>tertiair!J16</f>
        <v>0</v>
      </c>
      <c r="K5" s="457">
        <f>tertiair!K16</f>
        <v>0</v>
      </c>
      <c r="L5" s="457">
        <f ca="1">tertiair!L16</f>
        <v>0</v>
      </c>
      <c r="M5" s="457">
        <f>tertiair!M16</f>
        <v>0</v>
      </c>
      <c r="N5" s="457">
        <f ca="1">tertiair!N16</f>
        <v>9254.220884834609</v>
      </c>
      <c r="O5" s="457">
        <f>tertiair!O16</f>
        <v>20.323333333333334</v>
      </c>
      <c r="P5" s="458">
        <f>tertiair!P16</f>
        <v>209.73333333333335</v>
      </c>
      <c r="Q5" s="456">
        <f t="shared" ref="Q5:Q14" ca="1" si="0">SUM(B5:P5)</f>
        <v>1720192.4800155233</v>
      </c>
    </row>
    <row r="6" spans="1:17">
      <c r="A6" s="456" t="s">
        <v>193</v>
      </c>
      <c r="B6" s="457">
        <f>'openbare verlichting'!B8</f>
        <v>17125.183000000001</v>
      </c>
      <c r="C6" s="457"/>
      <c r="D6" s="457"/>
      <c r="E6" s="457"/>
      <c r="F6" s="457"/>
      <c r="G6" s="457"/>
      <c r="H6" s="457"/>
      <c r="I6" s="457"/>
      <c r="J6" s="457"/>
      <c r="K6" s="457"/>
      <c r="L6" s="457"/>
      <c r="M6" s="457"/>
      <c r="N6" s="457"/>
      <c r="O6" s="457"/>
      <c r="P6" s="458"/>
      <c r="Q6" s="456">
        <f t="shared" si="0"/>
        <v>17125.183000000001</v>
      </c>
    </row>
    <row r="7" spans="1:17">
      <c r="A7" s="456" t="s">
        <v>111</v>
      </c>
      <c r="B7" s="457">
        <f>landbouw!B8</f>
        <v>3133.6191844611503</v>
      </c>
      <c r="C7" s="457">
        <f>landbouw!C8</f>
        <v>0</v>
      </c>
      <c r="D7" s="457">
        <f>landbouw!D8</f>
        <v>4718.8713726556916</v>
      </c>
      <c r="E7" s="457">
        <f>landbouw!E8</f>
        <v>32.815938500565572</v>
      </c>
      <c r="F7" s="457">
        <f>landbouw!F8</f>
        <v>13414.271154389256</v>
      </c>
      <c r="G7" s="457">
        <f>landbouw!G8</f>
        <v>0</v>
      </c>
      <c r="H7" s="457">
        <f>landbouw!H8</f>
        <v>0</v>
      </c>
      <c r="I7" s="457">
        <f>landbouw!I8</f>
        <v>0</v>
      </c>
      <c r="J7" s="457">
        <f>landbouw!J8</f>
        <v>279.86028028028755</v>
      </c>
      <c r="K7" s="457">
        <f>landbouw!K8</f>
        <v>0</v>
      </c>
      <c r="L7" s="457">
        <f>landbouw!L8</f>
        <v>0</v>
      </c>
      <c r="M7" s="457">
        <f>landbouw!M8</f>
        <v>0</v>
      </c>
      <c r="N7" s="457">
        <f>landbouw!N8</f>
        <v>0</v>
      </c>
      <c r="O7" s="457">
        <f>landbouw!O8</f>
        <v>0</v>
      </c>
      <c r="P7" s="458">
        <f>landbouw!P8</f>
        <v>0</v>
      </c>
      <c r="Q7" s="456">
        <f t="shared" si="0"/>
        <v>21579.437930286953</v>
      </c>
    </row>
    <row r="8" spans="1:17">
      <c r="A8" s="456" t="s">
        <v>654</v>
      </c>
      <c r="B8" s="457">
        <f>industrie!B18</f>
        <v>375992.00087867078</v>
      </c>
      <c r="C8" s="457">
        <f>industrie!C18</f>
        <v>11137.5</v>
      </c>
      <c r="D8" s="457">
        <f>industrie!D18</f>
        <v>271372.50573636207</v>
      </c>
      <c r="E8" s="457">
        <f>industrie!E18</f>
        <v>4051.700014160002</v>
      </c>
      <c r="F8" s="457">
        <f>industrie!F18</f>
        <v>80103.032519084838</v>
      </c>
      <c r="G8" s="457">
        <f>industrie!G18</f>
        <v>0</v>
      </c>
      <c r="H8" s="457">
        <f>industrie!H18</f>
        <v>0</v>
      </c>
      <c r="I8" s="457">
        <f>industrie!I18</f>
        <v>0</v>
      </c>
      <c r="J8" s="457">
        <f>industrie!J18</f>
        <v>2524.2542591017045</v>
      </c>
      <c r="K8" s="457">
        <f>industrie!K18</f>
        <v>0</v>
      </c>
      <c r="L8" s="457">
        <f>industrie!L18</f>
        <v>0</v>
      </c>
      <c r="M8" s="457">
        <f>industrie!M18</f>
        <v>0</v>
      </c>
      <c r="N8" s="457">
        <f>industrie!N18</f>
        <v>7251.8225335247507</v>
      </c>
      <c r="O8" s="457">
        <f>industrie!O18</f>
        <v>0</v>
      </c>
      <c r="P8" s="458">
        <f>industrie!P18</f>
        <v>0</v>
      </c>
      <c r="Q8" s="456">
        <f t="shared" si="0"/>
        <v>752432.8159409042</v>
      </c>
    </row>
    <row r="9" spans="1:17" s="462" customFormat="1">
      <c r="A9" s="460" t="s">
        <v>572</v>
      </c>
      <c r="B9" s="461">
        <f>transport!B14</f>
        <v>13.456529195408162</v>
      </c>
      <c r="C9" s="461">
        <f>transport!C14</f>
        <v>0</v>
      </c>
      <c r="D9" s="461">
        <f>transport!D14</f>
        <v>72.065790020371679</v>
      </c>
      <c r="E9" s="461">
        <f>transport!E14</f>
        <v>8127.2753133971719</v>
      </c>
      <c r="F9" s="461">
        <f>transport!F14</f>
        <v>0</v>
      </c>
      <c r="G9" s="461">
        <f>transport!G14</f>
        <v>1758324.3653605042</v>
      </c>
      <c r="H9" s="461">
        <f>transport!H14</f>
        <v>254555.57167757628</v>
      </c>
      <c r="I9" s="461">
        <f>transport!I14</f>
        <v>0</v>
      </c>
      <c r="J9" s="461">
        <f>transport!J14</f>
        <v>0</v>
      </c>
      <c r="K9" s="461">
        <f>transport!K14</f>
        <v>0</v>
      </c>
      <c r="L9" s="461">
        <f>transport!L14</f>
        <v>0</v>
      </c>
      <c r="M9" s="461">
        <f>transport!M14</f>
        <v>87463.100552413627</v>
      </c>
      <c r="N9" s="461">
        <f>transport!N14</f>
        <v>0</v>
      </c>
      <c r="O9" s="461">
        <f>transport!O14</f>
        <v>0</v>
      </c>
      <c r="P9" s="461">
        <f>transport!P14</f>
        <v>0</v>
      </c>
      <c r="Q9" s="460">
        <f>SUM(B9:P9)</f>
        <v>2108555.8352231071</v>
      </c>
    </row>
    <row r="10" spans="1:17">
      <c r="A10" s="456" t="s">
        <v>562</v>
      </c>
      <c r="B10" s="457">
        <f>transport!B54</f>
        <v>9269.0882989269376</v>
      </c>
      <c r="C10" s="457">
        <f>transport!C54</f>
        <v>0</v>
      </c>
      <c r="D10" s="457">
        <f>transport!D54</f>
        <v>0</v>
      </c>
      <c r="E10" s="457">
        <f>transport!E54</f>
        <v>0</v>
      </c>
      <c r="F10" s="457">
        <f>transport!F54</f>
        <v>0</v>
      </c>
      <c r="G10" s="457">
        <f>transport!G54</f>
        <v>41414.708221647888</v>
      </c>
      <c r="H10" s="457">
        <f>transport!H54</f>
        <v>0</v>
      </c>
      <c r="I10" s="457">
        <f>transport!I54</f>
        <v>0</v>
      </c>
      <c r="J10" s="457">
        <f>transport!J54</f>
        <v>0</v>
      </c>
      <c r="K10" s="457">
        <f>transport!K54</f>
        <v>0</v>
      </c>
      <c r="L10" s="457">
        <f>transport!L54</f>
        <v>0</v>
      </c>
      <c r="M10" s="457">
        <f>transport!M54</f>
        <v>1761.1056734923484</v>
      </c>
      <c r="N10" s="457">
        <f>transport!N54</f>
        <v>0</v>
      </c>
      <c r="O10" s="457">
        <f>transport!O54</f>
        <v>0</v>
      </c>
      <c r="P10" s="458">
        <f>transport!P54</f>
        <v>0</v>
      </c>
      <c r="Q10" s="456">
        <f t="shared" si="0"/>
        <v>52444.902194067174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29930.098823400098</v>
      </c>
      <c r="C14" s="464"/>
      <c r="D14" s="464">
        <f>'SEAP template'!E25</f>
        <v>77298.509956346301</v>
      </c>
      <c r="E14" s="464"/>
      <c r="F14" s="464"/>
      <c r="G14" s="464"/>
      <c r="H14" s="464"/>
      <c r="I14" s="464"/>
      <c r="J14" s="464"/>
      <c r="K14" s="464"/>
      <c r="L14" s="464"/>
      <c r="M14" s="464"/>
      <c r="N14" s="464"/>
      <c r="O14" s="464"/>
      <c r="P14" s="465"/>
      <c r="Q14" s="456">
        <f t="shared" si="0"/>
        <v>107228.6087797464</v>
      </c>
    </row>
    <row r="15" spans="1:17" s="469" customFormat="1">
      <c r="A15" s="466" t="s">
        <v>566</v>
      </c>
      <c r="B15" s="467">
        <f ca="1">SUM(B4:B14)</f>
        <v>1569816.9728101664</v>
      </c>
      <c r="C15" s="467">
        <f t="shared" ref="C15:Q15" ca="1" si="1">SUM(C4:C14)</f>
        <v>11183.0625</v>
      </c>
      <c r="D15" s="467">
        <f t="shared" ca="1" si="1"/>
        <v>2208596.5375201995</v>
      </c>
      <c r="E15" s="467">
        <f t="shared" si="1"/>
        <v>112927.06034745876</v>
      </c>
      <c r="F15" s="467">
        <f t="shared" ca="1" si="1"/>
        <v>316034.70933388511</v>
      </c>
      <c r="G15" s="467">
        <f t="shared" si="1"/>
        <v>1799739.0735821521</v>
      </c>
      <c r="H15" s="467">
        <f t="shared" si="1"/>
        <v>254555.57167757628</v>
      </c>
      <c r="I15" s="467">
        <f t="shared" si="1"/>
        <v>0</v>
      </c>
      <c r="J15" s="467">
        <f t="shared" si="1"/>
        <v>2804.114539381992</v>
      </c>
      <c r="K15" s="467">
        <f t="shared" si="1"/>
        <v>0</v>
      </c>
      <c r="L15" s="467">
        <f t="shared" ca="1" si="1"/>
        <v>0</v>
      </c>
      <c r="M15" s="467">
        <f t="shared" si="1"/>
        <v>89224.206225905975</v>
      </c>
      <c r="N15" s="467">
        <f t="shared" ca="1" si="1"/>
        <v>94477.046019709407</v>
      </c>
      <c r="O15" s="467">
        <f t="shared" si="1"/>
        <v>780.10333333333347</v>
      </c>
      <c r="P15" s="467">
        <f t="shared" si="1"/>
        <v>1029.5999999999999</v>
      </c>
      <c r="Q15" s="467">
        <f t="shared" ca="1" si="1"/>
        <v>6461168.0578897689</v>
      </c>
    </row>
    <row r="17" spans="1:17">
      <c r="A17" s="470" t="s">
        <v>567</v>
      </c>
      <c r="B17" s="774">
        <f ca="1">huishoudens!B10</f>
        <v>0.20626582786777115</v>
      </c>
      <c r="C17" s="774">
        <f ca="1">huishoudens!C10</f>
        <v>7.8209463957606584E-2</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82009.783052932398</v>
      </c>
      <c r="C22" s="457">
        <f t="shared" ref="C22:C32" ca="1" si="3">C4*$C$17</f>
        <v>0</v>
      </c>
      <c r="D22" s="457">
        <f t="shared" ref="D22:D32" si="4">D4*$D$17</f>
        <v>214754.41144426638</v>
      </c>
      <c r="E22" s="457">
        <f t="shared" ref="E22:E32" si="5">E4*$E$17</f>
        <v>19355.561069809937</v>
      </c>
      <c r="F22" s="457">
        <f t="shared" ref="F22:F32" si="6">F4*$F$17</f>
        <v>14967.493246549599</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331087.24881355837</v>
      </c>
    </row>
    <row r="23" spans="1:17">
      <c r="A23" s="456" t="s">
        <v>155</v>
      </c>
      <c r="B23" s="457">
        <f t="shared" ca="1" si="2"/>
        <v>151968.58610188376</v>
      </c>
      <c r="C23" s="457">
        <f t="shared" ca="1" si="3"/>
        <v>3.56341870156845</v>
      </c>
      <c r="D23" s="457">
        <f t="shared" ca="1" si="4"/>
        <v>159982.77465802623</v>
      </c>
      <c r="E23" s="457">
        <f t="shared" si="5"/>
        <v>3506.805011668092</v>
      </c>
      <c r="F23" s="457">
        <f t="shared" ca="1" si="6"/>
        <v>44444.654064780138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359906.38325505983</v>
      </c>
    </row>
    <row r="24" spans="1:17">
      <c r="A24" s="456" t="s">
        <v>193</v>
      </c>
      <c r="B24" s="457">
        <f t="shared" ca="1" si="2"/>
        <v>3532.3400488820807</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3532.3400488820807</v>
      </c>
    </row>
    <row r="25" spans="1:17">
      <c r="A25" s="456" t="s">
        <v>111</v>
      </c>
      <c r="B25" s="457">
        <f t="shared" ca="1" si="2"/>
        <v>646.35855530520905</v>
      </c>
      <c r="C25" s="457">
        <f t="shared" ca="1" si="3"/>
        <v>0</v>
      </c>
      <c r="D25" s="457">
        <f t="shared" si="4"/>
        <v>953.21201727644973</v>
      </c>
      <c r="E25" s="457">
        <f t="shared" si="5"/>
        <v>7.4492180396283851</v>
      </c>
      <c r="F25" s="457">
        <f t="shared" si="6"/>
        <v>3581.6103982219315</v>
      </c>
      <c r="G25" s="457">
        <f t="shared" si="7"/>
        <v>0</v>
      </c>
      <c r="H25" s="457">
        <f t="shared" si="8"/>
        <v>0</v>
      </c>
      <c r="I25" s="457">
        <f t="shared" si="9"/>
        <v>0</v>
      </c>
      <c r="J25" s="457">
        <f t="shared" si="10"/>
        <v>99.070539219221786</v>
      </c>
      <c r="K25" s="457">
        <f t="shared" si="11"/>
        <v>0</v>
      </c>
      <c r="L25" s="457">
        <f t="shared" si="12"/>
        <v>0</v>
      </c>
      <c r="M25" s="457">
        <f t="shared" si="13"/>
        <v>0</v>
      </c>
      <c r="N25" s="457">
        <f t="shared" si="14"/>
        <v>0</v>
      </c>
      <c r="O25" s="457">
        <f t="shared" si="15"/>
        <v>0</v>
      </c>
      <c r="P25" s="458">
        <f t="shared" si="16"/>
        <v>0</v>
      </c>
      <c r="Q25" s="456">
        <f t="shared" ca="1" si="17"/>
        <v>5287.7007280624412</v>
      </c>
    </row>
    <row r="26" spans="1:17">
      <c r="A26" s="456" t="s">
        <v>654</v>
      </c>
      <c r="B26" s="457">
        <f t="shared" ca="1" si="2"/>
        <v>77554.301332898758</v>
      </c>
      <c r="C26" s="457">
        <f t="shared" ca="1" si="3"/>
        <v>871.05790482784334</v>
      </c>
      <c r="D26" s="457">
        <f t="shared" si="4"/>
        <v>54817.24615874514</v>
      </c>
      <c r="E26" s="457">
        <f t="shared" si="5"/>
        <v>919.7359032143205</v>
      </c>
      <c r="F26" s="457">
        <f t="shared" si="6"/>
        <v>21387.509682595653</v>
      </c>
      <c r="G26" s="457">
        <f t="shared" si="7"/>
        <v>0</v>
      </c>
      <c r="H26" s="457">
        <f t="shared" si="8"/>
        <v>0</v>
      </c>
      <c r="I26" s="457">
        <f t="shared" si="9"/>
        <v>0</v>
      </c>
      <c r="J26" s="457">
        <f t="shared" si="10"/>
        <v>893.58600772200339</v>
      </c>
      <c r="K26" s="457">
        <f t="shared" si="11"/>
        <v>0</v>
      </c>
      <c r="L26" s="457">
        <f t="shared" si="12"/>
        <v>0</v>
      </c>
      <c r="M26" s="457">
        <f t="shared" si="13"/>
        <v>0</v>
      </c>
      <c r="N26" s="457">
        <f t="shared" si="14"/>
        <v>0</v>
      </c>
      <c r="O26" s="457">
        <f t="shared" si="15"/>
        <v>0</v>
      </c>
      <c r="P26" s="458">
        <f t="shared" si="16"/>
        <v>0</v>
      </c>
      <c r="Q26" s="456">
        <f t="shared" ca="1" si="17"/>
        <v>156443.43699000371</v>
      </c>
    </row>
    <row r="27" spans="1:17" s="462" customFormat="1">
      <c r="A27" s="460" t="s">
        <v>572</v>
      </c>
      <c r="B27" s="768">
        <f t="shared" ca="1" si="2"/>
        <v>2.7756221347176968</v>
      </c>
      <c r="C27" s="461">
        <f t="shared" ca="1" si="3"/>
        <v>0</v>
      </c>
      <c r="D27" s="461">
        <f t="shared" si="4"/>
        <v>14.557289584115081</v>
      </c>
      <c r="E27" s="461">
        <f t="shared" si="5"/>
        <v>1844.8914961411581</v>
      </c>
      <c r="F27" s="461">
        <f t="shared" si="6"/>
        <v>0</v>
      </c>
      <c r="G27" s="461">
        <f t="shared" si="7"/>
        <v>469472.60555125464</v>
      </c>
      <c r="H27" s="461">
        <f t="shared" si="8"/>
        <v>63384.337347716493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534719.16730683111</v>
      </c>
    </row>
    <row r="28" spans="1:17">
      <c r="A28" s="456" t="s">
        <v>562</v>
      </c>
      <c r="B28" s="457">
        <f t="shared" ca="1" si="2"/>
        <v>1911.8961715576354</v>
      </c>
      <c r="C28" s="457">
        <f t="shared" ca="1" si="3"/>
        <v>0</v>
      </c>
      <c r="D28" s="457">
        <f t="shared" si="4"/>
        <v>0</v>
      </c>
      <c r="E28" s="457">
        <f t="shared" si="5"/>
        <v>0</v>
      </c>
      <c r="F28" s="457">
        <f t="shared" si="6"/>
        <v>0</v>
      </c>
      <c r="G28" s="457">
        <f t="shared" si="7"/>
        <v>11057.727095179987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12969.623266737623</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6173.5566119728246</v>
      </c>
      <c r="C32" s="457">
        <f t="shared" ca="1" si="3"/>
        <v>0</v>
      </c>
      <c r="D32" s="457">
        <f t="shared" si="4"/>
        <v>15614.299011181954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21787.855623154777</v>
      </c>
    </row>
    <row r="33" spans="1:17" s="469" customFormat="1">
      <c r="A33" s="466" t="s">
        <v>566</v>
      </c>
      <c r="B33" s="467">
        <f ca="1">SUM(B22:B32)</f>
        <v>323799.59749756736</v>
      </c>
      <c r="C33" s="467">
        <f t="shared" ref="C33:Q33" ca="1" si="19">SUM(C22:C32)</f>
        <v>874.62132352941182</v>
      </c>
      <c r="D33" s="467">
        <f t="shared" ca="1" si="19"/>
        <v>446136.50057908031</v>
      </c>
      <c r="E33" s="467">
        <f t="shared" si="19"/>
        <v>25634.442698873139</v>
      </c>
      <c r="F33" s="467">
        <f t="shared" ca="1" si="19"/>
        <v>84381.267392147318</v>
      </c>
      <c r="G33" s="467">
        <f t="shared" si="19"/>
        <v>480530.33264643466</v>
      </c>
      <c r="H33" s="467">
        <f t="shared" si="19"/>
        <v>63384.337347716493</v>
      </c>
      <c r="I33" s="467">
        <f t="shared" si="19"/>
        <v>0</v>
      </c>
      <c r="J33" s="467">
        <f t="shared" si="19"/>
        <v>992.6565469412252</v>
      </c>
      <c r="K33" s="467">
        <f t="shared" si="19"/>
        <v>0</v>
      </c>
      <c r="L33" s="467">
        <f t="shared" ca="1" si="19"/>
        <v>0</v>
      </c>
      <c r="M33" s="467">
        <f t="shared" si="19"/>
        <v>0</v>
      </c>
      <c r="N33" s="467">
        <f t="shared" ca="1" si="19"/>
        <v>0</v>
      </c>
      <c r="O33" s="467">
        <f t="shared" si="19"/>
        <v>0</v>
      </c>
      <c r="P33" s="467">
        <f t="shared" si="19"/>
        <v>0</v>
      </c>
      <c r="Q33" s="467">
        <f t="shared" ca="1" si="19"/>
        <v>1425733.7560322899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69626.263982426244</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26752.992442686897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7465.5</v>
      </c>
      <c r="C8" s="1018">
        <f>'SEAP template'!C76</f>
        <v>2474.9999999999995</v>
      </c>
      <c r="D8" s="1018">
        <f>'SEAP template'!D76</f>
        <v>0</v>
      </c>
      <c r="E8" s="1018">
        <f>'SEAP template'!E76</f>
        <v>0</v>
      </c>
      <c r="F8" s="1018">
        <f>'SEAP template'!F76</f>
        <v>2911.7647058823527</v>
      </c>
      <c r="G8" s="1018">
        <f>'SEAP template'!G76</f>
        <v>0</v>
      </c>
      <c r="H8" s="1018">
        <f>'SEAP template'!H76</f>
        <v>0</v>
      </c>
      <c r="I8" s="1018">
        <f>'SEAP template'!I76</f>
        <v>8782.9411764705892</v>
      </c>
      <c r="J8" s="1018">
        <f>'SEAP template'!J76</f>
        <v>0</v>
      </c>
      <c r="K8" s="1018">
        <f>'SEAP template'!K76</f>
        <v>0</v>
      </c>
      <c r="L8" s="1018">
        <f>'SEAP template'!L76</f>
        <v>0</v>
      </c>
      <c r="M8" s="1018">
        <f>'SEAP template'!M76</f>
        <v>0</v>
      </c>
      <c r="N8" s="1018">
        <f>'SEAP template'!N76</f>
        <v>0</v>
      </c>
      <c r="O8" s="1018">
        <f>'SEAP template'!O76</f>
        <v>0</v>
      </c>
      <c r="P8" s="1019">
        <f>'SEAP template'!Q76</f>
        <v>777.44117647058818</v>
      </c>
    </row>
    <row r="9" spans="1:16">
      <c r="A9" s="1021" t="s">
        <v>925</v>
      </c>
      <c r="B9" s="1018">
        <f>'SEAP template'!B77</f>
        <v>1858.5</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5310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105703.25642511314</v>
      </c>
      <c r="C10" s="1022">
        <f>SUM(C4:C9)</f>
        <v>2474.9999999999995</v>
      </c>
      <c r="D10" s="1022">
        <f t="shared" ref="D10:H10" si="0">SUM(D8:D9)</f>
        <v>0</v>
      </c>
      <c r="E10" s="1022">
        <f t="shared" si="0"/>
        <v>0</v>
      </c>
      <c r="F10" s="1022">
        <f t="shared" si="0"/>
        <v>2911.7647058823527</v>
      </c>
      <c r="G10" s="1022">
        <f t="shared" si="0"/>
        <v>0</v>
      </c>
      <c r="H10" s="1022">
        <f t="shared" si="0"/>
        <v>0</v>
      </c>
      <c r="I10" s="1022">
        <f>SUM(I8:I9)</f>
        <v>8782.9411764705892</v>
      </c>
      <c r="J10" s="1022">
        <f>SUM(J8:J9)</f>
        <v>5310</v>
      </c>
      <c r="K10" s="1022">
        <f t="shared" ref="K10:L10" si="1">SUM(K8:K9)</f>
        <v>0</v>
      </c>
      <c r="L10" s="1022">
        <f t="shared" si="1"/>
        <v>0</v>
      </c>
      <c r="M10" s="1022">
        <f>SUM(M8:M9)</f>
        <v>0</v>
      </c>
      <c r="N10" s="1022">
        <f>SUM(N8:N9)</f>
        <v>0</v>
      </c>
      <c r="O10" s="1022">
        <f>SUM(O8:O9)</f>
        <v>0</v>
      </c>
      <c r="P10" s="1022">
        <f>SUM(P8:P9)</f>
        <v>777.44117647058818</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0.20626582786777115</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8398.6875</v>
      </c>
      <c r="C17" s="1025">
        <f>'SEAP template'!C87</f>
        <v>2784.3750000000005</v>
      </c>
      <c r="D17" s="1019">
        <f>'SEAP template'!D87</f>
        <v>0</v>
      </c>
      <c r="E17" s="1019">
        <f>'SEAP template'!E87</f>
        <v>0</v>
      </c>
      <c r="F17" s="1019">
        <f>'SEAP template'!F87</f>
        <v>3275.7352941176473</v>
      </c>
      <c r="G17" s="1019">
        <f>'SEAP template'!G87</f>
        <v>0</v>
      </c>
      <c r="H17" s="1019">
        <f>'SEAP template'!H87</f>
        <v>0</v>
      </c>
      <c r="I17" s="1019">
        <f>'SEAP template'!I87</f>
        <v>9880.8088235294108</v>
      </c>
      <c r="J17" s="1019">
        <f>'SEAP template'!J87</f>
        <v>0</v>
      </c>
      <c r="K17" s="1019">
        <f>'SEAP template'!K87</f>
        <v>0</v>
      </c>
      <c r="L17" s="1019">
        <f>'SEAP template'!L87</f>
        <v>0</v>
      </c>
      <c r="M17" s="1019">
        <f>'SEAP template'!M87</f>
        <v>0</v>
      </c>
      <c r="N17" s="1019">
        <f>'SEAP template'!N87</f>
        <v>0</v>
      </c>
      <c r="O17" s="1019">
        <f>'SEAP template'!O87</f>
        <v>0</v>
      </c>
      <c r="P17" s="1019">
        <f>'SEAP template'!Q87</f>
        <v>874.62132352941182</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8398.6875</v>
      </c>
      <c r="C20" s="1022">
        <f>SUM(C17:C19)</f>
        <v>2784.3750000000005</v>
      </c>
      <c r="D20" s="1022">
        <f t="shared" ref="D20:H20" si="2">SUM(D17:D19)</f>
        <v>0</v>
      </c>
      <c r="E20" s="1022">
        <f t="shared" si="2"/>
        <v>0</v>
      </c>
      <c r="F20" s="1022">
        <f t="shared" si="2"/>
        <v>3275.7352941176473</v>
      </c>
      <c r="G20" s="1022">
        <f t="shared" si="2"/>
        <v>0</v>
      </c>
      <c r="H20" s="1022">
        <f t="shared" si="2"/>
        <v>0</v>
      </c>
      <c r="I20" s="1022">
        <f>SUM(I17:I19)</f>
        <v>9880.8088235294108</v>
      </c>
      <c r="J20" s="1022">
        <f>SUM(J17:J19)</f>
        <v>0</v>
      </c>
      <c r="K20" s="1022">
        <f t="shared" ref="K20:L20" si="3">SUM(K17:K19)</f>
        <v>0</v>
      </c>
      <c r="L20" s="1022">
        <f t="shared" si="3"/>
        <v>0</v>
      </c>
      <c r="M20" s="1022">
        <f>SUM(M17:M19)</f>
        <v>0</v>
      </c>
      <c r="N20" s="1022">
        <f>SUM(N17:N19)</f>
        <v>0</v>
      </c>
      <c r="O20" s="1022">
        <f>SUM(O17:O19)</f>
        <v>0</v>
      </c>
      <c r="P20" s="1022">
        <f>SUM(P17:P19)</f>
        <v>874.62132352941182</v>
      </c>
    </row>
    <row r="22" spans="1:16">
      <c r="A22" s="470" t="s">
        <v>933</v>
      </c>
      <c r="B22" s="774" t="s">
        <v>927</v>
      </c>
      <c r="C22" s="774">
        <f ca="1">'EF ele_warmte'!B22</f>
        <v>7.8209463957606584E-2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0.20626582786777115</v>
      </c>
      <c r="C17" s="506">
        <f ca="1">'EF ele_warmte'!B22</f>
        <v>7.8209463957606584E-2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1</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19.066666666666666</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2020-06-20T16:42:54Z</dcterms:modified>
</cp:coreProperties>
</file>