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C45" i="18"/>
  <c r="H48" i="18" s="1"/>
  <c r="O19" i="18"/>
  <c r="O18" i="18"/>
  <c r="B20"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Q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R25" i="14" l="1"/>
  <c r="E55" i="14"/>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Q87" i="14" s="1"/>
  <c r="I8" i="18"/>
  <c r="I10" i="18" s="1"/>
  <c r="H10" i="18"/>
  <c r="M76" i="14"/>
  <c r="E10" i="18"/>
  <c r="F76" i="14"/>
  <c r="O17" i="18"/>
  <c r="O20" i="18" s="1"/>
  <c r="P9" i="55"/>
  <c r="I76" i="14"/>
  <c r="I8" i="55" s="1"/>
  <c r="I10" i="55" s="1"/>
  <c r="I20" i="18"/>
  <c r="I87" i="14"/>
  <c r="I17" i="55" s="1"/>
  <c r="I20" i="55" s="1"/>
  <c r="O8" i="18"/>
  <c r="O10" i="18" s="1"/>
  <c r="J10" i="18"/>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P5" i="16"/>
  <c r="C5" i="16"/>
  <c r="C18" i="16" s="1"/>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B8" i="9" s="1"/>
  <c r="B6" i="48" s="1"/>
  <c r="Q6" i="48"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D4" i="48" l="1"/>
  <c r="D22" i="48" s="1"/>
  <c r="E11" i="14"/>
  <c r="B7" i="48"/>
  <c r="C24" i="14"/>
  <c r="C26" i="14" s="1"/>
  <c r="B4" i="48"/>
  <c r="C11" i="14"/>
  <c r="B11" i="16"/>
  <c r="O4" i="48"/>
  <c r="O22" i="48" s="1"/>
  <c r="P11" i="14"/>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s="1"/>
  <c r="Q27" i="14"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Q63" i="14" l="1"/>
  <c r="O8" i="48"/>
  <c r="O26" i="48" s="1"/>
  <c r="P13" i="14"/>
  <c r="P16" i="14" s="1"/>
  <c r="P27" i="14" s="1"/>
  <c r="O15" i="48"/>
  <c r="O23" i="48"/>
  <c r="O33" i="48" s="1"/>
  <c r="K11" i="14"/>
  <c r="J4" i="48"/>
  <c r="J22" i="48" s="1"/>
  <c r="O11" i="14"/>
  <c r="N4" i="48"/>
  <c r="N22" i="48" s="1"/>
  <c r="E12" i="13"/>
  <c r="F41" i="14" s="1"/>
  <c r="F11" i="14"/>
  <c r="R11" i="14" s="1"/>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P63" i="14" s="1"/>
  <c r="D18" i="22"/>
  <c r="E50" i="14" s="1"/>
  <c r="E52" i="14" s="1"/>
  <c r="E18" i="22"/>
  <c r="F50" i="14" s="1"/>
  <c r="F52" i="14" s="1"/>
  <c r="M58" i="22"/>
  <c r="N49" i="14" s="1"/>
  <c r="G18" i="22"/>
  <c r="H50" i="14" s="1"/>
  <c r="G58" i="22"/>
  <c r="H49" i="14" s="1"/>
  <c r="J20" i="15"/>
  <c r="K40" i="14" s="1"/>
  <c r="N20" i="15"/>
  <c r="O40" i="14" s="1"/>
  <c r="F20" i="15"/>
  <c r="G40" i="14" s="1"/>
  <c r="N5" i="16"/>
  <c r="E5" i="16"/>
  <c r="J5" i="16"/>
  <c r="C35" i="13"/>
  <c r="F5" i="16"/>
  <c r="C36" i="13"/>
  <c r="N12" i="13"/>
  <c r="O41" i="14" s="1"/>
  <c r="C38" i="13"/>
  <c r="C39" i="13"/>
  <c r="C32" i="13"/>
  <c r="C34" i="13"/>
  <c r="J12" i="13"/>
  <c r="K41" i="14" s="1"/>
  <c r="L20" i="15"/>
  <c r="M40" i="14" s="1"/>
  <c r="H22" i="14" l="1"/>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33" i="48" s="1"/>
  <c r="E15" i="48"/>
  <c r="F8" i="48"/>
  <c r="G13" i="14"/>
  <c r="N8" i="48"/>
  <c r="O13" i="14"/>
  <c r="N22" i="16"/>
  <c r="O43" i="14" s="1"/>
  <c r="J22" i="16"/>
  <c r="K43" i="14" s="1"/>
  <c r="K46" i="14" s="1"/>
  <c r="K61" i="14" s="1"/>
  <c r="K63" i="14" l="1"/>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<sst xmlns="http://schemas.openxmlformats.org/spreadsheetml/2006/main" count="2513" uniqueCount="971">
  <si>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</si>
  <si>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</si>
  <si>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</si>
  <si>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</si>
  <si>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</si>
  <si>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</si>
  <si>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</si>
  <si>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</si>
  <si>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</si>
  <si>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</si>
  <si>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</si>
  <si>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</si>
  <si>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</si>
  <si>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</si>
  <si>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</si>
  <si>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</si>
  <si>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</si>
  <si>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</si>
  <si>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</si>
  <si>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</si>
  <si>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</si>
  <si>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</si>
  <si>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</si>
  <si>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</si>
  <si>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</si>
  <si>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</si>
  <si>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</si>
  <si>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</si>
  <si>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</si>
  <si>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</si>
  <si>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</si>
  <si>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</si>
  <si>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</si>
  <si>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</si>
  <si>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</si>
  <si>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</si>
  <si>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</si>
  <si>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</si>
  <si>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</si>
  <si>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</si>
  <si>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</si>
  <si>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</si>
  <si>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</si>
  <si>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</si>
  <si>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</si>
  <si>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</si>
  <si>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</si>
  <si>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</si>
  <si>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</si>
  <si>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</si>
  <si>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</si>
  <si>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</si>
  <si>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</si>
  <si>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</si>
  <si>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</si>
  <si>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</si>
  <si>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</si>
  <si>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</si>
  <si>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</si>
  <si>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</si>
  <si>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</si>
  <si>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</si>
  <si>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</si>
  <si>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</si>
  <si>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</si>
  <si>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</si>
  <si>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</si>
  <si>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</si>
  <si>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</si>
  <si>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</si>
  <si>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</si>
  <si>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</si>
  <si>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</si>
  <si>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</si>
  <si>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</si>
  <si>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</si>
  <si>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</si>
  <si>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</si>
  <si>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</si>
  <si>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</si>
  <si>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</si>
  <si>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</si>
  <si>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</si>
  <si>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</si>
  <si>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</si>
  <si>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</si>
  <si>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</si>
  <si>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</si>
  <si>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</si>
  <si>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</si>
  <si>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</si>
  <si>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</si>
  <si>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</si>
  <si>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</si>
  <si>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</si>
  <si>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</si>
  <si>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</si>
  <si>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</si>
  <si>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</si>
  <si>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</si>
  <si>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</si>
  <si>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</si>
  <si>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</si>
  <si>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</si>
  <si>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</si>
  <si>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</si>
  <si>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</si>
  <si>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</si>
  <si>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</si>
  <si>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</si>
  <si>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</si>
  <si>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</si>
  <si>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</si>
  <si>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</si>
  <si>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</si>
  <si>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</si>
  <si>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</si>
  <si>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</si>
  <si>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</si>
  <si>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</si>
  <si>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</si>
  <si>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</si>
  <si>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</si>
  <si>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</si>
  <si>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</si>
  <si>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</si>
  <si>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</si>
  <si>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</si>
  <si>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</si>
  <si>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</si>
  <si>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</si>
  <si>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</si>
  <si>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</si>
  <si>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</si>
  <si>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</si>
  <si>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</si>
  <si>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</si>
  <si>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</si>
  <si>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</si>
  <si>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</si>
  <si>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</si>
  <si>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</si>
  <si>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</si>
  <si>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</si>
  <si>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</si>
  <si>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</si>
  <si>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</si>
  <si>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</si>
  <si>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</si>
  <si>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</si>
  <si>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</si>
  <si>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</si>
  <si>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</si>
  <si>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</si>
  <si>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</si>
  <si>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</si>
  <si>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</si>
  <si>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</si>
  <si>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</si>
  <si>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</si>
  <si>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</si>
  <si>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</si>
  <si>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</si>
  <si>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</si>
  <si>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</si>
  <si>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</si>
  <si>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</si>
  <si>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</si>
  <si>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</si>
  <si>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</si>
  <si>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</si>
  <si>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</si>
  <si>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</si>
  <si>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</si>
  <si>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</si>
  <si>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</si>
  <si>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</si>
  <si>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</si>
  <si>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</si>
  <si>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</si>
  <si>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</si>
  <si>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</si>
  <si>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</si>
  <si>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</si>
  <si>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</si>
  <si>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</si>
  <si>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</si>
  <si>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</si>
  <si>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</si>
  <si>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</si>
  <si>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</si>
  <si>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</si>
  <si>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</si>
  <si>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</si>
  <si>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</si>
  <si>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</si>
  <si>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</si>
  <si>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</si>
  <si>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</si>
  <si>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</si>
  <si>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</si>
  <si>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</si>
  <si>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</si>
  <si>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</si>
  <si>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</si>
  <si>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</si>
  <si>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</si>
  <si>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</si>
  <si>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</si>
  <si>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</si>
  <si>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</si>
  <si>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</si>
  <si>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</si>
  <si>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</si>
  <si>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</si>
  <si>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</si>
  <si>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</si>
  <si>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</si>
  <si>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</si>
  <si>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</si>
  <si>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</si>
  <si>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</si>
  <si>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</si>
  <si>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</si>
  <si>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</si>
  <si>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</si>
  <si>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</si>
  <si>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</si>
  <si>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</si>
  <si>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</si>
  <si>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</si>
  <si>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</si>
  <si>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</si>
  <si>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</si>
  <si>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</si>
  <si>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</si>
  <si>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</si>
  <si>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</si>
  <si>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</si>
  <si>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</si>
  <si>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</si>
  <si>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</si>
  <si>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</si>
  <si>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</si>
  <si>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</si>
  <si>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</si>
  <si>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</si>
  <si>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</si>
  <si>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</si>
  <si>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</si>
  <si>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</si>
  <si>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</si>
  <si>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</si>
  <si>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</si>
  <si>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</si>
  <si>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</si>
  <si>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</si>
  <si>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</si>
  <si>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</si>
  <si>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</si>
  <si>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</si>
  <si>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</si>
  <si>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</si>
  <si>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</si>
  <si>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</si>
  <si>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</si>
  <si>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</si>
  <si>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</si>
  <si>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</si>
  <si>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</si>
  <si>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</si>
  <si>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</si>
  <si>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</si>
  <si>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</si>
  <si>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</si>
  <si>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</si>
  <si>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</si>
  <si>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</si>
  <si>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</si>
  <si>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</si>
  <si>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</si>
  <si>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</si>
  <si>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</si>
  <si>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</si>
  <si>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</si>
  <si>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</si>
  <si>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</si>
  <si>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</si>
  <si>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</si>
  <si>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</si>
  <si>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</si>
  <si>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</si>
  <si>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</si>
  <si>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</si>
  <si>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</si>
  <si>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</si>
  <si>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</si>
  <si>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</si>
  <si>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</si>
  <si>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</si>
  <si>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</si>
  <si>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</si>
  <si>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</si>
  <si>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</si>
  <si>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</si>
  <si>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</si>
  <si>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</si>
  <si>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</si>
  <si>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</si>
  <si>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</si>
  <si>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</si>
  <si>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</si>
  <si>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</si>
  <si>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</si>
  <si>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</si>
  <si>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</si>
  <si>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</si>
  <si>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</si>
  <si>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</si>
  <si>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</si>
  <si>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</si>
  <si>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</si>
  <si>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</si>
  <si>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</si>
  <si>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</si>
  <si>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</si>
  <si>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</si>
  <si>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</si>
  <si>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</si>
  <si>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</si>
  <si>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</si>
  <si>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</si>
  <si>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</si>
  <si>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</si>
  <si>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</si>
  <si>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</si>
  <si>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</si>
  <si>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</si>
  <si>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</si>
  <si>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</si>
  <si>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</si>
  <si>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</si>
  <si>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</si>
  <si>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</si>
  <si>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</si>
  <si>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</si>
  <si>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</si>
  <si>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</si>
  <si>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</si>
  <si>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</si>
  <si>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</si>
  <si>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</si>
  <si>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</si>
  <si>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</si>
  <si>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</si>
  <si>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</si>
  <si>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</si>
  <si>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</si>
  <si>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</si>
  <si>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</si>
  <si>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</si>
  <si>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</si>
  <si>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</si>
  <si>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</si>
  <si>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</si>
  <si>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</si>
  <si>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</si>
  <si>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</si>
  <si>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</si>
  <si>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</si>
  <si>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</si>
  <si>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</si>
  <si>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</si>
  <si>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</si>
  <si>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</si>
  <si>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</si>
  <si>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</si>
  <si>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</si>
  <si>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</si>
  <si>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</si>
  <si>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</si>
  <si>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</si>
  <si>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</si>
  <si>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</si>
  <si>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</si>
  <si>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</si>
  <si>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</si>
  <si>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</si>
  <si>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</si>
  <si>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</si>
  <si>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</si>
  <si>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</si>
  <si>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</si>
  <si>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</si>
  <si>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</si>
  <si>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</si>
  <si>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</si>
  <si>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</si>
  <si>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</si>
  <si>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</si>
  <si>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</si>
  <si>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</si>
  <si>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</si>
  <si>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</si>
  <si>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</si>
  <si>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</si>
  <si>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</si>
  <si>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</si>
  <si>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</si>
  <si>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</si>
  <si>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</si>
  <si>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</si>
  <si>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</si>
  <si>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</si>
  <si>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</si>
  <si>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</si>
  <si>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</si>
  <si>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</si>
  <si>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</si>
  <si>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</si>
  <si>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</si>
  <si>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</si>
  <si>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</si>
  <si>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</si>
  <si>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</si>
  <si>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</si>
  <si>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</si>
  <si>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</si>
  <si>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</si>
  <si>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</si>
  <si>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</si>
  <si>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</si>
  <si>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</si>
  <si>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</si>
  <si>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</si>
  <si>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</si>
  <si>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</si>
  <si>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</si>
  <si>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</si>
  <si>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</si>
  <si>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</si>
  <si>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</si>
  <si>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</si>
  <si>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</si>
  <si>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</si>
  <si>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</si>
  <si>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</si>
  <si>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</si>
  <si>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</si>
  <si>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</si>
  <si>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</si>
  <si>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</si>
  <si>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</si>
  <si>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</si>
  <si>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</si>
  <si>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</si>
  <si>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</si>
  <si>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</si>
  <si>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</si>
  <si>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</si>
  <si>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</si>
  <si>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</si>
  <si>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</si>
  <si>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</si>
  <si>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</si>
  <si>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</si>
  <si>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</si>
  <si>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</si>
  <si>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</si>
  <si>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</si>
  <si>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</si>
  <si>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</si>
  <si>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</si>
  <si>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</si>
  <si>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</si>
  <si>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</si>
  <si>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</si>
  <si>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</si>
  <si>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</si>
  <si>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</si>
  <si>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</si>
  <si>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</si>
  <si>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</si>
  <si>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</si>
  <si>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</si>
  <si>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</si>
  <si>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</si>
  <si>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</si>
  <si>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</si>
  <si>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</si>
  <si>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</si>
  <si>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</si>
  <si>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</si>
  <si>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</si>
  <si>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</si>
  <si>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</si>
  <si>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</si>
  <si>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</si>
  <si>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</si>
  <si>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</si>
  <si>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</si>
  <si>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</si>
  <si>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</si>
  <si>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</si>
  <si>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</si>
  <si>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</si>
  <si>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</si>
  <si>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</si>
  <si>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</si>
  <si>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</si>
  <si>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</si>
  <si>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</si>
  <si>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</si>
  <si>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</si>
  <si>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</si>
  <si>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</si>
  <si>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</si>
  <si>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</si>
  <si>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</si>
  <si>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</si>
  <si>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</si>
  <si>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</si>
  <si>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</si>
  <si>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</si>
  <si>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</si>
  <si>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</si>
  <si>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</si>
  <si>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</si>
  <si>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</si>
  <si>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</si>
  <si>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</si>
  <si>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</si>
  <si>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</si>
  <si>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</si>
  <si>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</si>
  <si>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</si>
  <si>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</si>
  <si>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</si>
  <si>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</si>
  <si>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</si>
  <si>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</si>
  <si>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</si>
  <si>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</si>
  <si>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</si>
  <si>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</si>
  <si>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</si>
  <si>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</si>
  <si>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</si>
  <si>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</si>
  <si>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</si>
  <si>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</si>
  <si>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</si>
  <si>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</si>
  <si>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</si>
  <si>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</si>
  <si>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</si>
  <si>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</si>
  <si>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</si>
  <si>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</si>
  <si>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</si>
  <si>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</si>
  <si>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</si>
  <si>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</si>
  <si>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</si>
  <si>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</si>
  <si>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</si>
  <si>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</si>
  <si>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</si>
  <si>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</si>
  <si>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</si>
  <si>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</si>
  <si>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</si>
  <si>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</si>
  <si>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</si>
  <si>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</si>
  <si>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</si>
  <si>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</si>
  <si>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</si>
  <si>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</si>
  <si>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</si>
  <si>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</si>
  <si>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</si>
  <si>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</si>
  <si>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</si>
  <si>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</si>
  <si>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</si>
  <si>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</si>
  <si>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</si>
  <si>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</si>
  <si>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</si>
  <si>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</si>
  <si>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</si>
  <si>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</si>
  <si>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</si>
  <si>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</si>
  <si>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</si>
  <si>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</si>
  <si>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</si>
  <si>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</si>
  <si>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</si>
  <si>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</si>
  <si>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</si>
  <si>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</si>
  <si>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</si>
  <si>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</si>
  <si>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</si>
  <si>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</si>
  <si>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</si>
  <si>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</si>
  <si>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</si>
  <si>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</si>
  <si>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</si>
  <si>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</si>
  <si>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</si>
  <si>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</si>
  <si>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</si>
  <si>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</si>
  <si>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</si>
  <si>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</si>
  <si>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</si>
  <si>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</si>
  <si>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</si>
  <si>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</si>
  <si>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</si>
  <si>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</si>
  <si>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</si>
  <si>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</si>
  <si>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</si>
  <si>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</si>
  <si>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</si>
  <si>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</si>
  <si>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</si>
  <si>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</si>
  <si>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</si>
  <si>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</si>
  <si>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</si>
  <si>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</si>
  <si>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</si>
  <si>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</si>
  <si>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</si>
  <si>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</si>
  <si>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</si>
  <si>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</si>
  <si>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</si>
  <si>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</si>
  <si>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</si>
  <si>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</si>
  <si>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</si>
  <si>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</si>
  <si>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</si>
  <si>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</si>
  <si>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</si>
  <si>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</si>
  <si>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</si>
  <si>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</si>
  <si>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</si>
  <si>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</si>
  <si>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</si>
  <si>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</si>
  <si>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</si>
  <si>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</si>
  <si>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</si>
  <si>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</si>
  <si>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</si>
  <si>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</si>
  <si>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</si>
  <si>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</si>
  <si>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</si>
  <si>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</si>
  <si>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</si>
  <si>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</si>
  <si>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</si>
  <si>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</si>
  <si>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</si>
  <si>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</si>
  <si>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</si>
  <si>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</si>
  <si>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</si>
  <si>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</si>
  <si>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</si>
  <si>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</si>
  <si>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</si>
  <si>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</si>
  <si>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</si>
  <si>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</si>
  <si>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</si>
  <si>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</si>
  <si>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</si>
  <si>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</si>
  <si>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</si>
  <si>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</si>
  <si>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</si>
  <si>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</si>
  <si>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</si>
  <si>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</si>
  <si>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</si>
  <si>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</si>
  <si>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</si>
  <si>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</si>
  <si>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</si>
  <si>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</si>
  <si>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</si>
  <si>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</si>
  <si>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</si>
  <si>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</si>
  <si>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</si>
  <si>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</si>
  <si>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</si>
  <si>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</si>
  <si>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</si>
  <si>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</si>
  <si>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</si>
  <si>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</si>
  <si>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</si>
  <si>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</si>
  <si>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</si>
  <si>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</si>
  <si>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</si>
  <si>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</si>
  <si>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</si>
  <si>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</si>
  <si>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</si>
  <si>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</si>
  <si>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</si>
  <si>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</si>
  <si>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</si>
  <si>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</si>
  <si>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</si>
  <si>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</si>
  <si>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</si>
  <si>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</si>
  <si>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</si>
  <si>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</si>
  <si>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</si>
  <si>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</si>
  <si>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</si>
  <si>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</si>
  <si>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</si>
  <si>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</si>
  <si>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</si>
  <si>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</si>
  <si>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</si>
  <si>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</si>
  <si>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</si>
  <si>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</si>
  <si>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</si>
  <si>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</si>
  <si>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</si>
  <si>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</si>
  <si>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</si>
  <si>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</si>
  <si>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</si>
  <si>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</si>
  <si>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</si>
  <si>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</si>
  <si>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</si>
  <si>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</si>
  <si>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</si>
  <si>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</si>
  <si>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</si>
  <si>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</si>
  <si>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</si>
  <si>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</si>
  <si>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</si>
  <si>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</si>
  <si>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</si>
  <si>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</si>
  <si>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</si>
  <si>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</si>
  <si>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</si>
  <si>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</si>
  <si>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</si>
  <si>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</si>
  <si>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</si>
  <si>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</si>
  <si>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</si>
  <si>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</si>
  <si>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</si>
  <si>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</si>
  <si>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</si>
  <si>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</si>
  <si>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</si>
  <si>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</si>
  <si>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</si>
  <si>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</si>
  <si>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</si>
  <si>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</si>
  <si>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</si>
  <si>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</si>
  <si>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</si>
  <si>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</si>
  <si>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</si>
  <si>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</si>
  <si>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</si>
  <si>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</si>
  <si>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</si>
  <si>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</si>
  <si>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</si>
  <si>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</si>
  <si>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</si>
  <si>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</si>
  <si>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</si>
  <si>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</si>
  <si>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</si>
  <si>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</si>
  <si>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</si>
  <si>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</si>
  <si>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</si>
  <si>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</si>
  <si>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</si>
  <si>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</si>
  <si>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</si>
  <si>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</si>
  <si>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</si>
  <si>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</si>
  <si>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</si>
  <si>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</si>
  <si>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</si>
  <si>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</si>
  <si>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</si>
  <si>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</si>
  <si>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</si>
  <si>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</si>
  <si>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</si>
  <si>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</si>
  <si>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</si>
  <si>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</si>
  <si>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</si>
  <si>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</si>
  <si>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</si>
  <si>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</si>
  <si>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</si>
  <si>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</si>
  <si>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</si>
  <si>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</si>
  <si>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</si>
  <si>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</si>
  <si>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</si>
  <si>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</si>
  <si>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</si>
  <si>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</si>
  <si>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</si>
  <si>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</si>
  <si>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</si>
  <si>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</si>
  <si>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</si>
  <si>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</si>
  <si>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</si>
  <si>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</si>
  <si>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</si>
  <si>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</si>
  <si>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</si>
  <si>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</si>
  <si>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</si>
  <si>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</si>
  <si>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</si>
  <si>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</si>
  <si>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</si>
  <si>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</si>
  <si>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</si>
  <si>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</si>
  <si>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</si>
  <si>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</si>
  <si>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</si>
  <si>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</si>
  <si>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</si>
  <si>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</si>
  <si>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</si>
  <si>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</si>
  <si>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</si>
  <si>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</si>
  <si>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</si>
  <si>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</si>
  <si>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</si>
  <si>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</si>
  <si>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</si>
  <si>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</si>
  <si>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</si>
  <si>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</si>
  <si>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</si>
  <si>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</si>
  <si>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</si>
  <si>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</si>
  <si>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</si>
  <si>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</si>
  <si>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</si>
  <si>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</si>
  <si>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</si>
  <si>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</si>
  <si>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</si>
  <si>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</si>
  <si>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</si>
  <si>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</si>
  <si>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</si>
  <si>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</si>
  <si>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</si>
  <si>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</si>
  <si>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</si>
  <si>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</si>
  <si>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</si>
  <si>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</si>
  <si>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</si>
  <si>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</si>
  <si>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</si>
  <si>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</si>
  <si>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</si>
  <si>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</si>
  <si>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</si>
  <si>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</si>
  <si>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</si>
  <si>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</si>
  <si>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</si>
  <si>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</si>
  <si>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</si>
  <si>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</si>
  <si>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</si>
  <si>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</si>
  <si>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</si>
  <si>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</si>
  <si>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</si>
  <si>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</si>
  <si>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</si>
  <si>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</si>
  <si>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</si>
  <si>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</si>
  <si>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</si>
  <si>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</si>
  <si>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</si>
  <si>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</si>
  <si>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</si>
  <si>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</si>
  <si>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</si>
  <si>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</si>
  <si>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</si>
  <si>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</si>
  <si>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</si>
  <si>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</si>
  <si>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</si>
  <si>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</si>
  <si>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</si>
  <si>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</si>
  <si>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</si>
  <si>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</si>
  <si>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</si>
  <si>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</si>
  <si>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</si>
  <si>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</si>
  <si>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</si>
  <si>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</si>
  <si>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</si>
  <si>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</si>
  <si>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</si>
  <si>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</si>
  <si>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</si>
  <si>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</si>
  <si>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</si>
  <si>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</si>
  <si>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</si>
  <si>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</si>
  <si>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</si>
  <si>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</si>
  <si>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</si>
  <si>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</si>
  <si>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</si>
  <si>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43007</t>
  </si>
  <si>
    <t>KAPRIJKE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</si>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</sst>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43007</v>
      </c>
      <c r="B6" s="394"/>
      <c r="C6" s="395"/>
    </row>
    <row r="7" spans="1:7" s="392" customFormat="1" ht="15.75" customHeight="1">
      <c r="A7" s="396" t="str">
        <f>txtMunicipality</f>
        <v>KAPRIJKE</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7445.0785353165056</v>
      </c>
      <c r="D10" s="684">
        <f ca="1">tertiair!C16</f>
        <v>0</v>
      </c>
      <c r="E10" s="684">
        <f ca="1">tertiair!D16</f>
        <v>3708.1496556367529</v>
      </c>
      <c r="F10" s="684">
        <f>tertiair!E16</f>
        <v>148.21447848688175</v>
      </c>
      <c r="G10" s="684">
        <f ca="1">tertiair!F16</f>
        <v>1387.5367992592014</v>
      </c>
      <c r="H10" s="684">
        <f>tertiair!G16</f>
        <v>0</v>
      </c>
      <c r="I10" s="684">
        <f>tertiair!H16</f>
        <v>0</v>
      </c>
      <c r="J10" s="684">
        <f>tertiair!I16</f>
        <v>0</v>
      </c>
      <c r="K10" s="684">
        <f>tertiair!J16</f>
        <v>0</v>
      </c>
      <c r="L10" s="684">
        <f>tertiair!K16</f>
        <v>0</v>
      </c>
      <c r="M10" s="684">
        <f ca="1">tertiair!L16</f>
        <v>0</v>
      </c>
      <c r="N10" s="684">
        <f>tertiair!M16</f>
        <v>0</v>
      </c>
      <c r="O10" s="684">
        <f ca="1">tertiair!N16</f>
        <v>488.8764556203248</v>
      </c>
      <c r="P10" s="684">
        <f>tertiair!O16</f>
        <v>3.1266666666666669</v>
      </c>
      <c r="Q10" s="685">
        <f>tertiair!P16</f>
        <v>0</v>
      </c>
      <c r="R10" s="687">
        <f ca="1">SUM(C10:Q10)</f>
        <v>13180.982590986332</v>
      </c>
      <c r="S10" s="67"/>
    </row>
    <row r="11" spans="1:19" s="453" customFormat="1">
      <c r="A11" s="799" t="s">
        <v>224</v>
      </c>
      <c r="B11" s="804"/>
      <c r="C11" s="684">
        <f>huishoudens!B8</f>
        <v>13667.074759392422</v>
      </c>
      <c r="D11" s="684">
        <f>huishoudens!C8</f>
        <v>0</v>
      </c>
      <c r="E11" s="684">
        <f>huishoudens!D8</f>
        <v>15927.824039491696</v>
      </c>
      <c r="F11" s="684">
        <f>huishoudens!E8</f>
        <v>13473.030402126731</v>
      </c>
      <c r="G11" s="684">
        <f>huishoudens!F8</f>
        <v>13638.304992395288</v>
      </c>
      <c r="H11" s="684">
        <f>huishoudens!G8</f>
        <v>0</v>
      </c>
      <c r="I11" s="684">
        <f>huishoudens!H8</f>
        <v>0</v>
      </c>
      <c r="J11" s="684">
        <f>huishoudens!I8</f>
        <v>0</v>
      </c>
      <c r="K11" s="684">
        <f>huishoudens!J8</f>
        <v>3039.0126332540012</v>
      </c>
      <c r="L11" s="684">
        <f>huishoudens!K8</f>
        <v>0</v>
      </c>
      <c r="M11" s="684">
        <f>huishoudens!L8</f>
        <v>0</v>
      </c>
      <c r="N11" s="684">
        <f>huishoudens!M8</f>
        <v>0</v>
      </c>
      <c r="O11" s="684">
        <f>huishoudens!N8</f>
        <v>5608.7426163413029</v>
      </c>
      <c r="P11" s="684">
        <f>huishoudens!O8</f>
        <v>28.140000000000004</v>
      </c>
      <c r="Q11" s="685">
        <f>huishoudens!P8</f>
        <v>171.6</v>
      </c>
      <c r="R11" s="687">
        <f>SUM(C11:Q11)</f>
        <v>65553.729443001444</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8723.1057981753311</v>
      </c>
      <c r="D13" s="684">
        <f>industrie!C18</f>
        <v>0</v>
      </c>
      <c r="E13" s="684">
        <f>industrie!D18</f>
        <v>16574.198922921201</v>
      </c>
      <c r="F13" s="684">
        <f>industrie!E18</f>
        <v>82.829753704831006</v>
      </c>
      <c r="G13" s="684">
        <f>industrie!F18</f>
        <v>2048.2140199466057</v>
      </c>
      <c r="H13" s="684">
        <f>industrie!G18</f>
        <v>0</v>
      </c>
      <c r="I13" s="684">
        <f>industrie!H18</f>
        <v>0</v>
      </c>
      <c r="J13" s="684">
        <f>industrie!I18</f>
        <v>0</v>
      </c>
      <c r="K13" s="684">
        <f>industrie!J18</f>
        <v>55.061086201250518</v>
      </c>
      <c r="L13" s="684">
        <f>industrie!K18</f>
        <v>0</v>
      </c>
      <c r="M13" s="684">
        <f>industrie!L18</f>
        <v>0</v>
      </c>
      <c r="N13" s="684">
        <f>industrie!M18</f>
        <v>0</v>
      </c>
      <c r="O13" s="684">
        <f>industrie!N18</f>
        <v>186.36292005156002</v>
      </c>
      <c r="P13" s="684">
        <f>industrie!O18</f>
        <v>0</v>
      </c>
      <c r="Q13" s="685">
        <f>industrie!P18</f>
        <v>0</v>
      </c>
      <c r="R13" s="687">
        <f>SUM(C13:Q13)</f>
        <v>27669.772501000778</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29835.259092884262</v>
      </c>
      <c r="D16" s="717">
        <f t="shared" ref="D16:R16" ca="1" si="0">SUM(D9:D15)</f>
        <v>0</v>
      </c>
      <c r="E16" s="717">
        <f t="shared" ca="1" si="0"/>
        <v>36210.172618049648</v>
      </c>
      <c r="F16" s="717">
        <f t="shared" si="0"/>
        <v>13704.074634318444</v>
      </c>
      <c r="G16" s="717">
        <f t="shared" ca="1" si="0"/>
        <v>17074.055811601094</v>
      </c>
      <c r="H16" s="717">
        <f t="shared" si="0"/>
        <v>0</v>
      </c>
      <c r="I16" s="717">
        <f t="shared" si="0"/>
        <v>0</v>
      </c>
      <c r="J16" s="717">
        <f t="shared" si="0"/>
        <v>0</v>
      </c>
      <c r="K16" s="717">
        <f t="shared" si="0"/>
        <v>3094.0737194552516</v>
      </c>
      <c r="L16" s="717">
        <f t="shared" si="0"/>
        <v>0</v>
      </c>
      <c r="M16" s="717">
        <f t="shared" ca="1" si="0"/>
        <v>0</v>
      </c>
      <c r="N16" s="717">
        <f t="shared" si="0"/>
        <v>0</v>
      </c>
      <c r="O16" s="717">
        <f t="shared" ca="1" si="0"/>
        <v>6283.9819920131877</v>
      </c>
      <c r="P16" s="717">
        <f t="shared" si="0"/>
        <v>31.266666666666673</v>
      </c>
      <c r="Q16" s="717">
        <f t="shared" si="0"/>
        <v>171.6</v>
      </c>
      <c r="R16" s="717">
        <f t="shared" ca="1" si="0"/>
        <v>106404.48453498856</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798.26981469026725</v>
      </c>
      <c r="I19" s="684">
        <f>transport!H54</f>
        <v>0</v>
      </c>
      <c r="J19" s="684">
        <f>transport!I54</f>
        <v>0</v>
      </c>
      <c r="K19" s="684">
        <f>transport!J54</f>
        <v>0</v>
      </c>
      <c r="L19" s="684">
        <f>transport!K54</f>
        <v>0</v>
      </c>
      <c r="M19" s="684">
        <f>transport!L54</f>
        <v>0</v>
      </c>
      <c r="N19" s="684">
        <f>transport!M54</f>
        <v>33.945367720685027</v>
      </c>
      <c r="O19" s="684">
        <f>transport!N54</f>
        <v>0</v>
      </c>
      <c r="P19" s="684">
        <f>transport!O54</f>
        <v>0</v>
      </c>
      <c r="Q19" s="685">
        <f>transport!P54</f>
        <v>0</v>
      </c>
      <c r="R19" s="687">
        <f>SUM(C19:Q19)</f>
        <v>832.21518241095225</v>
      </c>
      <c r="S19" s="67"/>
    </row>
    <row r="20" spans="1:19" s="453" customFormat="1">
      <c r="A20" s="799" t="s">
        <v>306</v>
      </c>
      <c r="B20" s="804"/>
      <c r="C20" s="684">
        <f>transport!B14</f>
        <v>0.51322518701822506</v>
      </c>
      <c r="D20" s="684">
        <f>transport!C14</f>
        <v>0</v>
      </c>
      <c r="E20" s="684">
        <f>transport!D14</f>
        <v>2.7624065045403521</v>
      </c>
      <c r="F20" s="684">
        <f>transport!E14</f>
        <v>280.61782249337034</v>
      </c>
      <c r="G20" s="684">
        <f>transport!F14</f>
        <v>0</v>
      </c>
      <c r="H20" s="684">
        <f>transport!G14</f>
        <v>56994.158907667952</v>
      </c>
      <c r="I20" s="684">
        <f>transport!H14</f>
        <v>9493.3769413488899</v>
      </c>
      <c r="J20" s="684">
        <f>transport!I14</f>
        <v>0</v>
      </c>
      <c r="K20" s="684">
        <f>transport!J14</f>
        <v>0</v>
      </c>
      <c r="L20" s="684">
        <f>transport!K14</f>
        <v>0</v>
      </c>
      <c r="M20" s="684">
        <f>transport!L14</f>
        <v>0</v>
      </c>
      <c r="N20" s="684">
        <f>transport!M14</f>
        <v>2892.194710760697</v>
      </c>
      <c r="O20" s="684">
        <f>transport!N14</f>
        <v>0</v>
      </c>
      <c r="P20" s="684">
        <f>transport!O14</f>
        <v>0</v>
      </c>
      <c r="Q20" s="685">
        <f>transport!P14</f>
        <v>0</v>
      </c>
      <c r="R20" s="687">
        <f>SUM(C20:Q20)</f>
        <v>69663.624013962472</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0.51322518701822506</v>
      </c>
      <c r="D22" s="802">
        <f t="shared" ref="D22:R22" si="1">SUM(D18:D21)</f>
        <v>0</v>
      </c>
      <c r="E22" s="802">
        <f t="shared" si="1"/>
        <v>2.7624065045403521</v>
      </c>
      <c r="F22" s="802">
        <f t="shared" si="1"/>
        <v>280.61782249337034</v>
      </c>
      <c r="G22" s="802">
        <f t="shared" si="1"/>
        <v>0</v>
      </c>
      <c r="H22" s="802">
        <f t="shared" si="1"/>
        <v>57792.428722358221</v>
      </c>
      <c r="I22" s="802">
        <f t="shared" si="1"/>
        <v>9493.3769413488899</v>
      </c>
      <c r="J22" s="802">
        <f t="shared" si="1"/>
        <v>0</v>
      </c>
      <c r="K22" s="802">
        <f t="shared" si="1"/>
        <v>0</v>
      </c>
      <c r="L22" s="802">
        <f t="shared" si="1"/>
        <v>0</v>
      </c>
      <c r="M22" s="802">
        <f t="shared" si="1"/>
        <v>0</v>
      </c>
      <c r="N22" s="802">
        <f t="shared" si="1"/>
        <v>2926.1400784813823</v>
      </c>
      <c r="O22" s="802">
        <f t="shared" si="1"/>
        <v>0</v>
      </c>
      <c r="P22" s="802">
        <f t="shared" si="1"/>
        <v>0</v>
      </c>
      <c r="Q22" s="802">
        <f t="shared" si="1"/>
        <v>0</v>
      </c>
      <c r="R22" s="802">
        <f t="shared" si="1"/>
        <v>70495.839196373418</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3070.438985624673</v>
      </c>
      <c r="D24" s="684">
        <f>+landbouw!C8</f>
        <v>0</v>
      </c>
      <c r="E24" s="684">
        <f>+landbouw!D8</f>
        <v>280.71581887905978</v>
      </c>
      <c r="F24" s="684">
        <f>+landbouw!E8</f>
        <v>32.154301780394718</v>
      </c>
      <c r="G24" s="684">
        <f>+landbouw!F8</f>
        <v>13143.811896613659</v>
      </c>
      <c r="H24" s="684">
        <f>+landbouw!G8</f>
        <v>0</v>
      </c>
      <c r="I24" s="684">
        <f>+landbouw!H8</f>
        <v>0</v>
      </c>
      <c r="J24" s="684">
        <f>+landbouw!I8</f>
        <v>0</v>
      </c>
      <c r="K24" s="684">
        <f>+landbouw!J8</f>
        <v>274.21772223040722</v>
      </c>
      <c r="L24" s="684">
        <f>+landbouw!K8</f>
        <v>0</v>
      </c>
      <c r="M24" s="684">
        <f>+landbouw!L8</f>
        <v>0</v>
      </c>
      <c r="N24" s="684">
        <f>+landbouw!M8</f>
        <v>0</v>
      </c>
      <c r="O24" s="684">
        <f>+landbouw!N8</f>
        <v>0</v>
      </c>
      <c r="P24" s="684">
        <f>+landbouw!O8</f>
        <v>0</v>
      </c>
      <c r="Q24" s="685">
        <f>+landbouw!P8</f>
        <v>0</v>
      </c>
      <c r="R24" s="687">
        <f>SUM(C24:Q24)</f>
        <v>16801.338725128197</v>
      </c>
      <c r="S24" s="67"/>
    </row>
    <row r="25" spans="1:19" s="453" customFormat="1" ht="15" thickBot="1">
      <c r="A25" s="821" t="s">
        <v>912</v>
      </c>
      <c r="B25" s="978"/>
      <c r="C25" s="979">
        <f>IF(Onbekend_ele_kWh="---",0,Onbekend_ele_kWh)/1000+IF(REST_rest_ele_kWh="---",0,REST_rest_ele_kWh)/1000</f>
        <v>816.498640003579</v>
      </c>
      <c r="D25" s="979"/>
      <c r="E25" s="979">
        <f>IF(onbekend_gas_kWh="---",0,onbekend_gas_kWh)/1000+IF(REST_rest_gas_kWh="---",0,REST_rest_gas_kWh)/1000</f>
        <v>629.07085216645305</v>
      </c>
      <c r="F25" s="979"/>
      <c r="G25" s="979"/>
      <c r="H25" s="979"/>
      <c r="I25" s="979"/>
      <c r="J25" s="979"/>
      <c r="K25" s="979"/>
      <c r="L25" s="979"/>
      <c r="M25" s="979"/>
      <c r="N25" s="979"/>
      <c r="O25" s="979"/>
      <c r="P25" s="979"/>
      <c r="Q25" s="980"/>
      <c r="R25" s="687">
        <f>SUM(C25:Q25)</f>
        <v>1445.5694921700319</v>
      </c>
      <c r="S25" s="67"/>
    </row>
    <row r="26" spans="1:19" s="453" customFormat="1" ht="15.75" thickBot="1">
      <c r="A26" s="690" t="s">
        <v>913</v>
      </c>
      <c r="B26" s="807"/>
      <c r="C26" s="802">
        <f>SUM(C24:C25)</f>
        <v>3886.9376256282521</v>
      </c>
      <c r="D26" s="802">
        <f t="shared" ref="D26:R26" si="2">SUM(D24:D25)</f>
        <v>0</v>
      </c>
      <c r="E26" s="802">
        <f t="shared" si="2"/>
        <v>909.78667104551278</v>
      </c>
      <c r="F26" s="802">
        <f t="shared" si="2"/>
        <v>32.154301780394718</v>
      </c>
      <c r="G26" s="802">
        <f t="shared" si="2"/>
        <v>13143.811896613659</v>
      </c>
      <c r="H26" s="802">
        <f t="shared" si="2"/>
        <v>0</v>
      </c>
      <c r="I26" s="802">
        <f t="shared" si="2"/>
        <v>0</v>
      </c>
      <c r="J26" s="802">
        <f t="shared" si="2"/>
        <v>0</v>
      </c>
      <c r="K26" s="802">
        <f t="shared" si="2"/>
        <v>274.21772223040722</v>
      </c>
      <c r="L26" s="802">
        <f t="shared" si="2"/>
        <v>0</v>
      </c>
      <c r="M26" s="802">
        <f t="shared" si="2"/>
        <v>0</v>
      </c>
      <c r="N26" s="802">
        <f t="shared" si="2"/>
        <v>0</v>
      </c>
      <c r="O26" s="802">
        <f t="shared" si="2"/>
        <v>0</v>
      </c>
      <c r="P26" s="802">
        <f t="shared" si="2"/>
        <v>0</v>
      </c>
      <c r="Q26" s="802">
        <f t="shared" si="2"/>
        <v>0</v>
      </c>
      <c r="R26" s="802">
        <f t="shared" si="2"/>
        <v>18246.908217298227</v>
      </c>
      <c r="S26" s="67"/>
    </row>
    <row r="27" spans="1:19" s="453" customFormat="1" ht="17.25" thickTop="1" thickBot="1">
      <c r="A27" s="691" t="s">
        <v>115</v>
      </c>
      <c r="B27" s="794"/>
      <c r="C27" s="692">
        <f ca="1">C22+C16+C26</f>
        <v>33722.709943699534</v>
      </c>
      <c r="D27" s="692">
        <f t="shared" ref="D27:R27" ca="1" si="3">D22+D16+D26</f>
        <v>0</v>
      </c>
      <c r="E27" s="692">
        <f t="shared" ca="1" si="3"/>
        <v>37122.721695599699</v>
      </c>
      <c r="F27" s="692">
        <f t="shared" si="3"/>
        <v>14016.846758592208</v>
      </c>
      <c r="G27" s="692">
        <f t="shared" ca="1" si="3"/>
        <v>30217.867708214755</v>
      </c>
      <c r="H27" s="692">
        <f t="shared" si="3"/>
        <v>57792.428722358221</v>
      </c>
      <c r="I27" s="692">
        <f t="shared" si="3"/>
        <v>9493.3769413488899</v>
      </c>
      <c r="J27" s="692">
        <f t="shared" si="3"/>
        <v>0</v>
      </c>
      <c r="K27" s="692">
        <f t="shared" si="3"/>
        <v>3368.2914416856588</v>
      </c>
      <c r="L27" s="692">
        <f t="shared" si="3"/>
        <v>0</v>
      </c>
      <c r="M27" s="692">
        <f t="shared" ca="1" si="3"/>
        <v>0</v>
      </c>
      <c r="N27" s="692">
        <f t="shared" si="3"/>
        <v>2926.1400784813823</v>
      </c>
      <c r="O27" s="692">
        <f t="shared" ca="1" si="3"/>
        <v>6283.9819920131877</v>
      </c>
      <c r="P27" s="692">
        <f t="shared" si="3"/>
        <v>31.266666666666673</v>
      </c>
      <c r="Q27" s="692">
        <f t="shared" si="3"/>
        <v>171.6</v>
      </c>
      <c r="R27" s="692">
        <f t="shared" ca="1" si="3"/>
        <v>195147.23194866019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1596.3981789389088</v>
      </c>
      <c r="D40" s="684">
        <f ca="1">tertiair!C20</f>
        <v>0</v>
      </c>
      <c r="E40" s="684">
        <f ca="1">tertiair!D20</f>
        <v>749.04623043862409</v>
      </c>
      <c r="F40" s="684">
        <f>tertiair!E20</f>
        <v>33.644686616522158</v>
      </c>
      <c r="G40" s="684">
        <f ca="1">tertiair!F20</f>
        <v>370.47232540220682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2749.5614213962617</v>
      </c>
    </row>
    <row r="41" spans="1:18">
      <c r="A41" s="812" t="s">
        <v>224</v>
      </c>
      <c r="B41" s="819"/>
      <c r="C41" s="684">
        <f ca="1">huishoudens!B12</f>
        <v>2930.5390337817912</v>
      </c>
      <c r="D41" s="684">
        <f ca="1">huishoudens!C12</f>
        <v>0</v>
      </c>
      <c r="E41" s="684">
        <f>huishoudens!D12</f>
        <v>3217.4204559773229</v>
      </c>
      <c r="F41" s="684">
        <f>huishoudens!E12</f>
        <v>3058.3779012827681</v>
      </c>
      <c r="G41" s="684">
        <f>huishoudens!F12</f>
        <v>3641.4274329695422</v>
      </c>
      <c r="H41" s="684">
        <f>huishoudens!G12</f>
        <v>0</v>
      </c>
      <c r="I41" s="684">
        <f>huishoudens!H12</f>
        <v>0</v>
      </c>
      <c r="J41" s="684">
        <f>huishoudens!I12</f>
        <v>0</v>
      </c>
      <c r="K41" s="684">
        <f>huishoudens!J12</f>
        <v>1075.8104721719164</v>
      </c>
      <c r="L41" s="684">
        <f>huishoudens!K12</f>
        <v>0</v>
      </c>
      <c r="M41" s="684">
        <f>huishoudens!L12</f>
        <v>0</v>
      </c>
      <c r="N41" s="684">
        <f>huishoudens!M12</f>
        <v>0</v>
      </c>
      <c r="O41" s="684">
        <f>huishoudens!N12</f>
        <v>0</v>
      </c>
      <c r="P41" s="684">
        <f>huishoudens!O12</f>
        <v>0</v>
      </c>
      <c r="Q41" s="759">
        <f>huishoudens!P12</f>
        <v>0</v>
      </c>
      <c r="R41" s="840">
        <f t="shared" ca="1" si="4"/>
        <v>13923.575296183339</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1870.4369799245551</v>
      </c>
      <c r="D43" s="684">
        <f ca="1">industrie!C22</f>
        <v>0</v>
      </c>
      <c r="E43" s="684">
        <f>industrie!D22</f>
        <v>3347.9881824300828</v>
      </c>
      <c r="F43" s="684">
        <f>industrie!E22</f>
        <v>18.802354090996641</v>
      </c>
      <c r="G43" s="684">
        <f>industrie!F22</f>
        <v>546.87314332574374</v>
      </c>
      <c r="H43" s="684">
        <f>industrie!G22</f>
        <v>0</v>
      </c>
      <c r="I43" s="684">
        <f>industrie!H22</f>
        <v>0</v>
      </c>
      <c r="J43" s="684">
        <f>industrie!I22</f>
        <v>0</v>
      </c>
      <c r="K43" s="684">
        <f>industrie!J22</f>
        <v>19.491624515242684</v>
      </c>
      <c r="L43" s="684">
        <f>industrie!K22</f>
        <v>0</v>
      </c>
      <c r="M43" s="684">
        <f>industrie!L22</f>
        <v>0</v>
      </c>
      <c r="N43" s="684">
        <f>industrie!M22</f>
        <v>0</v>
      </c>
      <c r="O43" s="684">
        <f>industrie!N22</f>
        <v>0</v>
      </c>
      <c r="P43" s="684">
        <f>industrie!O22</f>
        <v>0</v>
      </c>
      <c r="Q43" s="759">
        <f>industrie!P22</f>
        <v>0</v>
      </c>
      <c r="R43" s="839">
        <f t="shared" ca="1" si="4"/>
        <v>5803.5922842866203</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6397.3741926452549</v>
      </c>
      <c r="D46" s="717">
        <f t="shared" ref="D46:Q46" ca="1" si="5">SUM(D39:D45)</f>
        <v>0</v>
      </c>
      <c r="E46" s="717">
        <f t="shared" ca="1" si="5"/>
        <v>7314.45486884603</v>
      </c>
      <c r="F46" s="717">
        <f t="shared" si="5"/>
        <v>3110.8249419902868</v>
      </c>
      <c r="G46" s="717">
        <f t="shared" ca="1" si="5"/>
        <v>4558.7729016974927</v>
      </c>
      <c r="H46" s="717">
        <f t="shared" si="5"/>
        <v>0</v>
      </c>
      <c r="I46" s="717">
        <f t="shared" si="5"/>
        <v>0</v>
      </c>
      <c r="J46" s="717">
        <f t="shared" si="5"/>
        <v>0</v>
      </c>
      <c r="K46" s="717">
        <f t="shared" si="5"/>
        <v>1095.3020966871591</v>
      </c>
      <c r="L46" s="717">
        <f t="shared" si="5"/>
        <v>0</v>
      </c>
      <c r="M46" s="717">
        <f t="shared" ca="1" si="5"/>
        <v>0</v>
      </c>
      <c r="N46" s="717">
        <f t="shared" si="5"/>
        <v>0</v>
      </c>
      <c r="O46" s="717">
        <f t="shared" ca="1" si="5"/>
        <v>0</v>
      </c>
      <c r="P46" s="717">
        <f t="shared" si="5"/>
        <v>0</v>
      </c>
      <c r="Q46" s="717">
        <f t="shared" si="5"/>
        <v>0</v>
      </c>
      <c r="R46" s="717">
        <f ca="1">SUM(R39:R45)</f>
        <v>22476.729001866221</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213.13804052230137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213.13804052230137</v>
      </c>
    </row>
    <row r="50" spans="1:18">
      <c r="A50" s="815" t="s">
        <v>306</v>
      </c>
      <c r="B50" s="825"/>
      <c r="C50" s="985">
        <f ca="1">transport!B18</f>
        <v>0.1100474293259614</v>
      </c>
      <c r="D50" s="985">
        <f>transport!C18</f>
        <v>0</v>
      </c>
      <c r="E50" s="985">
        <f>transport!D18</f>
        <v>0.55800611391715116</v>
      </c>
      <c r="F50" s="985">
        <f>transport!E18</f>
        <v>63.700245705995073</v>
      </c>
      <c r="G50" s="985">
        <f>transport!F18</f>
        <v>0</v>
      </c>
      <c r="H50" s="985">
        <f>transport!G18</f>
        <v>15217.440428347343</v>
      </c>
      <c r="I50" s="985">
        <f>transport!H18</f>
        <v>2363.8508583958737</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17645.659585992456</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0.1100474293259614</v>
      </c>
      <c r="D52" s="717">
        <f t="shared" ref="D52:Q52" ca="1" si="6">SUM(D48:D51)</f>
        <v>0</v>
      </c>
      <c r="E52" s="717">
        <f t="shared" si="6"/>
        <v>0.55800611391715116</v>
      </c>
      <c r="F52" s="717">
        <f t="shared" si="6"/>
        <v>63.700245705995073</v>
      </c>
      <c r="G52" s="717">
        <f t="shared" si="6"/>
        <v>0</v>
      </c>
      <c r="H52" s="717">
        <f t="shared" si="6"/>
        <v>15430.578468869644</v>
      </c>
      <c r="I52" s="717">
        <f t="shared" si="6"/>
        <v>2363.8508583958737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17858.797626514759</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658.3736063955273</v>
      </c>
      <c r="D54" s="985">
        <f ca="1">+landbouw!C12</f>
        <v>0</v>
      </c>
      <c r="E54" s="985">
        <f>+landbouw!D12</f>
        <v>56.704595413570082</v>
      </c>
      <c r="F54" s="985">
        <f>+landbouw!E12</f>
        <v>7.2990265041496016</v>
      </c>
      <c r="G54" s="985">
        <f>+landbouw!F12</f>
        <v>3509.3977763958474</v>
      </c>
      <c r="H54" s="985">
        <f>+landbouw!G12</f>
        <v>0</v>
      </c>
      <c r="I54" s="985">
        <f>+landbouw!H12</f>
        <v>0</v>
      </c>
      <c r="J54" s="985">
        <f>+landbouw!I12</f>
        <v>0</v>
      </c>
      <c r="K54" s="985">
        <f>+landbouw!J12</f>
        <v>97.073073669564153</v>
      </c>
      <c r="L54" s="985">
        <f>+landbouw!K12</f>
        <v>0</v>
      </c>
      <c r="M54" s="985">
        <f>+landbouw!L12</f>
        <v>0</v>
      </c>
      <c r="N54" s="985">
        <f>+landbouw!M12</f>
        <v>0</v>
      </c>
      <c r="O54" s="985">
        <f>+landbouw!N12</f>
        <v>0</v>
      </c>
      <c r="P54" s="985">
        <f>+landbouw!O12</f>
        <v>0</v>
      </c>
      <c r="Q54" s="986">
        <f>+landbouw!P12</f>
        <v>0</v>
      </c>
      <c r="R54" s="716">
        <f ca="1">SUM(C54:Q54)</f>
        <v>4328.8480783786581</v>
      </c>
    </row>
    <row r="55" spans="1:18" ht="15" thickBot="1">
      <c r="A55" s="815" t="s">
        <v>912</v>
      </c>
      <c r="B55" s="825"/>
      <c r="C55" s="985">
        <f ca="1">C25*'EF ele_warmte'!B12</f>
        <v>175.0763186479129</v>
      </c>
      <c r="D55" s="985"/>
      <c r="E55" s="985">
        <f>E25*EF_CO2_aardgas</f>
        <v>127.07231213762353</v>
      </c>
      <c r="F55" s="985"/>
      <c r="G55" s="985"/>
      <c r="H55" s="985"/>
      <c r="I55" s="985"/>
      <c r="J55" s="985"/>
      <c r="K55" s="985"/>
      <c r="L55" s="985"/>
      <c r="M55" s="985"/>
      <c r="N55" s="985"/>
      <c r="O55" s="985"/>
      <c r="P55" s="985"/>
      <c r="Q55" s="986"/>
      <c r="R55" s="716">
        <f ca="1">SUM(C55:Q55)</f>
        <v>302.1486307855364</v>
      </c>
    </row>
    <row r="56" spans="1:18" ht="15.75" thickBot="1">
      <c r="A56" s="813" t="s">
        <v>913</v>
      </c>
      <c r="B56" s="826"/>
      <c r="C56" s="717">
        <f ca="1">SUM(C54:C55)</f>
        <v>833.4499250434402</v>
      </c>
      <c r="D56" s="717">
        <f t="shared" ref="D56:Q56" ca="1" si="7">SUM(D54:D55)</f>
        <v>0</v>
      </c>
      <c r="E56" s="717">
        <f t="shared" si="7"/>
        <v>183.7769075511936</v>
      </c>
      <c r="F56" s="717">
        <f t="shared" si="7"/>
        <v>7.2990265041496016</v>
      </c>
      <c r="G56" s="717">
        <f t="shared" si="7"/>
        <v>3509.3977763958474</v>
      </c>
      <c r="H56" s="717">
        <f t="shared" si="7"/>
        <v>0</v>
      </c>
      <c r="I56" s="717">
        <f t="shared" si="7"/>
        <v>0</v>
      </c>
      <c r="J56" s="717">
        <f t="shared" si="7"/>
        <v>0</v>
      </c>
      <c r="K56" s="717">
        <f t="shared" si="7"/>
        <v>97.073073669564153</v>
      </c>
      <c r="L56" s="717">
        <f t="shared" si="7"/>
        <v>0</v>
      </c>
      <c r="M56" s="717">
        <f t="shared" si="7"/>
        <v>0</v>
      </c>
      <c r="N56" s="717">
        <f t="shared" si="7"/>
        <v>0</v>
      </c>
      <c r="O56" s="717">
        <f t="shared" si="7"/>
        <v>0</v>
      </c>
      <c r="P56" s="717">
        <f t="shared" si="7"/>
        <v>0</v>
      </c>
      <c r="Q56" s="718">
        <f t="shared" si="7"/>
        <v>0</v>
      </c>
      <c r="R56" s="719">
        <f ca="1">SUM(R54:R55)</f>
        <v>4630.9967091641947</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7230.9341651180212</v>
      </c>
      <c r="D61" s="725">
        <f t="shared" ref="D61:Q61" ca="1" si="8">D46+D52+D56</f>
        <v>0</v>
      </c>
      <c r="E61" s="725">
        <f t="shared" ca="1" si="8"/>
        <v>7498.7897825111404</v>
      </c>
      <c r="F61" s="725">
        <f t="shared" si="8"/>
        <v>3181.8242142004315</v>
      </c>
      <c r="G61" s="725">
        <f t="shared" ca="1" si="8"/>
        <v>8068.17067809334</v>
      </c>
      <c r="H61" s="725">
        <f t="shared" si="8"/>
        <v>15430.578468869644</v>
      </c>
      <c r="I61" s="725">
        <f t="shared" si="8"/>
        <v>2363.8508583958737</v>
      </c>
      <c r="J61" s="725">
        <f t="shared" si="8"/>
        <v>0</v>
      </c>
      <c r="K61" s="725">
        <f t="shared" si="8"/>
        <v>1192.3751703567232</v>
      </c>
      <c r="L61" s="725">
        <f t="shared" si="8"/>
        <v>0</v>
      </c>
      <c r="M61" s="725">
        <f t="shared" ca="1" si="8"/>
        <v>0</v>
      </c>
      <c r="N61" s="725">
        <f t="shared" si="8"/>
        <v>0</v>
      </c>
      <c r="O61" s="725">
        <f t="shared" ca="1" si="8"/>
        <v>0</v>
      </c>
      <c r="P61" s="725">
        <f t="shared" si="8"/>
        <v>0</v>
      </c>
      <c r="Q61" s="725">
        <f t="shared" si="8"/>
        <v>0</v>
      </c>
      <c r="R61" s="725">
        <f ca="1">R46+R52+R56</f>
        <v>44966.523337545172</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0.21442328262438434</v>
      </c>
      <c r="D63" s="769">
        <f t="shared" ca="1" si="9"/>
        <v>0</v>
      </c>
      <c r="E63" s="987">
        <f t="shared" ca="1" si="9"/>
        <v>0.20200000000000004</v>
      </c>
      <c r="F63" s="769">
        <f t="shared" si="9"/>
        <v>0.22700000000000001</v>
      </c>
      <c r="G63" s="769">
        <f t="shared" ca="1" si="9"/>
        <v>0.26700000000000002</v>
      </c>
      <c r="H63" s="769">
        <f t="shared" si="9"/>
        <v>0.26699999999999996</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1003.5508255184379</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1003.5508255184379</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13667.074759392422</v>
      </c>
      <c r="C4" s="457">
        <f>huishoudens!C8</f>
        <v>0</v>
      </c>
      <c r="D4" s="457">
        <f>huishoudens!D8</f>
        <v>15927.824039491696</v>
      </c>
      <c r="E4" s="457">
        <f>huishoudens!E8</f>
        <v>13473.030402126731</v>
      </c>
      <c r="F4" s="457">
        <f>huishoudens!F8</f>
        <v>13638.304992395288</v>
      </c>
      <c r="G4" s="457">
        <f>huishoudens!G8</f>
        <v>0</v>
      </c>
      <c r="H4" s="457">
        <f>huishoudens!H8</f>
        <v>0</v>
      </c>
      <c r="I4" s="457">
        <f>huishoudens!I8</f>
        <v>0</v>
      </c>
      <c r="J4" s="457">
        <f>huishoudens!J8</f>
        <v>3039.0126332540012</v>
      </c>
      <c r="K4" s="457">
        <f>huishoudens!K8</f>
        <v>0</v>
      </c>
      <c r="L4" s="457">
        <f>huishoudens!L8</f>
        <v>0</v>
      </c>
      <c r="M4" s="457">
        <f>huishoudens!M8</f>
        <v>0</v>
      </c>
      <c r="N4" s="457">
        <f>huishoudens!N8</f>
        <v>5608.7426163413029</v>
      </c>
      <c r="O4" s="457">
        <f>huishoudens!O8</f>
        <v>28.140000000000004</v>
      </c>
      <c r="P4" s="458">
        <f>huishoudens!P8</f>
        <v>171.6</v>
      </c>
      <c r="Q4" s="459">
        <f>SUM(B4:P4)</f>
        <v>65553.729443001444</v>
      </c>
    </row>
    <row r="5" spans="1:17">
      <c r="A5" s="456" t="s">
        <v>155</v>
      </c>
      <c r="B5" s="457">
        <f ca="1">tertiair!B16</f>
        <v>6905.0655353165057</v>
      </c>
      <c r="C5" s="457">
        <f ca="1">tertiair!C16</f>
        <v>0</v>
      </c>
      <c r="D5" s="457">
        <f ca="1">tertiair!D16</f>
        <v>3708.1496556367529</v>
      </c>
      <c r="E5" s="457">
        <f>tertiair!E16</f>
        <v>148.21447848688175</v>
      </c>
      <c r="F5" s="457">
        <f ca="1">tertiair!F16</f>
        <v>1387.5367992592014</v>
      </c>
      <c r="G5" s="457">
        <f>tertiair!G16</f>
        <v>0</v>
      </c>
      <c r="H5" s="457">
        <f>tertiair!H16</f>
        <v>0</v>
      </c>
      <c r="I5" s="457">
        <f>tertiair!I16</f>
        <v>0</v>
      </c>
      <c r="J5" s="457">
        <f>tertiair!J16</f>
        <v>0</v>
      </c>
      <c r="K5" s="457">
        <f>tertiair!K16</f>
        <v>0</v>
      </c>
      <c r="L5" s="457">
        <f ca="1">tertiair!L16</f>
        <v>0</v>
      </c>
      <c r="M5" s="457">
        <f>tertiair!M16</f>
        <v>0</v>
      </c>
      <c r="N5" s="457">
        <f ca="1">tertiair!N16</f>
        <v>488.8764556203248</v>
      </c>
      <c r="O5" s="457">
        <f>tertiair!O16</f>
        <v>3.1266666666666669</v>
      </c>
      <c r="P5" s="458">
        <f>tertiair!P16</f>
        <v>0</v>
      </c>
      <c r="Q5" s="456">
        <f t="shared" ref="Q5:Q14" ca="1" si="0">SUM(B5:P5)</f>
        <v>12640.969590986333</v>
      </c>
    </row>
    <row r="6" spans="1:17">
      <c r="A6" s="456" t="s">
        <v>193</v>
      </c>
      <c r="B6" s="457">
        <f>'openbare verlichting'!B8</f>
        <v>540.01300000000003</v>
      </c>
      <c r="C6" s="457"/>
      <c r="D6" s="457"/>
      <c r="E6" s="457"/>
      <c r="F6" s="457"/>
      <c r="G6" s="457"/>
      <c r="H6" s="457"/>
      <c r="I6" s="457"/>
      <c r="J6" s="457"/>
      <c r="K6" s="457"/>
      <c r="L6" s="457"/>
      <c r="M6" s="457"/>
      <c r="N6" s="457"/>
      <c r="O6" s="457"/>
      <c r="P6" s="458"/>
      <c r="Q6" s="456">
        <f t="shared" si="0"/>
        <v>540.01300000000003</v>
      </c>
    </row>
    <row r="7" spans="1:17">
      <c r="A7" s="456" t="s">
        <v>111</v>
      </c>
      <c r="B7" s="457">
        <f>landbouw!B8</f>
        <v>3070.438985624673</v>
      </c>
      <c r="C7" s="457">
        <f>landbouw!C8</f>
        <v>0</v>
      </c>
      <c r="D7" s="457">
        <f>landbouw!D8</f>
        <v>280.71581887905978</v>
      </c>
      <c r="E7" s="457">
        <f>landbouw!E8</f>
        <v>32.154301780394718</v>
      </c>
      <c r="F7" s="457">
        <f>landbouw!F8</f>
        <v>13143.811896613659</v>
      </c>
      <c r="G7" s="457">
        <f>landbouw!G8</f>
        <v>0</v>
      </c>
      <c r="H7" s="457">
        <f>landbouw!H8</f>
        <v>0</v>
      </c>
      <c r="I7" s="457">
        <f>landbouw!I8</f>
        <v>0</v>
      </c>
      <c r="J7" s="457">
        <f>landbouw!J8</f>
        <v>274.21772223040722</v>
      </c>
      <c r="K7" s="457">
        <f>landbouw!K8</f>
        <v>0</v>
      </c>
      <c r="L7" s="457">
        <f>landbouw!L8</f>
        <v>0</v>
      </c>
      <c r="M7" s="457">
        <f>landbouw!M8</f>
        <v>0</v>
      </c>
      <c r="N7" s="457">
        <f>landbouw!N8</f>
        <v>0</v>
      </c>
      <c r="O7" s="457">
        <f>landbouw!O8</f>
        <v>0</v>
      </c>
      <c r="P7" s="458">
        <f>landbouw!P8</f>
        <v>0</v>
      </c>
      <c r="Q7" s="456">
        <f t="shared" si="0"/>
        <v>16801.338725128197</v>
      </c>
    </row>
    <row r="8" spans="1:17">
      <c r="A8" s="456" t="s">
        <v>654</v>
      </c>
      <c r="B8" s="457">
        <f>industrie!B18</f>
        <v>8723.1057981753311</v>
      </c>
      <c r="C8" s="457">
        <f>industrie!C18</f>
        <v>0</v>
      </c>
      <c r="D8" s="457">
        <f>industrie!D18</f>
        <v>16574.198922921201</v>
      </c>
      <c r="E8" s="457">
        <f>industrie!E18</f>
        <v>82.829753704831006</v>
      </c>
      <c r="F8" s="457">
        <f>industrie!F18</f>
        <v>2048.2140199466057</v>
      </c>
      <c r="G8" s="457">
        <f>industrie!G18</f>
        <v>0</v>
      </c>
      <c r="H8" s="457">
        <f>industrie!H18</f>
        <v>0</v>
      </c>
      <c r="I8" s="457">
        <f>industrie!I18</f>
        <v>0</v>
      </c>
      <c r="J8" s="457">
        <f>industrie!J18</f>
        <v>55.061086201250518</v>
      </c>
      <c r="K8" s="457">
        <f>industrie!K18</f>
        <v>0</v>
      </c>
      <c r="L8" s="457">
        <f>industrie!L18</f>
        <v>0</v>
      </c>
      <c r="M8" s="457">
        <f>industrie!M18</f>
        <v>0</v>
      </c>
      <c r="N8" s="457">
        <f>industrie!N18</f>
        <v>186.36292005156002</v>
      </c>
      <c r="O8" s="457">
        <f>industrie!O18</f>
        <v>0</v>
      </c>
      <c r="P8" s="458">
        <f>industrie!P18</f>
        <v>0</v>
      </c>
      <c r="Q8" s="456">
        <f t="shared" si="0"/>
        <v>27669.772501000778</v>
      </c>
    </row>
    <row r="9" spans="1:17" s="462" customFormat="1">
      <c r="A9" s="460" t="s">
        <v>572</v>
      </c>
      <c r="B9" s="461">
        <f>transport!B14</f>
        <v>0.51322518701822506</v>
      </c>
      <c r="C9" s="461">
        <f>transport!C14</f>
        <v>0</v>
      </c>
      <c r="D9" s="461">
        <f>transport!D14</f>
        <v>2.7624065045403521</v>
      </c>
      <c r="E9" s="461">
        <f>transport!E14</f>
        <v>280.61782249337034</v>
      </c>
      <c r="F9" s="461">
        <f>transport!F14</f>
        <v>0</v>
      </c>
      <c r="G9" s="461">
        <f>transport!G14</f>
        <v>56994.158907667952</v>
      </c>
      <c r="H9" s="461">
        <f>transport!H14</f>
        <v>9493.3769413488899</v>
      </c>
      <c r="I9" s="461">
        <f>transport!I14</f>
        <v>0</v>
      </c>
      <c r="J9" s="461">
        <f>transport!J14</f>
        <v>0</v>
      </c>
      <c r="K9" s="461">
        <f>transport!K14</f>
        <v>0</v>
      </c>
      <c r="L9" s="461">
        <f>transport!L14</f>
        <v>0</v>
      </c>
      <c r="M9" s="461">
        <f>transport!M14</f>
        <v>2892.194710760697</v>
      </c>
      <c r="N9" s="461">
        <f>transport!N14</f>
        <v>0</v>
      </c>
      <c r="O9" s="461">
        <f>transport!O14</f>
        <v>0</v>
      </c>
      <c r="P9" s="461">
        <f>transport!P14</f>
        <v>0</v>
      </c>
      <c r="Q9" s="460">
        <f>SUM(B9:P9)</f>
        <v>69663.624013962472</v>
      </c>
    </row>
    <row r="10" spans="1:17">
      <c r="A10" s="456" t="s">
        <v>562</v>
      </c>
      <c r="B10" s="457">
        <f>transport!B54</f>
        <v>0</v>
      </c>
      <c r="C10" s="457">
        <f>transport!C54</f>
        <v>0</v>
      </c>
      <c r="D10" s="457">
        <f>transport!D54</f>
        <v>0</v>
      </c>
      <c r="E10" s="457">
        <f>transport!E54</f>
        <v>0</v>
      </c>
      <c r="F10" s="457">
        <f>transport!F54</f>
        <v>0</v>
      </c>
      <c r="G10" s="457">
        <f>transport!G54</f>
        <v>798.26981469026725</v>
      </c>
      <c r="H10" s="457">
        <f>transport!H54</f>
        <v>0</v>
      </c>
      <c r="I10" s="457">
        <f>transport!I54</f>
        <v>0</v>
      </c>
      <c r="J10" s="457">
        <f>transport!J54</f>
        <v>0</v>
      </c>
      <c r="K10" s="457">
        <f>transport!K54</f>
        <v>0</v>
      </c>
      <c r="L10" s="457">
        <f>transport!L54</f>
        <v>0</v>
      </c>
      <c r="M10" s="457">
        <f>transport!M54</f>
        <v>33.945367720685027</v>
      </c>
      <c r="N10" s="457">
        <f>transport!N54</f>
        <v>0</v>
      </c>
      <c r="O10" s="457">
        <f>transport!O54</f>
        <v>0</v>
      </c>
      <c r="P10" s="458">
        <f>transport!P54</f>
        <v>0</v>
      </c>
      <c r="Q10" s="456">
        <f t="shared" si="0"/>
        <v>832.21518241095225</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816.498640003579</v>
      </c>
      <c r="C14" s="464"/>
      <c r="D14" s="464">
        <f>'SEAP template'!E25</f>
        <v>629.07085216645305</v>
      </c>
      <c r="E14" s="464"/>
      <c r="F14" s="464"/>
      <c r="G14" s="464"/>
      <c r="H14" s="464"/>
      <c r="I14" s="464"/>
      <c r="J14" s="464"/>
      <c r="K14" s="464"/>
      <c r="L14" s="464"/>
      <c r="M14" s="464"/>
      <c r="N14" s="464"/>
      <c r="O14" s="464"/>
      <c r="P14" s="465"/>
      <c r="Q14" s="456">
        <f t="shared" si="0"/>
        <v>1445.5694921700319</v>
      </c>
    </row>
    <row r="15" spans="1:17" s="469" customFormat="1">
      <c r="A15" s="466" t="s">
        <v>566</v>
      </c>
      <c r="B15" s="467">
        <f ca="1">SUM(B4:B14)</f>
        <v>33722.709943699527</v>
      </c>
      <c r="C15" s="467">
        <f t="shared" ref="C15:Q15" ca="1" si="1">SUM(C4:C14)</f>
        <v>0</v>
      </c>
      <c r="D15" s="467">
        <f t="shared" ca="1" si="1"/>
        <v>37122.721695599706</v>
      </c>
      <c r="E15" s="467">
        <f t="shared" si="1"/>
        <v>14016.846758592208</v>
      </c>
      <c r="F15" s="467">
        <f t="shared" ca="1" si="1"/>
        <v>30217.867708214751</v>
      </c>
      <c r="G15" s="467">
        <f t="shared" si="1"/>
        <v>57792.428722358221</v>
      </c>
      <c r="H15" s="467">
        <f t="shared" si="1"/>
        <v>9493.3769413488899</v>
      </c>
      <c r="I15" s="467">
        <f t="shared" si="1"/>
        <v>0</v>
      </c>
      <c r="J15" s="467">
        <f t="shared" si="1"/>
        <v>3368.2914416856588</v>
      </c>
      <c r="K15" s="467">
        <f t="shared" si="1"/>
        <v>0</v>
      </c>
      <c r="L15" s="467">
        <f t="shared" ca="1" si="1"/>
        <v>0</v>
      </c>
      <c r="M15" s="467">
        <f t="shared" si="1"/>
        <v>2926.1400784813823</v>
      </c>
      <c r="N15" s="467">
        <f t="shared" ca="1" si="1"/>
        <v>6283.9819920131877</v>
      </c>
      <c r="O15" s="467">
        <f t="shared" si="1"/>
        <v>31.266666666666673</v>
      </c>
      <c r="P15" s="467">
        <f t="shared" si="1"/>
        <v>171.6</v>
      </c>
      <c r="Q15" s="467">
        <f t="shared" ca="1" si="1"/>
        <v>195147.23194866025</v>
      </c>
    </row>
    <row r="17" spans="1:17">
      <c r="A17" s="470" t="s">
        <v>567</v>
      </c>
      <c r="B17" s="774">
        <f ca="1">huishoudens!B10</f>
        <v>0.21442328262438437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2930.5390337817912</v>
      </c>
      <c r="C22" s="457">
        <f t="shared" ref="C22:C32" ca="1" si="3">C4*$C$17</f>
        <v>0</v>
      </c>
      <c r="D22" s="457">
        <f t="shared" ref="D22:D32" si="4">D4*$D$17</f>
        <v>3217.4204559773229</v>
      </c>
      <c r="E22" s="457">
        <f t="shared" ref="E22:E32" si="5">E4*$E$17</f>
        <v>3058.3779012827681</v>
      </c>
      <c r="F22" s="457">
        <f t="shared" ref="F22:F32" si="6">F4*$F$17</f>
        <v>3641.4274329695422</v>
      </c>
      <c r="G22" s="457">
        <f t="shared" ref="G22:G32" si="7">G4*$G$17</f>
        <v>0</v>
      </c>
      <c r="H22" s="457">
        <f t="shared" ref="H22:H32" si="8">H4*$H$17</f>
        <v>0</v>
      </c>
      <c r="I22" s="457">
        <f t="shared" ref="I22:I32" si="9">I4*$I$17</f>
        <v>0</v>
      </c>
      <c r="J22" s="457">
        <f t="shared" ref="J22:J32" si="10">J4*$J$17</f>
        <v>1075.8104721719164</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13923.575296183339</v>
      </c>
    </row>
    <row r="23" spans="1:17">
      <c r="A23" s="456" t="s">
        <v>155</v>
      </c>
      <c r="B23" s="457">
        <f t="shared" ca="1" si="2"/>
        <v>1480.606818819067</v>
      </c>
      <c r="C23" s="457">
        <f t="shared" ca="1" si="3"/>
        <v>0</v>
      </c>
      <c r="D23" s="457">
        <f t="shared" ca="1" si="4"/>
        <v>749.04623043862409</v>
      </c>
      <c r="E23" s="457">
        <f t="shared" si="5"/>
        <v>33.644686616522158</v>
      </c>
      <c r="F23" s="457">
        <f t="shared" ca="1" si="6"/>
        <v>370.47232540220682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2633.7700612764202</v>
      </c>
    </row>
    <row r="24" spans="1:17">
      <c r="A24" s="456" t="s">
        <v>193</v>
      </c>
      <c r="B24" s="457">
        <f t="shared" ca="1" si="2"/>
        <v>115.79136011984168</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115.79136011984168</v>
      </c>
    </row>
    <row r="25" spans="1:17">
      <c r="A25" s="456" t="s">
        <v>111</v>
      </c>
      <c r="B25" s="457">
        <f t="shared" ca="1" si="2"/>
        <v>658.3736063955273</v>
      </c>
      <c r="C25" s="457">
        <f t="shared" ca="1" si="3"/>
        <v>0</v>
      </c>
      <c r="D25" s="457">
        <f t="shared" si="4"/>
        <v>56.704595413570082</v>
      </c>
      <c r="E25" s="457">
        <f t="shared" si="5"/>
        <v>7.2990265041496016</v>
      </c>
      <c r="F25" s="457">
        <f t="shared" si="6"/>
        <v>3509.3977763958474</v>
      </c>
      <c r="G25" s="457">
        <f t="shared" si="7"/>
        <v>0</v>
      </c>
      <c r="H25" s="457">
        <f t="shared" si="8"/>
        <v>0</v>
      </c>
      <c r="I25" s="457">
        <f t="shared" si="9"/>
        <v>0</v>
      </c>
      <c r="J25" s="457">
        <f t="shared" si="10"/>
        <v>97.073073669564153</v>
      </c>
      <c r="K25" s="457">
        <f t="shared" si="11"/>
        <v>0</v>
      </c>
      <c r="L25" s="457">
        <f t="shared" si="12"/>
        <v>0</v>
      </c>
      <c r="M25" s="457">
        <f t="shared" si="13"/>
        <v>0</v>
      </c>
      <c r="N25" s="457">
        <f t="shared" si="14"/>
        <v>0</v>
      </c>
      <c r="O25" s="457">
        <f t="shared" si="15"/>
        <v>0</v>
      </c>
      <c r="P25" s="458">
        <f t="shared" si="16"/>
        <v>0</v>
      </c>
      <c r="Q25" s="456">
        <f t="shared" ca="1" si="17"/>
        <v>4328.8480783786581</v>
      </c>
    </row>
    <row r="26" spans="1:17">
      <c r="A26" s="456" t="s">
        <v>654</v>
      </c>
      <c r="B26" s="457">
        <f t="shared" ca="1" si="2"/>
        <v>1870.4369799245551</v>
      </c>
      <c r="C26" s="457">
        <f t="shared" ca="1" si="3"/>
        <v>0</v>
      </c>
      <c r="D26" s="457">
        <f t="shared" si="4"/>
        <v>3347.9881824300828</v>
      </c>
      <c r="E26" s="457">
        <f t="shared" si="5"/>
        <v>18.802354090996641</v>
      </c>
      <c r="F26" s="457">
        <f t="shared" si="6"/>
        <v>546.87314332574374</v>
      </c>
      <c r="G26" s="457">
        <f t="shared" si="7"/>
        <v>0</v>
      </c>
      <c r="H26" s="457">
        <f t="shared" si="8"/>
        <v>0</v>
      </c>
      <c r="I26" s="457">
        <f t="shared" si="9"/>
        <v>0</v>
      </c>
      <c r="J26" s="457">
        <f t="shared" si="10"/>
        <v>19.491624515242684</v>
      </c>
      <c r="K26" s="457">
        <f t="shared" si="11"/>
        <v>0</v>
      </c>
      <c r="L26" s="457">
        <f t="shared" si="12"/>
        <v>0</v>
      </c>
      <c r="M26" s="457">
        <f t="shared" si="13"/>
        <v>0</v>
      </c>
      <c r="N26" s="457">
        <f t="shared" si="14"/>
        <v>0</v>
      </c>
      <c r="O26" s="457">
        <f t="shared" si="15"/>
        <v>0</v>
      </c>
      <c r="P26" s="458">
        <f t="shared" si="16"/>
        <v>0</v>
      </c>
      <c r="Q26" s="456">
        <f t="shared" ca="1" si="17"/>
        <v>5803.5922842866203</v>
      </c>
    </row>
    <row r="27" spans="1:17" s="462" customFormat="1">
      <c r="A27" s="460" t="s">
        <v>572</v>
      </c>
      <c r="B27" s="768">
        <f t="shared" ca="1" si="2"/>
        <v>0.1100474293259614</v>
      </c>
      <c r="C27" s="461">
        <f t="shared" ca="1" si="3"/>
        <v>0</v>
      </c>
      <c r="D27" s="461">
        <f t="shared" si="4"/>
        <v>0.55800611391715116</v>
      </c>
      <c r="E27" s="461">
        <f t="shared" si="5"/>
        <v>63.700245705995073</v>
      </c>
      <c r="F27" s="461">
        <f t="shared" si="6"/>
        <v>0</v>
      </c>
      <c r="G27" s="461">
        <f t="shared" si="7"/>
        <v>15217.440428347343</v>
      </c>
      <c r="H27" s="461">
        <f t="shared" si="8"/>
        <v>2363.8508583958737</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17645.659585992456</v>
      </c>
    </row>
    <row r="28" spans="1:17">
      <c r="A28" s="456" t="s">
        <v>562</v>
      </c>
      <c r="B28" s="457">
        <f t="shared" ca="1" si="2"/>
        <v>0</v>
      </c>
      <c r="C28" s="457">
        <f t="shared" ca="1" si="3"/>
        <v>0</v>
      </c>
      <c r="D28" s="457">
        <f t="shared" si="4"/>
        <v>0</v>
      </c>
      <c r="E28" s="457">
        <f t="shared" si="5"/>
        <v>0</v>
      </c>
      <c r="F28" s="457">
        <f t="shared" si="6"/>
        <v>0</v>
      </c>
      <c r="G28" s="457">
        <f t="shared" si="7"/>
        <v>213.13804052230137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213.13804052230137</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175.0763186479129</v>
      </c>
      <c r="C32" s="457">
        <f t="shared" ca="1" si="3"/>
        <v>0</v>
      </c>
      <c r="D32" s="457">
        <f t="shared" si="4"/>
        <v>127.07231213762353</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302.1486307855364</v>
      </c>
    </row>
    <row r="33" spans="1:17" s="469" customFormat="1">
      <c r="A33" s="466" t="s">
        <v>566</v>
      </c>
      <c r="B33" s="467">
        <f ca="1">SUM(B22:B32)</f>
        <v>7230.9341651180212</v>
      </c>
      <c r="C33" s="467">
        <f t="shared" ref="C33:Q33" ca="1" si="19">SUM(C22:C32)</f>
        <v>0</v>
      </c>
      <c r="D33" s="467">
        <f t="shared" ca="1" si="19"/>
        <v>7498.7897825111404</v>
      </c>
      <c r="E33" s="467">
        <f t="shared" si="19"/>
        <v>3181.8242142004315</v>
      </c>
      <c r="F33" s="467">
        <f t="shared" ca="1" si="19"/>
        <v>8068.17067809334</v>
      </c>
      <c r="G33" s="467">
        <f t="shared" si="19"/>
        <v>15430.578468869644</v>
      </c>
      <c r="H33" s="467">
        <f t="shared" si="19"/>
        <v>2363.8508583958737</v>
      </c>
      <c r="I33" s="467">
        <f t="shared" si="19"/>
        <v>0</v>
      </c>
      <c r="J33" s="467">
        <f t="shared" si="19"/>
        <v>1192.3751703567232</v>
      </c>
      <c r="K33" s="467">
        <f t="shared" si="19"/>
        <v>0</v>
      </c>
      <c r="L33" s="467">
        <f t="shared" ca="1" si="19"/>
        <v>0</v>
      </c>
      <c r="M33" s="467">
        <f t="shared" si="19"/>
        <v>0</v>
      </c>
      <c r="N33" s="467">
        <f t="shared" ca="1" si="19"/>
        <v>0</v>
      </c>
      <c r="O33" s="467">
        <f t="shared" si="19"/>
        <v>0</v>
      </c>
      <c r="P33" s="467">
        <f t="shared" si="19"/>
        <v>0</v>
      </c>
      <c r="Q33" s="467">
        <f t="shared" ca="1" si="19"/>
        <v>44966.523337545179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1003.5508255184379</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1003.5508255184379</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0.21442328262438437</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0.21442328262438437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0.21442328262438437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0.21442328262438437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2533</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2357</v>
      </c>
      <c r="C14" s="331"/>
      <c r="D14" s="331"/>
      <c r="E14" s="331"/>
      <c r="F14" s="331"/>
    </row>
    <row r="15" spans="1:6">
      <c r="A15" s="1290" t="s">
        <v>183</v>
      </c>
      <c r="B15" s="1291">
        <v>60</v>
      </c>
      <c r="C15" s="331"/>
      <c r="D15" s="331"/>
      <c r="E15" s="331"/>
      <c r="F15" s="331"/>
    </row>
    <row r="16" spans="1:6">
      <c r="A16" s="1290" t="s">
        <v>6</v>
      </c>
      <c r="B16" s="1291">
        <v>2581</v>
      </c>
      <c r="C16" s="331"/>
      <c r="D16" s="331"/>
      <c r="E16" s="331"/>
      <c r="F16" s="331"/>
    </row>
    <row r="17" spans="1:6">
      <c r="A17" s="1290" t="s">
        <v>7</v>
      </c>
      <c r="B17" s="1291">
        <v>1249</v>
      </c>
      <c r="C17" s="331"/>
      <c r="D17" s="331"/>
      <c r="E17" s="331"/>
      <c r="F17" s="331"/>
    </row>
    <row r="18" spans="1:6">
      <c r="A18" s="1290" t="s">
        <v>8</v>
      </c>
      <c r="B18" s="1291">
        <v>2474</v>
      </c>
      <c r="C18" s="331"/>
      <c r="D18" s="331"/>
      <c r="E18" s="331"/>
      <c r="F18" s="331"/>
    </row>
    <row r="19" spans="1:6">
      <c r="A19" s="1290" t="s">
        <v>9</v>
      </c>
      <c r="B19" s="1291">
        <v>2337</v>
      </c>
      <c r="C19" s="331"/>
      <c r="D19" s="331"/>
      <c r="E19" s="331"/>
      <c r="F19" s="331"/>
    </row>
    <row r="20" spans="1:6">
      <c r="A20" s="1290" t="s">
        <v>10</v>
      </c>
      <c r="B20" s="1291">
        <v>1297</v>
      </c>
      <c r="C20" s="331"/>
      <c r="D20" s="331"/>
      <c r="E20" s="331"/>
      <c r="F20" s="331"/>
    </row>
    <row r="21" spans="1:6">
      <c r="A21" s="1290" t="s">
        <v>11</v>
      </c>
      <c r="B21" s="1291">
        <v>8590</v>
      </c>
      <c r="C21" s="331"/>
      <c r="D21" s="331"/>
      <c r="E21" s="331"/>
      <c r="F21" s="331"/>
    </row>
    <row r="22" spans="1:6">
      <c r="A22" s="1290" t="s">
        <v>12</v>
      </c>
      <c r="B22" s="1291">
        <v>26374</v>
      </c>
      <c r="C22" s="331"/>
      <c r="D22" s="331"/>
      <c r="E22" s="331"/>
      <c r="F22" s="331"/>
    </row>
    <row r="23" spans="1:6">
      <c r="A23" s="1290" t="s">
        <v>13</v>
      </c>
      <c r="B23" s="1291">
        <v>740</v>
      </c>
      <c r="C23" s="331"/>
      <c r="D23" s="331"/>
      <c r="E23" s="331"/>
      <c r="F23" s="331"/>
    </row>
    <row r="24" spans="1:6">
      <c r="A24" s="1290" t="s">
        <v>14</v>
      </c>
      <c r="B24" s="1291">
        <v>31</v>
      </c>
      <c r="C24" s="331"/>
      <c r="D24" s="331"/>
      <c r="E24" s="331"/>
      <c r="F24" s="331"/>
    </row>
    <row r="25" spans="1:6">
      <c r="A25" s="1290" t="s">
        <v>15</v>
      </c>
      <c r="B25" s="1291">
        <v>2957</v>
      </c>
      <c r="C25" s="331"/>
      <c r="D25" s="331"/>
      <c r="E25" s="331"/>
      <c r="F25" s="331"/>
    </row>
    <row r="26" spans="1:6">
      <c r="A26" s="1290" t="s">
        <v>16</v>
      </c>
      <c r="B26" s="1291">
        <v>6</v>
      </c>
      <c r="C26" s="331"/>
      <c r="D26" s="331"/>
      <c r="E26" s="331"/>
      <c r="F26" s="331"/>
    </row>
    <row r="27" spans="1:6">
      <c r="A27" s="1290" t="s">
        <v>17</v>
      </c>
      <c r="B27" s="1291">
        <v>175</v>
      </c>
      <c r="C27" s="331"/>
      <c r="D27" s="331"/>
      <c r="E27" s="331"/>
      <c r="F27" s="331"/>
    </row>
    <row r="28" spans="1:6" s="43" customFormat="1">
      <c r="A28" s="1292" t="s">
        <v>18</v>
      </c>
      <c r="B28" s="1293">
        <v>88721</v>
      </c>
      <c r="C28" s="337"/>
      <c r="D28" s="337"/>
      <c r="E28" s="337"/>
      <c r="F28" s="337"/>
    </row>
    <row r="29" spans="1:6">
      <c r="A29" s="1292" t="s">
        <v>966</v>
      </c>
      <c r="B29" s="1293">
        <v>122</v>
      </c>
      <c r="C29" s="337"/>
      <c r="D29" s="337"/>
      <c r="E29" s="337"/>
      <c r="F29" s="337"/>
    </row>
    <row r="30" spans="1:6">
      <c r="A30" s="1285" t="s">
        <v>967</v>
      </c>
      <c r="B30" s="1294">
        <v>41</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1</v>
      </c>
      <c r="D38" s="1291">
        <v>93129.379754285706</v>
      </c>
      <c r="E38" s="1291">
        <v>0</v>
      </c>
      <c r="F38" s="1291">
        <v>0</v>
      </c>
    </row>
    <row r="39" spans="1:6">
      <c r="A39" s="1290" t="s">
        <v>29</v>
      </c>
      <c r="B39" s="1290" t="s">
        <v>30</v>
      </c>
      <c r="C39" s="1291">
        <v>1048</v>
      </c>
      <c r="D39" s="1291">
        <v>17658341.507197</v>
      </c>
      <c r="E39" s="1291">
        <v>2312</v>
      </c>
      <c r="F39" s="1291">
        <v>12917496.867873499</v>
      </c>
    </row>
    <row r="40" spans="1:6">
      <c r="A40" s="1290" t="s">
        <v>29</v>
      </c>
      <c r="B40" s="1290" t="s">
        <v>28</v>
      </c>
      <c r="C40" s="1291">
        <v>0</v>
      </c>
      <c r="D40" s="1291">
        <v>0</v>
      </c>
      <c r="E40" s="1291">
        <v>0</v>
      </c>
      <c r="F40" s="1291">
        <v>0</v>
      </c>
    </row>
    <row r="41" spans="1:6">
      <c r="A41" s="1290" t="s">
        <v>31</v>
      </c>
      <c r="B41" s="1290" t="s">
        <v>32</v>
      </c>
      <c r="C41" s="1291">
        <v>6</v>
      </c>
      <c r="D41" s="1291">
        <v>181668.64637022099</v>
      </c>
      <c r="E41" s="1291">
        <v>42</v>
      </c>
      <c r="F41" s="1291">
        <v>527486.850869218</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16</v>
      </c>
      <c r="D48" s="1291">
        <v>18037246.462819699</v>
      </c>
      <c r="E48" s="1291">
        <v>27</v>
      </c>
      <c r="F48" s="1291">
        <v>8130419.2167527797</v>
      </c>
    </row>
    <row r="49" spans="1:6">
      <c r="A49" s="1290" t="s">
        <v>31</v>
      </c>
      <c r="B49" s="1290" t="s">
        <v>39</v>
      </c>
      <c r="C49" s="1291">
        <v>0</v>
      </c>
      <c r="D49" s="1291">
        <v>0</v>
      </c>
      <c r="E49" s="1291">
        <v>0</v>
      </c>
      <c r="F49" s="1291">
        <v>0</v>
      </c>
    </row>
    <row r="50" spans="1:6">
      <c r="A50" s="1290" t="s">
        <v>31</v>
      </c>
      <c r="B50" s="1290" t="s">
        <v>40</v>
      </c>
      <c r="C50" s="1291">
        <v>3</v>
      </c>
      <c r="D50" s="1291">
        <v>156028.26433691301</v>
      </c>
      <c r="E50" s="1291">
        <v>3</v>
      </c>
      <c r="F50" s="1291">
        <v>65199.730553333997</v>
      </c>
    </row>
    <row r="51" spans="1:6">
      <c r="A51" s="1290" t="s">
        <v>41</v>
      </c>
      <c r="B51" s="1290" t="s">
        <v>42</v>
      </c>
      <c r="C51" s="1291">
        <v>11</v>
      </c>
      <c r="D51" s="1291">
        <v>173193.649104632</v>
      </c>
      <c r="E51" s="1291">
        <v>126</v>
      </c>
      <c r="F51" s="1291">
        <v>2900166.8595783799</v>
      </c>
    </row>
    <row r="52" spans="1:6">
      <c r="A52" s="1290" t="s">
        <v>41</v>
      </c>
      <c r="B52" s="1290" t="s">
        <v>28</v>
      </c>
      <c r="C52" s="1291">
        <v>6</v>
      </c>
      <c r="D52" s="1291">
        <v>138021.22770142101</v>
      </c>
      <c r="E52" s="1291">
        <v>8</v>
      </c>
      <c r="F52" s="1291">
        <v>170272.12604629301</v>
      </c>
    </row>
    <row r="53" spans="1:6">
      <c r="A53" s="1290" t="s">
        <v>43</v>
      </c>
      <c r="B53" s="1290" t="s">
        <v>44</v>
      </c>
      <c r="C53" s="1291">
        <v>38</v>
      </c>
      <c r="D53" s="1291">
        <v>629070.85216645303</v>
      </c>
      <c r="E53" s="1291">
        <v>122</v>
      </c>
      <c r="F53" s="1291">
        <v>816498.64000357897</v>
      </c>
    </row>
    <row r="54" spans="1:6">
      <c r="A54" s="1290" t="s">
        <v>45</v>
      </c>
      <c r="B54" s="1290" t="s">
        <v>46</v>
      </c>
      <c r="C54" s="1291">
        <v>0</v>
      </c>
      <c r="D54" s="1291">
        <v>0</v>
      </c>
      <c r="E54" s="1291">
        <v>2</v>
      </c>
      <c r="F54" s="1291">
        <v>540013</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0</v>
      </c>
      <c r="D57" s="1291">
        <v>0</v>
      </c>
      <c r="E57" s="1291">
        <v>71</v>
      </c>
      <c r="F57" s="1291">
        <v>1760002.6329361601</v>
      </c>
    </row>
    <row r="58" spans="1:6">
      <c r="A58" s="1290" t="s">
        <v>48</v>
      </c>
      <c r="B58" s="1290" t="s">
        <v>50</v>
      </c>
      <c r="C58" s="1291">
        <v>0</v>
      </c>
      <c r="D58" s="1291">
        <v>0</v>
      </c>
      <c r="E58" s="1291">
        <v>3</v>
      </c>
      <c r="F58" s="1291">
        <v>44787.848293767398</v>
      </c>
    </row>
    <row r="59" spans="1:6">
      <c r="A59" s="1290" t="s">
        <v>48</v>
      </c>
      <c r="B59" s="1290" t="s">
        <v>51</v>
      </c>
      <c r="C59" s="1291">
        <v>6</v>
      </c>
      <c r="D59" s="1291">
        <v>93222.492316246397</v>
      </c>
      <c r="E59" s="1291">
        <v>28</v>
      </c>
      <c r="F59" s="1291">
        <v>689152.98786570202</v>
      </c>
    </row>
    <row r="60" spans="1:6">
      <c r="A60" s="1290" t="s">
        <v>48</v>
      </c>
      <c r="B60" s="1290" t="s">
        <v>52</v>
      </c>
      <c r="C60" s="1291">
        <v>10</v>
      </c>
      <c r="D60" s="1291">
        <v>399039.94981240103</v>
      </c>
      <c r="E60" s="1291">
        <v>26</v>
      </c>
      <c r="F60" s="1291">
        <v>694502.33235345699</v>
      </c>
    </row>
    <row r="61" spans="1:6">
      <c r="A61" s="1290" t="s">
        <v>48</v>
      </c>
      <c r="B61" s="1290" t="s">
        <v>53</v>
      </c>
      <c r="C61" s="1291">
        <v>21</v>
      </c>
      <c r="D61" s="1291">
        <v>1087320.90925578</v>
      </c>
      <c r="E61" s="1291">
        <v>70</v>
      </c>
      <c r="F61" s="1291">
        <v>1109336.67297298</v>
      </c>
    </row>
    <row r="62" spans="1:6">
      <c r="A62" s="1290" t="s">
        <v>48</v>
      </c>
      <c r="B62" s="1290" t="s">
        <v>54</v>
      </c>
      <c r="C62" s="1291">
        <v>0</v>
      </c>
      <c r="D62" s="1291">
        <v>0</v>
      </c>
      <c r="E62" s="1291">
        <v>0</v>
      </c>
      <c r="F62" s="1291">
        <v>0</v>
      </c>
    </row>
    <row r="63" spans="1:6">
      <c r="A63" s="1290" t="s">
        <v>48</v>
      </c>
      <c r="B63" s="1290" t="s">
        <v>28</v>
      </c>
      <c r="C63" s="1291">
        <v>70</v>
      </c>
      <c r="D63" s="1291">
        <v>2531447.30896674</v>
      </c>
      <c r="E63" s="1291">
        <v>108</v>
      </c>
      <c r="F63" s="1291">
        <v>2607283.0608944399</v>
      </c>
    </row>
    <row r="64" spans="1:6">
      <c r="A64" s="1290" t="s">
        <v>55</v>
      </c>
      <c r="B64" s="1290" t="s">
        <v>56</v>
      </c>
      <c r="C64" s="1291">
        <v>0</v>
      </c>
      <c r="D64" s="1291">
        <v>0</v>
      </c>
      <c r="E64" s="1291">
        <v>0</v>
      </c>
      <c r="F64" s="1291">
        <v>0</v>
      </c>
    </row>
    <row r="65" spans="1:6">
      <c r="A65" s="1290" t="s">
        <v>55</v>
      </c>
      <c r="B65" s="1290" t="s">
        <v>28</v>
      </c>
      <c r="C65" s="1291">
        <v>0</v>
      </c>
      <c r="D65" s="1291">
        <v>0</v>
      </c>
      <c r="E65" s="1291">
        <v>2</v>
      </c>
      <c r="F65" s="1291">
        <v>21620.504132169699</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4</v>
      </c>
      <c r="F68" s="1294">
        <v>13552.020806656599</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59008001</v>
      </c>
      <c r="E73" s="455"/>
      <c r="F73" s="331"/>
    </row>
    <row r="74" spans="1:6">
      <c r="A74" s="1290" t="s">
        <v>63</v>
      </c>
      <c r="B74" s="1290" t="s">
        <v>773</v>
      </c>
      <c r="C74" s="1304" t="s">
        <v>774</v>
      </c>
      <c r="D74" s="1305">
        <v>6722698.3153876299</v>
      </c>
      <c r="E74" s="455"/>
      <c r="F74" s="331"/>
    </row>
    <row r="75" spans="1:6">
      <c r="A75" s="1290" t="s">
        <v>64</v>
      </c>
      <c r="B75" s="1290" t="s">
        <v>771</v>
      </c>
      <c r="C75" s="1304" t="s">
        <v>775</v>
      </c>
      <c r="D75" s="1305">
        <v>14274681</v>
      </c>
      <c r="E75" s="455"/>
      <c r="F75" s="331"/>
    </row>
    <row r="76" spans="1:6">
      <c r="A76" s="1290" t="s">
        <v>64</v>
      </c>
      <c r="B76" s="1290" t="s">
        <v>773</v>
      </c>
      <c r="C76" s="1304" t="s">
        <v>776</v>
      </c>
      <c r="D76" s="1305">
        <v>520497.31538762979</v>
      </c>
      <c r="E76" s="455"/>
      <c r="F76" s="331"/>
    </row>
    <row r="77" spans="1:6">
      <c r="A77" s="1290" t="s">
        <v>65</v>
      </c>
      <c r="B77" s="1290" t="s">
        <v>771</v>
      </c>
      <c r="C77" s="1304" t="s">
        <v>777</v>
      </c>
      <c r="D77" s="1305">
        <v>0</v>
      </c>
      <c r="E77" s="455"/>
      <c r="F77" s="331"/>
    </row>
    <row r="78" spans="1:6">
      <c r="A78" s="1285" t="s">
        <v>65</v>
      </c>
      <c r="B78" s="1285" t="s">
        <v>773</v>
      </c>
      <c r="C78" s="1285" t="s">
        <v>778</v>
      </c>
      <c r="D78" s="1306">
        <v>0</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217839.3692247404</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749.57789151892314</v>
      </c>
      <c r="C91" s="331"/>
      <c r="D91" s="331"/>
      <c r="E91" s="331"/>
      <c r="F91" s="331"/>
    </row>
    <row r="92" spans="1:6">
      <c r="A92" s="1285" t="s">
        <v>68</v>
      </c>
      <c r="B92" s="1286">
        <v>253.97293399951482</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481</v>
      </c>
      <c r="C97" s="331"/>
      <c r="D97" s="331"/>
      <c r="E97" s="331"/>
      <c r="F97" s="331"/>
    </row>
    <row r="98" spans="1:6">
      <c r="A98" s="1290" t="s">
        <v>71</v>
      </c>
      <c r="B98" s="1291">
        <v>0</v>
      </c>
      <c r="C98" s="331"/>
      <c r="D98" s="331"/>
      <c r="E98" s="331"/>
      <c r="F98" s="331"/>
    </row>
    <row r="99" spans="1:6">
      <c r="A99" s="1290" t="s">
        <v>72</v>
      </c>
      <c r="B99" s="1291">
        <v>126</v>
      </c>
      <c r="C99" s="331"/>
      <c r="D99" s="331"/>
      <c r="E99" s="331"/>
      <c r="F99" s="331"/>
    </row>
    <row r="100" spans="1:6">
      <c r="A100" s="1290" t="s">
        <v>73</v>
      </c>
      <c r="B100" s="1291">
        <v>304</v>
      </c>
      <c r="C100" s="331"/>
      <c r="D100" s="331"/>
      <c r="E100" s="331"/>
      <c r="F100" s="331"/>
    </row>
    <row r="101" spans="1:6">
      <c r="A101" s="1290" t="s">
        <v>74</v>
      </c>
      <c r="B101" s="1291">
        <v>59</v>
      </c>
      <c r="C101" s="331"/>
      <c r="D101" s="331"/>
      <c r="E101" s="331"/>
      <c r="F101" s="331"/>
    </row>
    <row r="102" spans="1:6">
      <c r="A102" s="1290" t="s">
        <v>75</v>
      </c>
      <c r="B102" s="1291">
        <v>54</v>
      </c>
      <c r="C102" s="331"/>
      <c r="D102" s="331"/>
      <c r="E102" s="331"/>
      <c r="F102" s="331"/>
    </row>
    <row r="103" spans="1:6">
      <c r="A103" s="1290" t="s">
        <v>76</v>
      </c>
      <c r="B103" s="1291">
        <v>162</v>
      </c>
      <c r="C103" s="331"/>
      <c r="D103" s="331"/>
      <c r="E103" s="331"/>
      <c r="F103" s="331"/>
    </row>
    <row r="104" spans="1:6">
      <c r="A104" s="1290" t="s">
        <v>77</v>
      </c>
      <c r="B104" s="1291">
        <v>1113</v>
      </c>
      <c r="C104" s="331"/>
      <c r="D104" s="331"/>
      <c r="E104" s="331"/>
      <c r="F104" s="331"/>
    </row>
    <row r="105" spans="1:6">
      <c r="A105" s="1285" t="s">
        <v>78</v>
      </c>
      <c r="B105" s="1294">
        <v>5</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6</v>
      </c>
      <c r="C123" s="1291">
        <v>4</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14</v>
      </c>
      <c r="C129" s="331"/>
      <c r="D129" s="331"/>
      <c r="E129" s="331"/>
      <c r="F129" s="331"/>
    </row>
    <row r="130" spans="1:6">
      <c r="A130" s="1290" t="s">
        <v>294</v>
      </c>
      <c r="B130" s="1291">
        <v>2</v>
      </c>
      <c r="C130" s="331"/>
      <c r="D130" s="331"/>
      <c r="E130" s="331"/>
      <c r="F130" s="331"/>
    </row>
    <row r="131" spans="1:6">
      <c r="A131" s="1290" t="s">
        <v>295</v>
      </c>
      <c r="B131" s="1291">
        <v>0</v>
      </c>
      <c r="C131" s="331"/>
      <c r="D131" s="331"/>
      <c r="E131" s="331"/>
      <c r="F131" s="331"/>
    </row>
    <row r="132" spans="1:6">
      <c r="A132" s="1285" t="s">
        <v>296</v>
      </c>
      <c r="B132" s="1286">
        <v>3</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33722.709943699534</v>
      </c>
      <c r="C3" s="43" t="s">
        <v>169</v>
      </c>
      <c r="D3" s="43"/>
      <c r="E3" s="156"/>
      <c r="F3" s="43"/>
      <c r="G3" s="43"/>
      <c r="H3" s="43"/>
      <c r="I3" s="43"/>
      <c r="J3" s="43"/>
      <c r="K3" s="96"/>
    </row>
    <row r="4" spans="1:11">
      <c r="A4" s="362" t="s">
        <v>170</v>
      </c>
      <c r="B4" s="49">
        <f>IF(ISERROR('SEAP template'!B78+'SEAP template'!C78),0,'SEAP template'!B78+'SEAP template'!C78)</f>
        <v>1003.5508255184379</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0.21442328262438437</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540.01300000000003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540.01300000000003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0.21442328262438437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115.79136011984168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12917.496867873499</v>
      </c>
      <c r="C5" s="17">
        <f>IF(ISERROR('Eigen informatie GS &amp; warmtenet'!B57),0,'Eigen informatie GS &amp; warmtenet'!B57)</f>
        <v>0</v>
      </c>
      <c r="D5" s="30">
        <f>(SUM(HH_hh_gas_kWh,HH_rest_gas_kWh)/1000)*0.902</f>
        <v>15927.824039491696</v>
      </c>
      <c r="E5" s="17">
        <f>B46*B57</f>
        <v>13473.030402126731</v>
      </c>
      <c r="F5" s="17">
        <f>B51*B62</f>
        <v>13638.304992395288</v>
      </c>
      <c r="G5" s="18"/>
      <c r="H5" s="17"/>
      <c r="I5" s="17"/>
      <c r="J5" s="17">
        <f>B50*B61+C50*C61</f>
        <v>3039.0126332540012</v>
      </c>
      <c r="K5" s="17"/>
      <c r="L5" s="17"/>
      <c r="M5" s="17"/>
      <c r="N5" s="17">
        <f>B48*B59+C48*C59</f>
        <v>5608.7426163413029</v>
      </c>
      <c r="O5" s="17">
        <f>B69*B70*B71</f>
        <v>28.140000000000004</v>
      </c>
      <c r="P5" s="17">
        <f>B77*B78*B79/1000-B77*B78*B79/1000/B80</f>
        <v>171.6</v>
      </c>
    </row>
    <row r="6" spans="1:16">
      <c r="A6" s="16" t="s">
        <v>631</v>
      </c>
      <c r="B6" s="776">
        <f>kWh_PV_kleiner_dan_10kW</f>
        <v>749.57789151892314</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13667.074759392422</v>
      </c>
      <c r="C8" s="21">
        <f>C5</f>
        <v>0</v>
      </c>
      <c r="D8" s="21">
        <f>D5</f>
        <v>15927.824039491696</v>
      </c>
      <c r="E8" s="21">
        <f>E5</f>
        <v>13473.030402126731</v>
      </c>
      <c r="F8" s="21">
        <f>F5</f>
        <v>13638.304992395288</v>
      </c>
      <c r="G8" s="21"/>
      <c r="H8" s="21"/>
      <c r="I8" s="21"/>
      <c r="J8" s="21">
        <f>J5</f>
        <v>3039.0126332540012</v>
      </c>
      <c r="K8" s="21"/>
      <c r="L8" s="21">
        <f>L5</f>
        <v>0</v>
      </c>
      <c r="M8" s="21">
        <f>M5</f>
        <v>0</v>
      </c>
      <c r="N8" s="21">
        <f>N5</f>
        <v>5608.7426163413029</v>
      </c>
      <c r="O8" s="21">
        <f>O5</f>
        <v>28.140000000000004</v>
      </c>
      <c r="P8" s="21">
        <f>P5</f>
        <v>171.6</v>
      </c>
    </row>
    <row r="9" spans="1:16">
      <c r="B9" s="19"/>
      <c r="C9" s="19"/>
      <c r="D9" s="260"/>
      <c r="E9" s="19"/>
      <c r="F9" s="19"/>
      <c r="G9" s="19"/>
      <c r="H9" s="19"/>
      <c r="I9" s="19"/>
      <c r="J9" s="19"/>
      <c r="K9" s="19"/>
      <c r="L9" s="19"/>
      <c r="M9" s="19"/>
      <c r="N9" s="19"/>
      <c r="O9" s="19"/>
      <c r="P9" s="19"/>
    </row>
    <row r="10" spans="1:16">
      <c r="A10" s="24" t="s">
        <v>213</v>
      </c>
      <c r="B10" s="25">
        <f ca="1">'EF ele_warmte'!B12</f>
        <v>0.21442328262438437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2930.5390337817912</v>
      </c>
      <c r="C12" s="23">
        <f ca="1">C10*C8</f>
        <v>0</v>
      </c>
      <c r="D12" s="23">
        <f>D8*D10</f>
        <v>3217.4204559773229</v>
      </c>
      <c r="E12" s="23">
        <f>E10*E8</f>
        <v>3058.3779012827681</v>
      </c>
      <c r="F12" s="23">
        <f>F10*F8</f>
        <v>3641.4274329695422</v>
      </c>
      <c r="G12" s="23"/>
      <c r="H12" s="23"/>
      <c r="I12" s="23"/>
      <c r="J12" s="23">
        <f>J10*J8</f>
        <v>1075.8104721719164</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481</v>
      </c>
      <c r="C18" s="167" t="s">
        <v>110</v>
      </c>
      <c r="D18" s="229"/>
      <c r="E18" s="15"/>
    </row>
    <row r="19" spans="1:7">
      <c r="A19" s="172" t="s">
        <v>71</v>
      </c>
      <c r="B19" s="37">
        <f>aantalw2001_ander</f>
        <v>0</v>
      </c>
      <c r="C19" s="167" t="s">
        <v>110</v>
      </c>
      <c r="D19" s="230"/>
      <c r="E19" s="15"/>
    </row>
    <row r="20" spans="1:7">
      <c r="A20" s="172" t="s">
        <v>72</v>
      </c>
      <c r="B20" s="37">
        <f>aantalw2001_propaan</f>
        <v>126</v>
      </c>
      <c r="C20" s="168">
        <f>IF(ISERROR(B20/SUM($B$20,$B$21,$B$22)*100),0,B20/SUM($B$20,$B$21,$B$22)*100)</f>
        <v>25.766871165644172</v>
      </c>
      <c r="D20" s="230"/>
      <c r="E20" s="15"/>
    </row>
    <row r="21" spans="1:7">
      <c r="A21" s="172" t="s">
        <v>73</v>
      </c>
      <c r="B21" s="37">
        <f>aantalw2001_elektriciteit</f>
        <v>304</v>
      </c>
      <c r="C21" s="168">
        <f>IF(ISERROR(B21/SUM($B$20,$B$21,$B$22)*100),0,B21/SUM($B$20,$B$21,$B$22)*100)</f>
        <v>62.167689161554193</v>
      </c>
      <c r="D21" s="230"/>
      <c r="E21" s="15"/>
    </row>
    <row r="22" spans="1:7">
      <c r="A22" s="172" t="s">
        <v>74</v>
      </c>
      <c r="B22" s="37">
        <f>aantalw2001_hout</f>
        <v>59</v>
      </c>
      <c r="C22" s="168">
        <f>IF(ISERROR(B22/SUM($B$20,$B$21,$B$22)*100),0,B22/SUM($B$20,$B$21,$B$22)*100)</f>
        <v>12.065439672801636</v>
      </c>
      <c r="D22" s="230"/>
      <c r="E22" s="15"/>
    </row>
    <row r="23" spans="1:7">
      <c r="A23" s="172" t="s">
        <v>75</v>
      </c>
      <c r="B23" s="37">
        <f>aantalw2001_niet_gespec</f>
        <v>54</v>
      </c>
      <c r="C23" s="167" t="s">
        <v>110</v>
      </c>
      <c r="D23" s="229"/>
      <c r="E23" s="15"/>
    </row>
    <row r="24" spans="1:7">
      <c r="A24" s="172" t="s">
        <v>76</v>
      </c>
      <c r="B24" s="37">
        <f>aantalw2001_steenkool</f>
        <v>162</v>
      </c>
      <c r="C24" s="167" t="s">
        <v>110</v>
      </c>
      <c r="D24" s="230"/>
      <c r="E24" s="15"/>
    </row>
    <row r="25" spans="1:7">
      <c r="A25" s="172" t="s">
        <v>77</v>
      </c>
      <c r="B25" s="37">
        <f>aantalw2001_stookolie</f>
        <v>1113</v>
      </c>
      <c r="C25" s="167" t="s">
        <v>110</v>
      </c>
      <c r="D25" s="229"/>
      <c r="E25" s="52"/>
    </row>
    <row r="26" spans="1:7">
      <c r="A26" s="172" t="s">
        <v>78</v>
      </c>
      <c r="B26" s="37">
        <f>aantalw2001_WP</f>
        <v>5</v>
      </c>
      <c r="C26" s="167" t="s">
        <v>110</v>
      </c>
      <c r="D26" s="229"/>
      <c r="E26" s="15"/>
    </row>
    <row r="27" spans="1:7" s="15" customFormat="1">
      <c r="A27" s="172"/>
      <c r="B27" s="29"/>
      <c r="C27" s="36"/>
      <c r="D27" s="229"/>
    </row>
    <row r="28" spans="1:7" s="15" customFormat="1">
      <c r="A28" s="231" t="s">
        <v>711</v>
      </c>
      <c r="B28" s="37">
        <f>aantalHuishoudens</f>
        <v>2533</v>
      </c>
      <c r="C28" s="36"/>
      <c r="D28" s="229"/>
    </row>
    <row r="29" spans="1:7" s="15" customFormat="1">
      <c r="A29" s="231" t="s">
        <v>712</v>
      </c>
      <c r="B29" s="37">
        <f>SUM(HH_hh_gas_aantal,HH_rest_gas_aantal)</f>
        <v>1048</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1048</v>
      </c>
      <c r="C32" s="168">
        <f>IF(ISERROR(B32/SUM($B$32,$B$34,$B$35,$B$36,$B$38,$B$39)*100),0,B32/SUM($B$32,$B$34,$B$35,$B$36,$B$38,$B$39)*100)</f>
        <v>41.521394611727416</v>
      </c>
      <c r="D32" s="234"/>
      <c r="G32" s="15"/>
    </row>
    <row r="33" spans="1:7">
      <c r="A33" s="172" t="s">
        <v>71</v>
      </c>
      <c r="B33" s="34" t="s">
        <v>110</v>
      </c>
      <c r="C33" s="168"/>
      <c r="D33" s="234"/>
      <c r="G33" s="15"/>
    </row>
    <row r="34" spans="1:7">
      <c r="A34" s="172" t="s">
        <v>72</v>
      </c>
      <c r="B34" s="33">
        <f>IF((($B$28-$B$32-$B$39-$B$77-$B$38)*C20/100)&lt;0,0,($B$28-$B$32-$B$39-$B$77-$B$38)*C20/100)</f>
        <v>197.88957055214723</v>
      </c>
      <c r="C34" s="168">
        <f>IF(ISERROR(B34/SUM($B$32,$B$34,$B$35,$B$36,$B$38,$B$39)*100),0,B34/SUM($B$32,$B$34,$B$35,$B$36,$B$38,$B$39)*100)</f>
        <v>7.840315790497117</v>
      </c>
      <c r="D34" s="234"/>
      <c r="G34" s="15"/>
    </row>
    <row r="35" spans="1:7">
      <c r="A35" s="172" t="s">
        <v>73</v>
      </c>
      <c r="B35" s="33">
        <f>IF((($B$28-$B$32-$B$39-$B$77-$B$38)*C21/100)&lt;0,0,($B$28-$B$32-$B$39-$B$77-$B$38)*C21/100)</f>
        <v>477.44785276073623</v>
      </c>
      <c r="C35" s="168">
        <f>IF(ISERROR(B35/SUM($B$32,$B$34,$B$35,$B$36,$B$38,$B$39)*100),0,B35/SUM($B$32,$B$34,$B$35,$B$36,$B$38,$B$39)*100)</f>
        <v>18.916317462786697</v>
      </c>
      <c r="D35" s="234"/>
      <c r="G35" s="15"/>
    </row>
    <row r="36" spans="1:7">
      <c r="A36" s="172" t="s">
        <v>74</v>
      </c>
      <c r="B36" s="33">
        <f>IF((($B$28-$B$32-$B$39-$B$77-$B$38)*C22/100)&lt;0,0,($B$28-$B$32-$B$39-$B$77-$B$38)*C22/100)</f>
        <v>92.662576687116555</v>
      </c>
      <c r="C36" s="168">
        <f>IF(ISERROR(B36/SUM($B$32,$B$34,$B$35,$B$36,$B$38,$B$39)*100),0,B36/SUM($B$32,$B$34,$B$35,$B$36,$B$38,$B$39)*100)</f>
        <v>3.6712589812645224</v>
      </c>
      <c r="D36" s="234"/>
      <c r="G36" s="15"/>
    </row>
    <row r="37" spans="1:7">
      <c r="A37" s="172" t="s">
        <v>75</v>
      </c>
      <c r="B37" s="34" t="s">
        <v>110</v>
      </c>
      <c r="C37" s="168"/>
      <c r="D37" s="174"/>
      <c r="G37" s="15"/>
    </row>
    <row r="38" spans="1:7">
      <c r="A38" s="172" t="s">
        <v>76</v>
      </c>
      <c r="B38" s="33">
        <f>IF((B24-(B29-B18)*0.1)&lt;0,0,B24-(B29-B18)*0.1)</f>
        <v>105.3</v>
      </c>
      <c r="C38" s="168">
        <f>IF(ISERROR(B38/SUM($B$32,$B$34,$B$35,$B$36,$B$38,$B$39)*100),0,B38/SUM($B$32,$B$34,$B$35,$B$36,$B$38,$B$39)*100)</f>
        <v>4.1719492868462753</v>
      </c>
      <c r="D38" s="235"/>
      <c r="G38" s="15"/>
    </row>
    <row r="39" spans="1:7">
      <c r="A39" s="172" t="s">
        <v>77</v>
      </c>
      <c r="B39" s="33">
        <f>IF((B25-(B29-B18))&lt;0,0,B25-(B29-B18)*0.9)</f>
        <v>602.70000000000005</v>
      </c>
      <c r="C39" s="168">
        <f>IF(ISERROR(B39/SUM($B$32,$B$34,$B$35,$B$36,$B$38,$B$39)*100),0,B39/SUM($B$32,$B$34,$B$35,$B$36,$B$38,$B$39)*100)</f>
        <v>23.878763866877971</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1048</v>
      </c>
      <c r="C44" s="34" t="s">
        <v>110</v>
      </c>
      <c r="D44" s="175"/>
    </row>
    <row r="45" spans="1:7">
      <c r="A45" s="172" t="s">
        <v>71</v>
      </c>
      <c r="B45" s="33" t="str">
        <f t="shared" si="0"/>
        <v>-</v>
      </c>
      <c r="C45" s="34" t="s">
        <v>110</v>
      </c>
      <c r="D45" s="175"/>
    </row>
    <row r="46" spans="1:7">
      <c r="A46" s="172" t="s">
        <v>72</v>
      </c>
      <c r="B46" s="33">
        <f t="shared" si="0"/>
        <v>197.88957055214723</v>
      </c>
      <c r="C46" s="34" t="s">
        <v>110</v>
      </c>
      <c r="D46" s="175"/>
    </row>
    <row r="47" spans="1:7">
      <c r="A47" s="172" t="s">
        <v>73</v>
      </c>
      <c r="B47" s="33">
        <f t="shared" si="0"/>
        <v>477.44785276073623</v>
      </c>
      <c r="C47" s="34" t="s">
        <v>110</v>
      </c>
      <c r="D47" s="175"/>
    </row>
    <row r="48" spans="1:7">
      <c r="A48" s="172" t="s">
        <v>74</v>
      </c>
      <c r="B48" s="33">
        <f t="shared" si="0"/>
        <v>92.662576687116555</v>
      </c>
      <c r="C48" s="33">
        <f>B48*10</f>
        <v>926.62576687116552</v>
      </c>
      <c r="D48" s="235"/>
    </row>
    <row r="49" spans="1:6">
      <c r="A49" s="172" t="s">
        <v>75</v>
      </c>
      <c r="B49" s="33" t="str">
        <f t="shared" si="0"/>
        <v>-</v>
      </c>
      <c r="C49" s="34" t="s">
        <v>110</v>
      </c>
      <c r="D49" s="235"/>
    </row>
    <row r="50" spans="1:6">
      <c r="A50" s="172" t="s">
        <v>76</v>
      </c>
      <c r="B50" s="33">
        <f t="shared" si="0"/>
        <v>105.3</v>
      </c>
      <c r="C50" s="33">
        <f>B50*2</f>
        <v>210.6</v>
      </c>
      <c r="D50" s="235"/>
    </row>
    <row r="51" spans="1:6">
      <c r="A51" s="172" t="s">
        <v>77</v>
      </c>
      <c r="B51" s="33">
        <f t="shared" si="0"/>
        <v>602.70000000000005</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18</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9</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6905.0655353165057</v>
      </c>
      <c r="C5" s="17">
        <f>IF(ISERROR('Eigen informatie GS &amp; warmtenet'!B58),0,'Eigen informatie GS &amp; warmtenet'!B58)</f>
        <v>0</v>
      </c>
      <c r="D5" s="30">
        <f>SUM(D6:D12)</f>
        <v>3708.1496556367529</v>
      </c>
      <c r="E5" s="17">
        <f>SUM(E6:E12)</f>
        <v>148.21447848688175</v>
      </c>
      <c r="F5" s="17">
        <f>SUM(F6:F12)</f>
        <v>1387.5367992592014</v>
      </c>
      <c r="G5" s="18"/>
      <c r="H5" s="17"/>
      <c r="I5" s="17"/>
      <c r="J5" s="17">
        <f>SUM(J6:J12)</f>
        <v>0</v>
      </c>
      <c r="K5" s="17"/>
      <c r="L5" s="17"/>
      <c r="M5" s="17"/>
      <c r="N5" s="17">
        <f>SUM(N6:N12)</f>
        <v>488.8764556203248</v>
      </c>
      <c r="O5" s="17">
        <f>B38*B39*B40</f>
        <v>3.1266666666666669</v>
      </c>
      <c r="P5" s="17">
        <f>B46*B47*B48/1000-B46*B47*B48/1000/B49</f>
        <v>0</v>
      </c>
      <c r="R5" s="32"/>
    </row>
    <row r="6" spans="1:18">
      <c r="A6" s="32" t="s">
        <v>53</v>
      </c>
      <c r="B6" s="37">
        <f>B26</f>
        <v>1109.3366729729801</v>
      </c>
      <c r="C6" s="33"/>
      <c r="D6" s="37">
        <f>IF(ISERROR(TER_kantoor_gas_kWh/1000),0,TER_kantoor_gas_kWh/1000)*0.902</f>
        <v>980.76346014871353</v>
      </c>
      <c r="E6" s="33">
        <f>$C$26*'E Balans VL '!I12/100/3.6*1000000</f>
        <v>38.831147403458964</v>
      </c>
      <c r="F6" s="33">
        <f>$C$26*('E Balans VL '!L12+'E Balans VL '!N12)/100/3.6*1000000</f>
        <v>168.19925684768509</v>
      </c>
      <c r="G6" s="34"/>
      <c r="H6" s="33"/>
      <c r="I6" s="33"/>
      <c r="J6" s="33">
        <f>$C$26*('E Balans VL '!D12+'E Balans VL '!E12)/100/3.6*1000000</f>
        <v>0</v>
      </c>
      <c r="K6" s="33"/>
      <c r="L6" s="33"/>
      <c r="M6" s="33"/>
      <c r="N6" s="33">
        <f>$C$26*'E Balans VL '!Y12/100/3.6*1000000</f>
        <v>8.5748252692582234</v>
      </c>
      <c r="O6" s="33"/>
      <c r="P6" s="33"/>
      <c r="R6" s="32"/>
    </row>
    <row r="7" spans="1:18">
      <c r="A7" s="32" t="s">
        <v>52</v>
      </c>
      <c r="B7" s="37">
        <f t="shared" ref="B7:B12" si="0">B27</f>
        <v>694.50233235345695</v>
      </c>
      <c r="C7" s="33"/>
      <c r="D7" s="37">
        <f>IF(ISERROR(TER_horeca_gas_kWh/1000),0,TER_horeca_gas_kWh/1000)*0.902</f>
        <v>359.9340347307857</v>
      </c>
      <c r="E7" s="33">
        <f>$C$27*'E Balans VL '!I9/100/3.6*1000000</f>
        <v>39.179166176741305</v>
      </c>
      <c r="F7" s="33">
        <f>$C$27*('E Balans VL '!L9+'E Balans VL '!N9)/100/3.6*1000000</f>
        <v>120.98614972122671</v>
      </c>
      <c r="G7" s="34"/>
      <c r="H7" s="33"/>
      <c r="I7" s="33"/>
      <c r="J7" s="33">
        <f>$C$27*('E Balans VL '!D9+'E Balans VL '!E9)/100/3.6*1000000</f>
        <v>0</v>
      </c>
      <c r="K7" s="33"/>
      <c r="L7" s="33"/>
      <c r="M7" s="33"/>
      <c r="N7" s="33">
        <f>$C$27*'E Balans VL '!Y9/100/3.6*1000000</f>
        <v>0</v>
      </c>
      <c r="O7" s="33"/>
      <c r="P7" s="33"/>
      <c r="R7" s="32"/>
    </row>
    <row r="8" spans="1:18">
      <c r="A8" s="6" t="s">
        <v>51</v>
      </c>
      <c r="B8" s="37">
        <f t="shared" si="0"/>
        <v>689.15298786570202</v>
      </c>
      <c r="C8" s="33"/>
      <c r="D8" s="37">
        <f>IF(ISERROR(TER_handel_gas_kWh/1000),0,TER_handel_gas_kWh/1000)*0.902</f>
        <v>84.086688069254251</v>
      </c>
      <c r="E8" s="33">
        <f>$C$28*'E Balans VL '!I13/100/3.6*1000000</f>
        <v>3.5380414227744281</v>
      </c>
      <c r="F8" s="33">
        <f>$C$28*('E Balans VL '!L13+'E Balans VL '!N13)/100/3.6*1000000</f>
        <v>106.25674222211177</v>
      </c>
      <c r="G8" s="34"/>
      <c r="H8" s="33"/>
      <c r="I8" s="33"/>
      <c r="J8" s="33">
        <f>$C$28*('E Balans VL '!D13+'E Balans VL '!E13)/100/3.6*1000000</f>
        <v>0</v>
      </c>
      <c r="K8" s="33"/>
      <c r="L8" s="33"/>
      <c r="M8" s="33"/>
      <c r="N8" s="33">
        <f>$C$28*'E Balans VL '!Y13/100/3.6*1000000</f>
        <v>0.32232526466932548</v>
      </c>
      <c r="O8" s="33"/>
      <c r="P8" s="33"/>
      <c r="R8" s="32"/>
    </row>
    <row r="9" spans="1:18">
      <c r="A9" s="32" t="s">
        <v>50</v>
      </c>
      <c r="B9" s="37">
        <f t="shared" si="0"/>
        <v>44.787848293767397</v>
      </c>
      <c r="C9" s="33"/>
      <c r="D9" s="37">
        <f>IF(ISERROR(TER_gezond_gas_kWh/1000),0,TER_gezond_gas_kWh/1000)*0.902</f>
        <v>0</v>
      </c>
      <c r="E9" s="33">
        <f>$C$29*'E Balans VL '!I10/100/3.6*1000000</f>
        <v>1.8564244150142774E-2</v>
      </c>
      <c r="F9" s="33">
        <f>$C$29*('E Balans VL '!L10+'E Balans VL '!N10)/100/3.6*1000000</f>
        <v>11.030604691326564</v>
      </c>
      <c r="G9" s="34"/>
      <c r="H9" s="33"/>
      <c r="I9" s="33"/>
      <c r="J9" s="33">
        <f>$C$29*('E Balans VL '!D10+'E Balans VL '!E10)/100/3.6*1000000</f>
        <v>0</v>
      </c>
      <c r="K9" s="33"/>
      <c r="L9" s="33"/>
      <c r="M9" s="33"/>
      <c r="N9" s="33">
        <f>$C$29*'E Balans VL '!Y10/100/3.6*1000000</f>
        <v>0.38707786478643658</v>
      </c>
      <c r="O9" s="33"/>
      <c r="P9" s="33"/>
      <c r="R9" s="32"/>
    </row>
    <row r="10" spans="1:18">
      <c r="A10" s="32" t="s">
        <v>49</v>
      </c>
      <c r="B10" s="37">
        <f t="shared" si="0"/>
        <v>1760.0026329361601</v>
      </c>
      <c r="C10" s="33"/>
      <c r="D10" s="37">
        <f>IF(ISERROR(TER_ander_gas_kWh/1000),0,TER_ander_gas_kWh/1000)*0.902</f>
        <v>0</v>
      </c>
      <c r="E10" s="33">
        <f>$C$30*'E Balans VL '!I14/100/3.6*1000000</f>
        <v>10.729019474391309</v>
      </c>
      <c r="F10" s="33">
        <f>$C$30*('E Balans VL '!L14+'E Balans VL '!N14)/100/3.6*1000000</f>
        <v>466.60080729261051</v>
      </c>
      <c r="G10" s="34"/>
      <c r="H10" s="33"/>
      <c r="I10" s="33"/>
      <c r="J10" s="33">
        <f>$C$30*('E Balans VL '!D14+'E Balans VL '!E14)/100/3.6*1000000</f>
        <v>0</v>
      </c>
      <c r="K10" s="33"/>
      <c r="L10" s="33"/>
      <c r="M10" s="33"/>
      <c r="N10" s="33">
        <f>$C$30*'E Balans VL '!Y14/100/3.6*1000000</f>
        <v>405.64257603411875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2607.28306089444</v>
      </c>
      <c r="C12" s="33"/>
      <c r="D12" s="37">
        <f>IF(ISERROR(TER_rest_gas_kWh/1000),0,TER_rest_gas_kWh/1000)*0.902</f>
        <v>2283.3654726879995</v>
      </c>
      <c r="E12" s="33">
        <f>$C$32*'E Balans VL '!I8/100/3.6*1000000</f>
        <v>55.918539765365615</v>
      </c>
      <c r="F12" s="33">
        <f>$C$32*('E Balans VL '!L8+'E Balans VL '!N8)/100/3.6*1000000</f>
        <v>514.46323848424061</v>
      </c>
      <c r="G12" s="34"/>
      <c r="H12" s="33"/>
      <c r="I12" s="33"/>
      <c r="J12" s="33">
        <f>$C$32*('E Balans VL '!D8+'E Balans VL '!E8)/100/3.6*1000000</f>
        <v>0</v>
      </c>
      <c r="K12" s="33"/>
      <c r="L12" s="33"/>
      <c r="M12" s="33"/>
      <c r="N12" s="33">
        <f>$C$32*'E Balans VL '!Y8/100/3.6*1000000</f>
        <v>73.949651187492094</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6905.0655353165057</v>
      </c>
      <c r="C16" s="21">
        <f ca="1">C5+C13+C14</f>
        <v>0</v>
      </c>
      <c r="D16" s="21">
        <f t="shared" ref="D16:N16" ca="1" si="1">MAX((D5+D13+D14),0)</f>
        <v>3708.1496556367529</v>
      </c>
      <c r="E16" s="21">
        <f t="shared" si="1"/>
        <v>148.21447848688175</v>
      </c>
      <c r="F16" s="21">
        <f t="shared" ca="1" si="1"/>
        <v>1387.5367992592014</v>
      </c>
      <c r="G16" s="21">
        <f t="shared" si="1"/>
        <v>0</v>
      </c>
      <c r="H16" s="21">
        <f t="shared" si="1"/>
        <v>0</v>
      </c>
      <c r="I16" s="21">
        <f t="shared" si="1"/>
        <v>0</v>
      </c>
      <c r="J16" s="21">
        <f t="shared" si="1"/>
        <v>0</v>
      </c>
      <c r="K16" s="21">
        <f t="shared" si="1"/>
        <v>0</v>
      </c>
      <c r="L16" s="21">
        <f t="shared" ca="1" si="1"/>
        <v>0</v>
      </c>
      <c r="M16" s="21">
        <f t="shared" si="1"/>
        <v>0</v>
      </c>
      <c r="N16" s="21">
        <f t="shared" ca="1" si="1"/>
        <v>488.8764556203248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0.21442328262438437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1480.606818819067</v>
      </c>
      <c r="C20" s="23">
        <f t="shared" ref="C20:P20" ca="1" si="2">C16*C18</f>
        <v>0</v>
      </c>
      <c r="D20" s="23">
        <f t="shared" ca="1" si="2"/>
        <v>749.04623043862409</v>
      </c>
      <c r="E20" s="23">
        <f t="shared" si="2"/>
        <v>33.644686616522158</v>
      </c>
      <c r="F20" s="23">
        <f t="shared" ca="1" si="2"/>
        <v>370.47232540220682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1109.3366729729801</v>
      </c>
      <c r="C26" s="39">
        <f>IF(ISERROR(B26*3.6/1000000/'E Balans VL '!Z12*100),0,B26*3.6/1000000/'E Balans VL '!Z12*100)</f>
        <v>2.334415058632263E-2</v>
      </c>
      <c r="D26" s="238" t="s">
        <v>718</v>
      </c>
      <c r="F26" s="6"/>
    </row>
    <row r="27" spans="1:18">
      <c r="A27" s="232" t="s">
        <v>52</v>
      </c>
      <c r="B27" s="33">
        <f>IF(ISERROR(TER_horeca_ele_kWh/1000),0,TER_horeca_ele_kWh/1000)</f>
        <v>694.50233235345695</v>
      </c>
      <c r="C27" s="39">
        <f>IF(ISERROR(B27*3.6/1000000/'E Balans VL '!Z9*100),0,B27*3.6/1000000/'E Balans VL '!Z9*100)</f>
        <v>5.8801560946885711E-2</v>
      </c>
      <c r="D27" s="238" t="s">
        <v>718</v>
      </c>
      <c r="F27" s="6"/>
    </row>
    <row r="28" spans="1:18">
      <c r="A28" s="172" t="s">
        <v>51</v>
      </c>
      <c r="B28" s="33">
        <f>IF(ISERROR(TER_handel_ele_kWh/1000),0,TER_handel_ele_kWh/1000)</f>
        <v>689.15298786570202</v>
      </c>
      <c r="C28" s="39">
        <f>IF(ISERROR(B28*3.6/1000000/'E Balans VL '!Z13*100),0,B28*3.6/1000000/'E Balans VL '!Z13*100)</f>
        <v>1.9079105173644452E-2</v>
      </c>
      <c r="D28" s="238" t="s">
        <v>718</v>
      </c>
      <c r="F28" s="6"/>
    </row>
    <row r="29" spans="1:18">
      <c r="A29" s="232" t="s">
        <v>50</v>
      </c>
      <c r="B29" s="33">
        <f>IF(ISERROR(TER_gezond_ele_kWh/1000),0,TER_gezond_ele_kWh/1000)</f>
        <v>44.787848293767397</v>
      </c>
      <c r="C29" s="39">
        <f>IF(ISERROR(B29*3.6/1000000/'E Balans VL '!Z10*100),0,B29*3.6/1000000/'E Balans VL '!Z10*100)</f>
        <v>5.8219237470009937E-3</v>
      </c>
      <c r="D29" s="238" t="s">
        <v>718</v>
      </c>
      <c r="F29" s="6"/>
    </row>
    <row r="30" spans="1:18">
      <c r="A30" s="232" t="s">
        <v>49</v>
      </c>
      <c r="B30" s="33">
        <f>IF(ISERROR(TER_ander_ele_kWh/1000),0,TER_ander_ele_kWh/1000)</f>
        <v>1760.0026329361601</v>
      </c>
      <c r="C30" s="39">
        <f>IF(ISERROR(B30*3.6/1000000/'E Balans VL '!Z14*100),0,B30*3.6/1000000/'E Balans VL '!Z14*100)</f>
        <v>0.1364163445096824</v>
      </c>
      <c r="D30" s="238" t="s">
        <v>718</v>
      </c>
      <c r="F30" s="6"/>
    </row>
    <row r="31" spans="1:18">
      <c r="A31" s="232" t="s">
        <v>54</v>
      </c>
      <c r="B31" s="33">
        <f>IF(ISERROR(TER_onderwijs_ele_kWh/1000),0,TER_onderwijs_ele_kWh/1000)</f>
        <v>0</v>
      </c>
      <c r="C31" s="39">
        <f>IF(ISERROR(B31*3.6/1000000/'E Balans VL '!Z11*100),0,B31*3.6/1000000/'E Balans VL '!Z11*100)</f>
        <v>0</v>
      </c>
      <c r="D31" s="238" t="s">
        <v>718</v>
      </c>
    </row>
    <row r="32" spans="1:18">
      <c r="A32" s="232" t="s">
        <v>259</v>
      </c>
      <c r="B32" s="33">
        <f>IF(ISERROR(TER_rest_ele_kWh/1000),0,TER_rest_ele_kWh/1000)</f>
        <v>2607.28306089444</v>
      </c>
      <c r="C32" s="39">
        <f>IF(ISERROR(B32*3.6/1000000/'E Balans VL '!Z8*100),0,B32*3.6/1000000/'E Balans VL '!Z8*100)</f>
        <v>2.14990510103149E-2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2</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8723.1057981753311</v>
      </c>
      <c r="C5" s="17">
        <f>IF(ISERROR('Eigen informatie GS &amp; warmtenet'!B59),0,'Eigen informatie GS &amp; warmtenet'!B59)</f>
        <v>0</v>
      </c>
      <c r="D5" s="30">
        <f>SUM(D6:D15)</f>
        <v>16574.198922921201</v>
      </c>
      <c r="E5" s="17">
        <f>SUM(E6:E15)</f>
        <v>82.829753704831006</v>
      </c>
      <c r="F5" s="17">
        <f>SUM(F6:F15)</f>
        <v>2048.2140199466057</v>
      </c>
      <c r="G5" s="18"/>
      <c r="H5" s="17"/>
      <c r="I5" s="17"/>
      <c r="J5" s="17">
        <f>SUM(J6:J15)</f>
        <v>55.061086201250518</v>
      </c>
      <c r="K5" s="17"/>
      <c r="L5" s="17"/>
      <c r="M5" s="17"/>
      <c r="N5" s="17">
        <f>SUM(N6:N15)</f>
        <v>186.36292005156002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527.48685086921796</v>
      </c>
      <c r="C9" s="33"/>
      <c r="D9" s="37">
        <f>IF( ISERROR(IND_andere_gas_kWh/1000),0,IND_andere_gas_kWh/1000)*0.902</f>
        <v>163.86511902593932</v>
      </c>
      <c r="E9" s="33">
        <f>C31*'E Balans VL '!I19/100/3.6*1000000</f>
        <v>8.859787852372591</v>
      </c>
      <c r="F9" s="33">
        <f>C31*'E Balans VL '!L19/100/3.6*1000000+C31*'E Balans VL '!N19/100/3.6*1000000</f>
        <v>412.35917660179751</v>
      </c>
      <c r="G9" s="34"/>
      <c r="H9" s="33"/>
      <c r="I9" s="33"/>
      <c r="J9" s="40">
        <f>C31*'E Balans VL '!D19/100/3.6*1000000+C31*'E Balans VL '!E19/100/3.6*1000000</f>
        <v>4.757465761893391E-2</v>
      </c>
      <c r="K9" s="33"/>
      <c r="L9" s="33"/>
      <c r="M9" s="33"/>
      <c r="N9" s="33">
        <f>C31*'E Balans VL '!Y19/100/3.6*1000000</f>
        <v>39.095238430891087</v>
      </c>
      <c r="O9" s="33"/>
      <c r="P9" s="33"/>
      <c r="R9" s="32"/>
    </row>
    <row r="10" spans="1:18">
      <c r="A10" s="6" t="s">
        <v>40</v>
      </c>
      <c r="B10" s="37">
        <f t="shared" si="0"/>
        <v>65.199730553333993</v>
      </c>
      <c r="C10" s="33"/>
      <c r="D10" s="37">
        <f>IF( ISERROR(IND_voed_gas_kWh/1000),0,IND_voed_gas_kWh/1000)*0.902</f>
        <v>140.73749443189553</v>
      </c>
      <c r="E10" s="33">
        <f>C32*'E Balans VL '!I20/100/3.6*1000000</f>
        <v>0.59485524782189048</v>
      </c>
      <c r="F10" s="33">
        <f>C32*'E Balans VL '!L20/100/3.6*1000000+C32*'E Balans VL '!N20/100/3.6*1000000</f>
        <v>10.518755866478841</v>
      </c>
      <c r="G10" s="34"/>
      <c r="H10" s="33"/>
      <c r="I10" s="33"/>
      <c r="J10" s="40">
        <f>C32*'E Balans VL '!D20/100/3.6*1000000+C32*'E Balans VL '!E20/100/3.6*1000000</f>
        <v>0.26853523743115271</v>
      </c>
      <c r="K10" s="33"/>
      <c r="L10" s="33"/>
      <c r="M10" s="33"/>
      <c r="N10" s="33">
        <f>C32*'E Balans VL '!Y20/100/3.6*1000000</f>
        <v>0.95382064656481835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8130.4192167527799</v>
      </c>
      <c r="C15" s="33"/>
      <c r="D15" s="37">
        <f>IF( ISERROR(IND_rest_gas_kWh/1000),0,IND_rest_gas_kWh/1000)*0.902</f>
        <v>16269.596309463368</v>
      </c>
      <c r="E15" s="33">
        <f>C37*'E Balans VL '!I15/100/3.6*1000000</f>
        <v>73.375110604636532</v>
      </c>
      <c r="F15" s="33">
        <f>C37*'E Balans VL '!L15/100/3.6*1000000+C37*'E Balans VL '!N15/100/3.6*1000000</f>
        <v>1625.3360874783295</v>
      </c>
      <c r="G15" s="34"/>
      <c r="H15" s="33"/>
      <c r="I15" s="33"/>
      <c r="J15" s="40">
        <f>C37*'E Balans VL '!D15/100/3.6*1000000+C37*'E Balans VL '!E15/100/3.6*1000000</f>
        <v>54.744976306200428</v>
      </c>
      <c r="K15" s="33"/>
      <c r="L15" s="33"/>
      <c r="M15" s="33"/>
      <c r="N15" s="33">
        <f>C37*'E Balans VL '!Y15/100/3.6*1000000</f>
        <v>146.31386097410413</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8723.1057981753311</v>
      </c>
      <c r="C18" s="21">
        <f>C5+C16</f>
        <v>0</v>
      </c>
      <c r="D18" s="21">
        <f>MAX((D5+D16),0)</f>
        <v>16574.198922921201</v>
      </c>
      <c r="E18" s="21">
        <f>MAX((E5+E16),0)</f>
        <v>82.829753704831006</v>
      </c>
      <c r="F18" s="21">
        <f>MAX((F5+F16),0)</f>
        <v>2048.2140199466057</v>
      </c>
      <c r="G18" s="21"/>
      <c r="H18" s="21"/>
      <c r="I18" s="21"/>
      <c r="J18" s="21">
        <f>MAX((J5+J16),0)</f>
        <v>55.061086201250518</v>
      </c>
      <c r="K18" s="21"/>
      <c r="L18" s="21">
        <f>MAX((L5+L16),0)</f>
        <v>0</v>
      </c>
      <c r="M18" s="21"/>
      <c r="N18" s="21">
        <f>MAX((N5+N16),0)</f>
        <v>186.36292005156002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0.21442328262438437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1870.4369799245551</v>
      </c>
      <c r="C22" s="23">
        <f ca="1">C18*C20</f>
        <v>0</v>
      </c>
      <c r="D22" s="23">
        <f>D18*D20</f>
        <v>3347.9881824300828</v>
      </c>
      <c r="E22" s="23">
        <f>E18*E20</f>
        <v>18.802354090996641</v>
      </c>
      <c r="F22" s="23">
        <f>F18*F20</f>
        <v>546.87314332574374</v>
      </c>
      <c r="G22" s="23"/>
      <c r="H22" s="23"/>
      <c r="I22" s="23"/>
      <c r="J22" s="23">
        <f>J18*J20</f>
        <v>19.491624515242684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527.48685086921796</v>
      </c>
      <c r="C31" s="39">
        <f>IF(ISERROR(B31*3.6/1000000/'E Balans VL '!Z19*100),0,B31*3.6/1000000/'E Balans VL '!Z19*100)</f>
        <v>2.3381401696677417E-2</v>
      </c>
      <c r="D31" s="238" t="s">
        <v>718</v>
      </c>
    </row>
    <row r="32" spans="1:18">
      <c r="A32" s="172" t="s">
        <v>40</v>
      </c>
      <c r="B32" s="37">
        <f>IF( ISERROR(IND_voed_ele_kWh/1000),0,IND_voed_ele_kWh/1000)</f>
        <v>65.199730553333993</v>
      </c>
      <c r="C32" s="39">
        <f>IF(ISERROR(B32*3.6/1000000/'E Balans VL '!Z20*100),0,B32*3.6/1000000/'E Balans VL '!Z20*100)</f>
        <v>2.1778580343014059E-3</v>
      </c>
      <c r="D32" s="238" t="s">
        <v>718</v>
      </c>
    </row>
    <row r="33" spans="1:5">
      <c r="A33" s="172" t="s">
        <v>39</v>
      </c>
      <c r="B33" s="37">
        <f>IF( ISERROR(IND_textiel_ele_kWh/1000),0,IND_textiel_ele_kWh/1000)</f>
        <v>0</v>
      </c>
      <c r="C33" s="39">
        <f>IF(ISERROR(B33*3.6/1000000/'E Balans VL '!Z21*100),0,B33*3.6/1000000/'E Balans VL '!Z21*100)</f>
        <v>0</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8130.4192167527799</v>
      </c>
      <c r="C37" s="39">
        <f>IF(ISERROR(B37*3.6/1000000/'E Balans VL '!Z15*100),0,B37*3.6/1000000/'E Balans VL '!Z15*100)</f>
        <v>6.0477073386719184E-2</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3070.438985624673</v>
      </c>
      <c r="C5" s="17">
        <f>'Eigen informatie GS &amp; warmtenet'!B60</f>
        <v>0</v>
      </c>
      <c r="D5" s="30">
        <f>IF(ISERROR(SUM(LB_lb_gas_kWh,LB_rest_gas_kWh)/1000),0,SUM(LB_lb_gas_kWh,LB_rest_gas_kWh)/1000)*0.902</f>
        <v>280.71581887905978</v>
      </c>
      <c r="E5" s="17">
        <f>B17*'E Balans VL '!I25/3.6*1000000/100</f>
        <v>32.154301780394718</v>
      </c>
      <c r="F5" s="17">
        <f>B17*('E Balans VL '!L25/3.6*1000000+'E Balans VL '!N25/3.6*1000000)/100</f>
        <v>13143.811896613659</v>
      </c>
      <c r="G5" s="18"/>
      <c r="H5" s="17"/>
      <c r="I5" s="17"/>
      <c r="J5" s="17">
        <f>('E Balans VL '!D25+'E Balans VL '!E25)/3.6*1000000*landbouw!B17/100</f>
        <v>274.21772223040722</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3070.438985624673</v>
      </c>
      <c r="C8" s="21">
        <f>C5+C6</f>
        <v>0</v>
      </c>
      <c r="D8" s="21">
        <f>MAX((D5+D6),0)</f>
        <v>280.71581887905978</v>
      </c>
      <c r="E8" s="21">
        <f>MAX((E5+E6),0)</f>
        <v>32.154301780394718</v>
      </c>
      <c r="F8" s="21">
        <f>MAX((F5+F6),0)</f>
        <v>13143.811896613659</v>
      </c>
      <c r="G8" s="21"/>
      <c r="H8" s="21"/>
      <c r="I8" s="21"/>
      <c r="J8" s="21">
        <f>MAX((J5+J6),0)</f>
        <v>274.21772223040722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0.21442328262438437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658.3736063955273</v>
      </c>
      <c r="C12" s="23">
        <f ca="1">C8*C10</f>
        <v>0</v>
      </c>
      <c r="D12" s="23">
        <f>D8*D10</f>
        <v>56.704595413570082</v>
      </c>
      <c r="E12" s="23">
        <f>E8*E10</f>
        <v>7.2990265041496016</v>
      </c>
      <c r="F12" s="23">
        <f>F8*F10</f>
        <v>3509.3977763958474</v>
      </c>
      <c r="G12" s="23"/>
      <c r="H12" s="23"/>
      <c r="I12" s="23"/>
      <c r="J12" s="23">
        <f>J8*J10</f>
        <v>97.073073669564153</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0.47259983031314179</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801.56400252096932</v>
      </c>
      <c r="C26" s="248">
        <f>B26*'GWP N2O_CH4'!B5</f>
        <v>16832.844052940356</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313.29485626571454</v>
      </c>
      <c r="C27" s="248">
        <f>B27*'GWP N2O_CH4'!B5</f>
        <v>6579.1919815800056</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10.541413257393938</v>
      </c>
      <c r="C28" s="248">
        <f>B28*'GWP N2O_CH4'!B4</f>
        <v>3267.8381097921206</v>
      </c>
      <c r="D28" s="50"/>
    </row>
    <row r="29" spans="1:4">
      <c r="A29" s="41" t="s">
        <v>276</v>
      </c>
      <c r="B29" s="248">
        <f>B34*'ha_N2O bodem landbouw'!B4</f>
        <v>21.206075996211421</v>
      </c>
      <c r="C29" s="248">
        <f>B29*'GWP N2O_CH4'!B4</f>
        <v>6573.8835588255406</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3.5045825725450079E-3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1.84761067326561E-6</v>
      </c>
      <c r="C5" s="443" t="s">
        <v>210</v>
      </c>
      <c r="D5" s="428">
        <f>SUM(D6:D11)</f>
        <v>9.9446634163452677E-6</v>
      </c>
      <c r="E5" s="428">
        <f>SUM(E6:E11)</f>
        <v>1.0102241609761334E-3</v>
      </c>
      <c r="F5" s="441" t="s">
        <v>210</v>
      </c>
      <c r="G5" s="428">
        <f>SUM(G6:G11)</f>
        <v>0.20517897206760463</v>
      </c>
      <c r="H5" s="428">
        <f>SUM(H6:H11)</f>
        <v>3.4176156988856003E-2</v>
      </c>
      <c r="I5" s="443" t="s">
        <v>210</v>
      </c>
      <c r="J5" s="443" t="s">
        <v>210</v>
      </c>
      <c r="K5" s="443" t="s">
        <v>210</v>
      </c>
      <c r="L5" s="443" t="s">
        <v>210</v>
      </c>
      <c r="M5" s="428">
        <f>SUM(M6:M11)</f>
        <v>1.041190095873851E-2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1.487715917052105E-6</v>
      </c>
      <c r="C6" s="429"/>
      <c r="D6" s="429">
        <f>vkm_GW_PW*SUMIFS(TableVerdeelsleutelVkm[CNG],TableVerdeelsleutelVkm[Voertuigtype],"Lichte voertuigen")*SUMIFS(TableECFTransport[EnergieConsumptieFactor (PJ per km)],TableECFTransport[Index],CONCATENATE($A6,"_CNG_CNG"))</f>
        <v>7.0566163249314498E-6</v>
      </c>
      <c r="E6" s="431">
        <f>vkm_GW_PW*SUMIFS(TableVerdeelsleutelVkm[LPG],TableVerdeelsleutelVkm[Voertuigtype],"Lichte voertuigen")*SUMIFS(TableECFTransport[EnergieConsumptieFactor (PJ per km)],TableECFTransport[Index],CONCATENATE($A6,"_LPG_LPG"))</f>
        <v>7.3021258702397624E-4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9.890551556169018E-2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2.4626366915936247E-2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5.3941986033220731E-3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6.3153508371180653E-2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1.7539191134818663E-6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2.7206814291503003E-3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3.59894756213505E-7</v>
      </c>
      <c r="C8" s="429"/>
      <c r="D8" s="431">
        <f>vkm_NGW_PW*SUMIFS(TableVerdeelsleutelVkm[CNG],TableVerdeelsleutelVkm[Voertuigtype],"Lichte voertuigen")*SUMIFS(TableECFTransport[EnergieConsumptieFactor (PJ per km)],TableECFTransport[Index],CONCATENATE($A8,"_CNG_CNG"))</f>
        <v>2.8880470914138188E-6</v>
      </c>
      <c r="E8" s="431">
        <f>vkm_NGW_PW*SUMIFS(TableVerdeelsleutelVkm[LPG],TableVerdeelsleutelVkm[Voertuigtype],"Lichte voertuigen")*SUMIFS(TableECFTransport[EnergieConsumptieFactor (PJ per km)],TableECFTransport[Index],CONCATENATE($A8,"_LPG_LPG"))</f>
        <v>2.8001157395215716E-4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3.6352133907275291E-2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9.5478098419902666E-3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2.0054586925775924E-3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6.7678142274585013E-3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2.263118160037348E-7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2.9156223368854474E-4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0.51322518701822506</v>
      </c>
      <c r="C14" s="21"/>
      <c r="D14" s="21">
        <f t="shared" ref="D14:M14" si="0">((D5)*10^9/3600)+D12</f>
        <v>2.7624065045403521</v>
      </c>
      <c r="E14" s="21">
        <f t="shared" si="0"/>
        <v>280.61782249337034</v>
      </c>
      <c r="F14" s="21"/>
      <c r="G14" s="21">
        <f t="shared" si="0"/>
        <v>56994.158907667952</v>
      </c>
      <c r="H14" s="21">
        <f t="shared" si="0"/>
        <v>9493.3769413488899</v>
      </c>
      <c r="I14" s="21"/>
      <c r="J14" s="21"/>
      <c r="K14" s="21"/>
      <c r="L14" s="21"/>
      <c r="M14" s="21">
        <f t="shared" si="0"/>
        <v>2892.194710760697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0.21442328262438437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0.1100474293259614</v>
      </c>
      <c r="C18" s="23"/>
      <c r="D18" s="23">
        <f t="shared" ref="D18:M18" si="1">D14*D16</f>
        <v>0.55800611391715116</v>
      </c>
      <c r="E18" s="23">
        <f t="shared" si="1"/>
        <v>63.700245705995073</v>
      </c>
      <c r="F18" s="23"/>
      <c r="G18" s="23">
        <f t="shared" si="1"/>
        <v>15217.440428347343</v>
      </c>
      <c r="H18" s="23">
        <f t="shared" si="1"/>
        <v>2363.8508583958737</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2.873771332884962E-3</v>
      </c>
      <c r="H50" s="320">
        <f t="shared" si="2"/>
        <v>0</v>
      </c>
      <c r="I50" s="320">
        <f t="shared" si="2"/>
        <v>0</v>
      </c>
      <c r="J50" s="320">
        <f t="shared" si="2"/>
        <v>0</v>
      </c>
      <c r="K50" s="320">
        <f t="shared" si="2"/>
        <v>0</v>
      </c>
      <c r="L50" s="320">
        <f t="shared" si="2"/>
        <v>0</v>
      </c>
      <c r="M50" s="320">
        <f t="shared" si="2"/>
        <v>1.222033237944661E-4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2.873771332884962E-3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1.222033237944661E-4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798.26981469026725</v>
      </c>
      <c r="H54" s="21">
        <f t="shared" si="3"/>
        <v>0</v>
      </c>
      <c r="I54" s="21">
        <f t="shared" si="3"/>
        <v>0</v>
      </c>
      <c r="J54" s="21">
        <f t="shared" si="3"/>
        <v>0</v>
      </c>
      <c r="K54" s="21">
        <f t="shared" si="3"/>
        <v>0</v>
      </c>
      <c r="L54" s="21">
        <f t="shared" si="3"/>
        <v>0</v>
      </c>
      <c r="M54" s="21">
        <f t="shared" si="3"/>
        <v>33.945367720685027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0.21442328262438437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213.13804052230137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1003.5508255184379</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1003.5508255184379</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2020-06-20T16:42:34Z</dcterms:modified>
</cp:coreProperties>
</file>