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11" i="16"/>
  <c r="C18" i="16"/>
  <c r="D4" i="48"/>
  <c r="D22" i="48" s="1"/>
  <c r="E11" i="14"/>
  <c r="C11" i="14"/>
  <c r="B4" i="48"/>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33" i="48" l="1"/>
  <c r="E15"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<sst xmlns="http://schemas.openxmlformats.org/spreadsheetml/2006/main" count="2513" uniqueCount="971">
  <si>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</si>
  <si>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</si>
  <si>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</si>
  <si>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</si>
  <si>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</si>
  <si>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</si>
  <si>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</si>
  <si>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</si>
  <si>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</si>
  <si>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</si>
  <si>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</si>
  <si>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</si>
  <si>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</si>
  <si>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</si>
  <si>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</si>
  <si>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</si>
  <si>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</si>
  <si>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</si>
  <si>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</si>
  <si>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</si>
  <si>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</si>
  <si>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</si>
  <si>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</si>
  <si>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</si>
  <si>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</si>
  <si>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</si>
  <si>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</si>
  <si>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</si>
  <si>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</si>
  <si>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</si>
  <si>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</si>
  <si>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</si>
  <si>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</si>
  <si>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</si>
  <si>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</si>
  <si>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</si>
  <si>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</si>
  <si>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</si>
  <si>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</si>
  <si>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</si>
  <si>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</si>
  <si>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</si>
  <si>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</si>
  <si>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</si>
  <si>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</si>
  <si>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</si>
  <si>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</si>
  <si>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</si>
  <si>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</si>
  <si>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</si>
  <si>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</si>
  <si>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</si>
  <si>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</si>
  <si>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</si>
  <si>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</si>
  <si>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</si>
  <si>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</si>
  <si>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</si>
  <si>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</si>
  <si>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</si>
  <si>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</si>
  <si>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</si>
  <si>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</si>
  <si>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</si>
  <si>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</si>
  <si>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</si>
  <si>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</si>
  <si>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</si>
  <si>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</si>
  <si>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</si>
  <si>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</si>
  <si>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</si>
  <si>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</si>
  <si>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</si>
  <si>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</si>
  <si>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</si>
  <si>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</si>
  <si>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</si>
  <si>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</si>
  <si>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</si>
  <si>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</si>
  <si>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</si>
  <si>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</si>
  <si>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</si>
  <si>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</si>
  <si>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</si>
  <si>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</si>
  <si>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</si>
  <si>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</si>
  <si>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</si>
  <si>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</si>
  <si>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</si>
  <si>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</si>
  <si>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</si>
  <si>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</si>
  <si>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</si>
  <si>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</si>
  <si>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</si>
  <si>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</si>
  <si>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</si>
  <si>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</si>
  <si>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</si>
  <si>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</si>
  <si>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</si>
  <si>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</si>
  <si>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</si>
  <si>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</si>
  <si>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</si>
  <si>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</si>
  <si>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</si>
  <si>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</si>
  <si>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</si>
  <si>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</si>
  <si>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</si>
  <si>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</si>
  <si>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</si>
  <si>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</si>
  <si>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</si>
  <si>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</si>
  <si>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</si>
  <si>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</si>
  <si>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</si>
  <si>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</si>
  <si>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</si>
  <si>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</si>
  <si>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</si>
  <si>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</si>
  <si>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</si>
  <si>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</si>
  <si>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</si>
  <si>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</si>
  <si>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</si>
  <si>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</si>
  <si>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</si>
  <si>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</si>
  <si>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</si>
  <si>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</si>
  <si>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</si>
  <si>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</si>
  <si>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</si>
  <si>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</si>
  <si>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</si>
  <si>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</si>
  <si>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</si>
  <si>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</si>
  <si>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</si>
  <si>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</si>
  <si>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</si>
  <si>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</si>
  <si>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</si>
  <si>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</si>
  <si>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</si>
  <si>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</si>
  <si>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</si>
  <si>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</si>
  <si>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</si>
  <si>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</si>
  <si>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</si>
  <si>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</si>
  <si>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</si>
  <si>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</si>
  <si>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</si>
  <si>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</si>
  <si>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</si>
  <si>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</si>
  <si>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</si>
  <si>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</si>
  <si>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</si>
  <si>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</si>
  <si>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</si>
  <si>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</si>
  <si>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</si>
  <si>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</si>
  <si>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</si>
  <si>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</si>
  <si>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</si>
  <si>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</si>
  <si>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</si>
  <si>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</si>
  <si>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</si>
  <si>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</si>
  <si>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</si>
  <si>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</si>
  <si>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</si>
  <si>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</si>
  <si>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</si>
  <si>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</si>
  <si>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</si>
  <si>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</si>
  <si>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</si>
  <si>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</si>
  <si>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</si>
  <si>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</si>
  <si>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</si>
  <si>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</si>
  <si>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</si>
  <si>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</si>
  <si>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</si>
  <si>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</si>
  <si>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</si>
  <si>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</si>
  <si>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</si>
  <si>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</si>
  <si>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</si>
  <si>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</si>
  <si>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</si>
  <si>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</si>
  <si>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</si>
  <si>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</si>
  <si>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</si>
  <si>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</si>
  <si>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</si>
  <si>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</si>
  <si>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</si>
  <si>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</si>
  <si>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</si>
  <si>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</si>
  <si>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</si>
  <si>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</si>
  <si>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</si>
  <si>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</si>
  <si>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</si>
  <si>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</si>
  <si>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</si>
  <si>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</si>
  <si>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</si>
  <si>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</si>
  <si>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</si>
  <si>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</si>
  <si>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</si>
  <si>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</si>
  <si>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</si>
  <si>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</si>
  <si>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</si>
  <si>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</si>
  <si>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</si>
  <si>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</si>
  <si>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</si>
  <si>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</si>
  <si>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</si>
  <si>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</si>
  <si>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</si>
  <si>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</si>
  <si>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</si>
  <si>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</si>
  <si>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</si>
  <si>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</si>
  <si>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</si>
  <si>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</si>
  <si>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</si>
  <si>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</si>
  <si>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</si>
  <si>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</si>
  <si>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</si>
  <si>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</si>
  <si>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</si>
  <si>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</si>
  <si>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</si>
  <si>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</si>
  <si>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</si>
  <si>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</si>
  <si>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</si>
  <si>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</si>
  <si>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</si>
  <si>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</si>
  <si>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</si>
  <si>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</si>
  <si>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</si>
  <si>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</si>
  <si>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</si>
  <si>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</si>
  <si>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</si>
  <si>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</si>
  <si>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</si>
  <si>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</si>
  <si>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</si>
  <si>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</si>
  <si>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</si>
  <si>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</si>
  <si>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</si>
  <si>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</si>
  <si>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</si>
  <si>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</si>
  <si>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</si>
  <si>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</si>
  <si>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</si>
  <si>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</si>
  <si>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</si>
  <si>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</si>
  <si>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</si>
  <si>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</si>
  <si>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</si>
  <si>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</si>
  <si>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</si>
  <si>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</si>
  <si>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</si>
  <si>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</si>
  <si>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</si>
  <si>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</si>
  <si>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</si>
  <si>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</si>
  <si>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</si>
  <si>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</si>
  <si>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</si>
  <si>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</si>
  <si>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</si>
  <si>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</si>
  <si>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</si>
  <si>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</si>
  <si>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</si>
  <si>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</si>
  <si>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</si>
  <si>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</si>
  <si>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</si>
  <si>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</si>
  <si>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</si>
  <si>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</si>
  <si>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</si>
  <si>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</si>
  <si>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</si>
  <si>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</si>
  <si>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</si>
  <si>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</si>
  <si>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</si>
  <si>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</si>
  <si>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</si>
  <si>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</si>
  <si>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</si>
  <si>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</si>
  <si>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</si>
  <si>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</si>
  <si>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</si>
  <si>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</si>
  <si>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</si>
  <si>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</si>
  <si>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</si>
  <si>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</si>
  <si>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</si>
  <si>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</si>
  <si>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</si>
  <si>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</si>
  <si>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</si>
  <si>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</si>
  <si>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</si>
  <si>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</si>
  <si>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</si>
  <si>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</si>
  <si>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</si>
  <si>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</si>
  <si>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</si>
  <si>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</si>
  <si>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</si>
  <si>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</si>
  <si>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</si>
  <si>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</si>
  <si>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</si>
  <si>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</si>
  <si>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</si>
  <si>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</si>
  <si>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</si>
  <si>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</si>
  <si>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</si>
  <si>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</si>
  <si>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</si>
  <si>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</si>
  <si>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</si>
  <si>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</si>
  <si>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</si>
  <si>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</si>
  <si>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</si>
  <si>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</si>
  <si>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</si>
  <si>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</si>
  <si>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</si>
  <si>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</si>
  <si>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</si>
  <si>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</si>
  <si>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</si>
  <si>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</si>
  <si>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</si>
  <si>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</si>
  <si>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</si>
  <si>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</si>
  <si>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</si>
  <si>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</si>
  <si>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</si>
  <si>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</si>
  <si>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</si>
  <si>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</si>
  <si>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</si>
  <si>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</si>
  <si>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</si>
  <si>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</si>
  <si>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</si>
  <si>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</si>
  <si>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</si>
  <si>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</si>
  <si>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</si>
  <si>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</si>
  <si>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</si>
  <si>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</si>
  <si>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</si>
  <si>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</si>
  <si>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</si>
  <si>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</si>
  <si>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</si>
  <si>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</si>
  <si>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</si>
  <si>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</si>
  <si>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</si>
  <si>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</si>
  <si>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</si>
  <si>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</si>
  <si>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</si>
  <si>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</si>
  <si>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</si>
  <si>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</si>
  <si>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</si>
  <si>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</si>
  <si>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</si>
  <si>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</si>
  <si>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</si>
  <si>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</si>
  <si>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</si>
  <si>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</si>
  <si>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</si>
  <si>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</si>
  <si>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</si>
  <si>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</si>
  <si>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</si>
  <si>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</si>
  <si>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</si>
  <si>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</si>
  <si>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</si>
  <si>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</si>
  <si>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</si>
  <si>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</si>
  <si>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</si>
  <si>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</si>
  <si>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</si>
  <si>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</si>
  <si>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</si>
  <si>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</si>
  <si>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</si>
  <si>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</si>
  <si>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</si>
  <si>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</si>
  <si>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</si>
  <si>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</si>
  <si>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</si>
  <si>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</si>
  <si>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</si>
  <si>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</si>
  <si>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</si>
  <si>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</si>
  <si>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</si>
  <si>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</si>
  <si>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</si>
  <si>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</si>
  <si>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</si>
  <si>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</si>
  <si>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</si>
  <si>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</si>
  <si>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</si>
  <si>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</si>
  <si>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</si>
  <si>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</si>
  <si>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</si>
  <si>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</si>
  <si>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</si>
  <si>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</si>
  <si>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</si>
  <si>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</si>
  <si>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</si>
  <si>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</si>
  <si>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</si>
  <si>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</si>
  <si>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</si>
  <si>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</si>
  <si>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</si>
  <si>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</si>
  <si>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</si>
  <si>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</si>
  <si>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</si>
  <si>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</si>
  <si>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</si>
  <si>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</si>
  <si>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</si>
  <si>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</si>
  <si>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</si>
  <si>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</si>
  <si>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</si>
  <si>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</si>
  <si>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</si>
  <si>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</si>
  <si>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</si>
  <si>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</si>
  <si>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</si>
  <si>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</si>
  <si>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</si>
  <si>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</si>
  <si>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</si>
  <si>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</si>
  <si>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</si>
  <si>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</si>
  <si>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</si>
  <si>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</si>
  <si>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</si>
  <si>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</si>
  <si>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</si>
  <si>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</si>
  <si>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</si>
  <si>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</si>
  <si>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</si>
  <si>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</si>
  <si>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</si>
  <si>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</si>
  <si>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</si>
  <si>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</si>
  <si>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</si>
  <si>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</si>
  <si>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</si>
  <si>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</si>
  <si>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</si>
  <si>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</si>
  <si>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</si>
  <si>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</si>
  <si>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</si>
  <si>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</si>
  <si>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</si>
  <si>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</si>
  <si>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</si>
  <si>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</si>
  <si>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</si>
  <si>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</si>
  <si>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</si>
  <si>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</si>
  <si>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</si>
  <si>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</si>
  <si>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</si>
  <si>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</si>
  <si>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</si>
  <si>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</si>
  <si>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</si>
  <si>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</si>
  <si>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</si>
  <si>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</si>
  <si>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</si>
  <si>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</si>
  <si>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</si>
  <si>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</si>
  <si>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</si>
  <si>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</si>
  <si>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</si>
  <si>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</si>
  <si>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</si>
  <si>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</si>
  <si>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</si>
  <si>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</si>
  <si>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</si>
  <si>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</si>
  <si>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</si>
  <si>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</si>
  <si>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</si>
  <si>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</si>
  <si>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</si>
  <si>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</si>
  <si>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</si>
  <si>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</si>
  <si>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</si>
  <si>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</si>
  <si>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</si>
  <si>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</si>
  <si>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</si>
  <si>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</si>
  <si>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</si>
  <si>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</si>
  <si>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</si>
  <si>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</si>
  <si>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</si>
  <si>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</si>
  <si>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</si>
  <si>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</si>
  <si>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</si>
  <si>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</si>
  <si>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</si>
  <si>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</si>
  <si>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</si>
  <si>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</si>
  <si>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</si>
  <si>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</si>
  <si>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</si>
  <si>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</si>
  <si>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</si>
  <si>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</si>
  <si>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</si>
  <si>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</si>
  <si>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</si>
  <si>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</si>
  <si>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</si>
  <si>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</si>
  <si>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</si>
  <si>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</si>
  <si>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</si>
  <si>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</si>
  <si>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</si>
  <si>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</si>
  <si>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</si>
  <si>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</si>
  <si>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</si>
  <si>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</si>
  <si>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</si>
  <si>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</si>
  <si>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</si>
  <si>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</si>
  <si>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</si>
  <si>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</si>
  <si>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</si>
  <si>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</si>
  <si>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</si>
  <si>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</si>
  <si>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</si>
  <si>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</si>
  <si>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</si>
  <si>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</si>
  <si>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</si>
  <si>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</si>
  <si>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</si>
  <si>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</si>
  <si>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</si>
  <si>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</si>
  <si>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</si>
  <si>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</si>
  <si>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</si>
  <si>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</si>
  <si>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</si>
  <si>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</si>
  <si>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</si>
  <si>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</si>
  <si>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</si>
  <si>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</si>
  <si>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</si>
  <si>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</si>
  <si>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</si>
  <si>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</si>
  <si>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</si>
  <si>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</si>
  <si>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</si>
  <si>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</si>
  <si>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</si>
  <si>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</si>
  <si>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</si>
  <si>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</si>
  <si>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</si>
  <si>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</si>
  <si>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</si>
  <si>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</si>
  <si>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</si>
  <si>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</si>
  <si>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</si>
  <si>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</si>
  <si>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</si>
  <si>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</si>
  <si>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</si>
  <si>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</si>
  <si>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</si>
  <si>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</si>
  <si>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</si>
  <si>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</si>
  <si>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</si>
  <si>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</si>
  <si>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</si>
  <si>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</si>
  <si>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</si>
  <si>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</si>
  <si>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</si>
  <si>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</si>
  <si>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</si>
  <si>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</si>
  <si>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</si>
  <si>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</si>
  <si>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</si>
  <si>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</si>
  <si>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</si>
  <si>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</si>
  <si>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</si>
  <si>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</si>
  <si>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</si>
  <si>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</si>
  <si>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</si>
  <si>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</si>
  <si>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</si>
  <si>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</si>
  <si>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</si>
  <si>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</si>
  <si>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</si>
  <si>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</si>
  <si>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</si>
  <si>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</si>
  <si>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</si>
  <si>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</si>
  <si>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</si>
  <si>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</si>
  <si>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</si>
  <si>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</si>
  <si>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</si>
  <si>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</si>
  <si>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</si>
  <si>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</si>
  <si>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</si>
  <si>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</si>
  <si>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</si>
  <si>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</si>
  <si>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</si>
  <si>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</si>
  <si>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</si>
  <si>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</si>
  <si>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</si>
  <si>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</si>
  <si>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</si>
  <si>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</si>
  <si>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</si>
  <si>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</si>
  <si>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</si>
  <si>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</si>
  <si>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</si>
  <si>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</si>
  <si>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</si>
  <si>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</si>
  <si>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</si>
  <si>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</si>
  <si>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</si>
  <si>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</si>
  <si>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</si>
  <si>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</si>
  <si>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</si>
  <si>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</si>
  <si>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</si>
  <si>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</si>
  <si>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</si>
  <si>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</si>
  <si>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</si>
  <si>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</si>
  <si>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</si>
  <si>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</si>
  <si>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</si>
  <si>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</si>
  <si>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</si>
  <si>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</si>
  <si>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</si>
  <si>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</si>
  <si>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</si>
  <si>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</si>
  <si>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</si>
  <si>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</si>
  <si>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</si>
  <si>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</si>
  <si>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</si>
  <si>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</si>
  <si>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</si>
  <si>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</si>
  <si>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</si>
  <si>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</si>
  <si>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</si>
  <si>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</si>
  <si>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</si>
  <si>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</si>
  <si>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</si>
  <si>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</si>
  <si>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</si>
  <si>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</si>
  <si>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</si>
  <si>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</si>
  <si>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</si>
  <si>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</si>
  <si>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</si>
  <si>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</si>
  <si>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</si>
  <si>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</si>
  <si>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</si>
  <si>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</si>
  <si>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</si>
  <si>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</si>
  <si>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</si>
  <si>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</si>
  <si>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</si>
  <si>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</si>
  <si>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</si>
  <si>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</si>
  <si>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</si>
  <si>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</si>
  <si>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</si>
  <si>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</si>
  <si>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</si>
  <si>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</si>
  <si>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</si>
  <si>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</si>
  <si>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</si>
  <si>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</si>
  <si>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</si>
  <si>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</si>
  <si>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</si>
  <si>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</si>
  <si>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</si>
  <si>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</si>
  <si>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</si>
  <si>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</si>
  <si>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</si>
  <si>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</si>
  <si>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</si>
  <si>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</si>
  <si>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</si>
  <si>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</si>
  <si>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</si>
  <si>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</si>
  <si>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</si>
  <si>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</si>
  <si>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</si>
  <si>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</si>
  <si>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</si>
  <si>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</si>
  <si>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</si>
  <si>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</si>
  <si>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</si>
  <si>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</si>
  <si>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</si>
  <si>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</si>
  <si>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</si>
  <si>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</si>
  <si>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</si>
  <si>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</si>
  <si>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</si>
  <si>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</si>
  <si>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</si>
  <si>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</si>
  <si>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</si>
  <si>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</si>
  <si>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</si>
  <si>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</si>
  <si>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</si>
  <si>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</si>
  <si>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</si>
  <si>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</si>
  <si>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</si>
  <si>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</si>
  <si>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</si>
  <si>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</si>
  <si>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</si>
  <si>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</si>
  <si>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</si>
  <si>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</si>
  <si>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</si>
  <si>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</si>
  <si>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</si>
  <si>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</si>
  <si>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</si>
  <si>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</si>
  <si>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</si>
  <si>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</si>
  <si>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</si>
  <si>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</si>
  <si>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</si>
  <si>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</si>
  <si>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</si>
  <si>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</si>
  <si>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</si>
  <si>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</si>
  <si>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</si>
  <si>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</si>
  <si>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</si>
  <si>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</si>
  <si>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</si>
  <si>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</si>
  <si>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</si>
  <si>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</si>
  <si>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</si>
  <si>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</si>
  <si>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</si>
  <si>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</si>
  <si>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</si>
  <si>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</si>
  <si>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</si>
  <si>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</si>
  <si>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</si>
  <si>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</si>
  <si>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</si>
  <si>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</si>
  <si>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</si>
  <si>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</si>
  <si>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</si>
  <si>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</si>
  <si>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</si>
  <si>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</si>
  <si>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</si>
  <si>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</si>
  <si>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</si>
  <si>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</si>
  <si>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</si>
  <si>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</si>
  <si>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</si>
  <si>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</si>
  <si>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</si>
  <si>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</si>
  <si>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</si>
  <si>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</si>
  <si>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</si>
  <si>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</si>
  <si>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</si>
  <si>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</si>
  <si>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</si>
  <si>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</si>
  <si>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</si>
  <si>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</si>
  <si>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</si>
  <si>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</si>
  <si>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</si>
  <si>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</si>
  <si>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</si>
  <si>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</si>
  <si>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</si>
  <si>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</si>
  <si>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</si>
  <si>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</si>
  <si>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</si>
  <si>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</si>
  <si>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</si>
  <si>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</si>
  <si>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</si>
  <si>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</si>
  <si>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</si>
  <si>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</si>
  <si>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</si>
  <si>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</si>
  <si>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</si>
  <si>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</si>
  <si>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</si>
  <si>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</si>
  <si>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</si>
  <si>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</si>
  <si>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</si>
  <si>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</si>
  <si>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</si>
  <si>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</si>
  <si>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</si>
  <si>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</si>
  <si>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</si>
  <si>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</si>
  <si>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</si>
  <si>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</si>
  <si>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</si>
  <si>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</si>
  <si>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</si>
  <si>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</si>
  <si>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</si>
  <si>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</si>
  <si>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</si>
  <si>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</si>
  <si>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</si>
  <si>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</si>
  <si>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</si>
  <si>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</si>
  <si>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</si>
  <si>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</si>
  <si>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</si>
  <si>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34043</t>
  </si>
  <si>
    <t>SPIERE-HELKIJN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</si>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</sst>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34043</v>
      </c>
      <c r="B6" s="394"/>
      <c r="C6" s="395"/>
    </row>
    <row r="7" spans="1:7" s="392" customFormat="1" ht="15.75" customHeight="1">
      <c r="A7" s="396" t="str">
        <f>txtMunicipality</f>
        <v>SPIERE-HELKIJN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2390.8225545559285</v>
      </c>
      <c r="D10" s="684">
        <f ca="1">tertiair!C16</f>
        <v>0</v>
      </c>
      <c r="E10" s="684">
        <f ca="1">tertiair!D16</f>
        <v>739.29508634349463</v>
      </c>
      <c r="F10" s="684">
        <f>tertiair!E16</f>
        <v>37.316703742712676</v>
      </c>
      <c r="G10" s="684">
        <f ca="1">tertiair!F16</f>
        <v>463.76229728050862</v>
      </c>
      <c r="H10" s="684">
        <f>tertiair!G16</f>
        <v>0</v>
      </c>
      <c r="I10" s="684">
        <f>tertiair!H16</f>
        <v>0</v>
      </c>
      <c r="J10" s="684">
        <f>tertiair!I16</f>
        <v>0</v>
      </c>
      <c r="K10" s="684">
        <f>tertiair!J16</f>
        <v>0</v>
      </c>
      <c r="L10" s="684">
        <f>tertiair!K16</f>
        <v>0</v>
      </c>
      <c r="M10" s="684">
        <f ca="1">tertiair!L16</f>
        <v>0</v>
      </c>
      <c r="N10" s="684">
        <f>tertiair!M16</f>
        <v>0</v>
      </c>
      <c r="O10" s="684">
        <f ca="1">tertiair!N16</f>
        <v>100.06966228458177</v>
      </c>
      <c r="P10" s="684">
        <f>tertiair!O16</f>
        <v>0</v>
      </c>
      <c r="Q10" s="685">
        <f>tertiair!P16</f>
        <v>0</v>
      </c>
      <c r="R10" s="687">
        <f ca="1">SUM(C10:Q10)</f>
        <v>3731.2663042072263</v>
      </c>
      <c r="S10" s="67"/>
    </row>
    <row r="11" spans="1:19" s="453" customFormat="1">
      <c r="A11" s="799" t="s">
        <v>224</v>
      </c>
      <c r="B11" s="804"/>
      <c r="C11" s="684">
        <f>huishoudens!B8</f>
        <v>3853.0405939928428</v>
      </c>
      <c r="D11" s="684">
        <f>huishoudens!C8</f>
        <v>0</v>
      </c>
      <c r="E11" s="684">
        <f>huishoudens!D8</f>
        <v>4916.3252942163645</v>
      </c>
      <c r="F11" s="684">
        <f>huishoudens!E8</f>
        <v>2810.789998805416</v>
      </c>
      <c r="G11" s="684">
        <f>huishoudens!F8</f>
        <v>5650.3812122135441</v>
      </c>
      <c r="H11" s="684">
        <f>huishoudens!G8</f>
        <v>0</v>
      </c>
      <c r="I11" s="684">
        <f>huishoudens!H8</f>
        <v>0</v>
      </c>
      <c r="J11" s="684">
        <f>huishoudens!I8</f>
        <v>0</v>
      </c>
      <c r="K11" s="684">
        <f>huishoudens!J8</f>
        <v>1105.3578713544944</v>
      </c>
      <c r="L11" s="684">
        <f>huishoudens!K8</f>
        <v>0</v>
      </c>
      <c r="M11" s="684">
        <f>huishoudens!L8</f>
        <v>0</v>
      </c>
      <c r="N11" s="684">
        <f>huishoudens!M8</f>
        <v>0</v>
      </c>
      <c r="O11" s="684">
        <f>huishoudens!N8</f>
        <v>2249.0010776522604</v>
      </c>
      <c r="P11" s="684">
        <f>huishoudens!O8</f>
        <v>7.8166666666666664</v>
      </c>
      <c r="Q11" s="685">
        <f>huishoudens!P8</f>
        <v>76.266666666666666</v>
      </c>
      <c r="R11" s="687">
        <f>SUM(C11:Q11)</f>
        <v>20668.979381568257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16135.256166383298</v>
      </c>
      <c r="D13" s="684">
        <f>industrie!C18</f>
        <v>0</v>
      </c>
      <c r="E13" s="684">
        <f>industrie!D18</f>
        <v>1223.7390503071654</v>
      </c>
      <c r="F13" s="684">
        <f>industrie!E18</f>
        <v>147.28837499496717</v>
      </c>
      <c r="G13" s="684">
        <f>industrie!F18</f>
        <v>3369.6818940104245</v>
      </c>
      <c r="H13" s="684">
        <f>industrie!G18</f>
        <v>0</v>
      </c>
      <c r="I13" s="684">
        <f>industrie!H18</f>
        <v>0</v>
      </c>
      <c r="J13" s="684">
        <f>industrie!I18</f>
        <v>0</v>
      </c>
      <c r="K13" s="684">
        <f>industrie!J18</f>
        <v>106.48901653893974</v>
      </c>
      <c r="L13" s="684">
        <f>industrie!K18</f>
        <v>0</v>
      </c>
      <c r="M13" s="684">
        <f>industrie!L18</f>
        <v>0</v>
      </c>
      <c r="N13" s="684">
        <f>industrie!M18</f>
        <v>0</v>
      </c>
      <c r="O13" s="684">
        <f>industrie!N18</f>
        <v>304.63543333454299</v>
      </c>
      <c r="P13" s="684">
        <f>industrie!O18</f>
        <v>0</v>
      </c>
      <c r="Q13" s="685">
        <f>industrie!P18</f>
        <v>0</v>
      </c>
      <c r="R13" s="687">
        <f>SUM(C13:Q13)</f>
        <v>21287.08993556934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22379.119314932068</v>
      </c>
      <c r="D16" s="717">
        <f t="shared" ref="D16:R16" ca="1" si="0">SUM(D9:D15)</f>
        <v>0</v>
      </c>
      <c r="E16" s="717">
        <f t="shared" ca="1" si="0"/>
        <v>6879.3594308670245</v>
      </c>
      <c r="F16" s="717">
        <f t="shared" si="0"/>
        <v>2995.3950775430958</v>
      </c>
      <c r="G16" s="717">
        <f t="shared" ca="1" si="0"/>
        <v>9483.8254035044774</v>
      </c>
      <c r="H16" s="717">
        <f t="shared" si="0"/>
        <v>0</v>
      </c>
      <c r="I16" s="717">
        <f t="shared" si="0"/>
        <v>0</v>
      </c>
      <c r="J16" s="717">
        <f t="shared" si="0"/>
        <v>0</v>
      </c>
      <c r="K16" s="717">
        <f t="shared" si="0"/>
        <v>1211.8468878934341</v>
      </c>
      <c r="L16" s="717">
        <f t="shared" si="0"/>
        <v>0</v>
      </c>
      <c r="M16" s="717">
        <f t="shared" ca="1" si="0"/>
        <v>0</v>
      </c>
      <c r="N16" s="717">
        <f t="shared" si="0"/>
        <v>0</v>
      </c>
      <c r="O16" s="717">
        <f t="shared" ca="1" si="0"/>
        <v>2653.7061732713851</v>
      </c>
      <c r="P16" s="717">
        <f t="shared" si="0"/>
        <v>7.8166666666666664</v>
      </c>
      <c r="Q16" s="717">
        <f t="shared" si="0"/>
        <v>76.266666666666666</v>
      </c>
      <c r="R16" s="717">
        <f t="shared" ca="1" si="0"/>
        <v>45687.335621344828</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303.70616585219244</v>
      </c>
      <c r="I19" s="684">
        <f>transport!H54</f>
        <v>0</v>
      </c>
      <c r="J19" s="684">
        <f>transport!I54</f>
        <v>0</v>
      </c>
      <c r="K19" s="684">
        <f>transport!J54</f>
        <v>0</v>
      </c>
      <c r="L19" s="684">
        <f>transport!K54</f>
        <v>0</v>
      </c>
      <c r="M19" s="684">
        <f>transport!L54</f>
        <v>0</v>
      </c>
      <c r="N19" s="684">
        <f>transport!M54</f>
        <v>12.9147028851293</v>
      </c>
      <c r="O19" s="684">
        <f>transport!N54</f>
        <v>0</v>
      </c>
      <c r="P19" s="684">
        <f>transport!O54</f>
        <v>0</v>
      </c>
      <c r="Q19" s="685">
        <f>transport!P54</f>
        <v>0</v>
      </c>
      <c r="R19" s="687">
        <f>SUM(C19:Q19)</f>
        <v>316.62086873732176</v>
      </c>
      <c r="S19" s="67"/>
    </row>
    <row r="20" spans="1:19" s="453" customFormat="1">
      <c r="A20" s="799" t="s">
        <v>306</v>
      </c>
      <c r="B20" s="804"/>
      <c r="C20" s="684">
        <f>transport!B14</f>
        <v>0.15972977149783746</v>
      </c>
      <c r="D20" s="684">
        <f>transport!C14</f>
        <v>0</v>
      </c>
      <c r="E20" s="684">
        <f>transport!D14</f>
        <v>0.7799024234950761</v>
      </c>
      <c r="F20" s="684">
        <f>transport!E14</f>
        <v>80.348446425645051</v>
      </c>
      <c r="G20" s="684">
        <f>transport!F14</f>
        <v>0</v>
      </c>
      <c r="H20" s="684">
        <f>transport!G14</f>
        <v>15809.303746695943</v>
      </c>
      <c r="I20" s="684">
        <f>transport!H14</f>
        <v>2711.8521603626941</v>
      </c>
      <c r="J20" s="684">
        <f>transport!I14</f>
        <v>0</v>
      </c>
      <c r="K20" s="684">
        <f>transport!J14</f>
        <v>0</v>
      </c>
      <c r="L20" s="684">
        <f>transport!K14</f>
        <v>0</v>
      </c>
      <c r="M20" s="684">
        <f>transport!L14</f>
        <v>0</v>
      </c>
      <c r="N20" s="684">
        <f>transport!M14</f>
        <v>805.86495843197929</v>
      </c>
      <c r="O20" s="684">
        <f>transport!N14</f>
        <v>0</v>
      </c>
      <c r="P20" s="684">
        <f>transport!O14</f>
        <v>0</v>
      </c>
      <c r="Q20" s="685">
        <f>transport!P14</f>
        <v>0</v>
      </c>
      <c r="R20" s="687">
        <f>SUM(C20:Q20)</f>
        <v>19408.308944111253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0.15972977149783746</v>
      </c>
      <c r="D22" s="802">
        <f t="shared" ref="D22:R22" si="1">SUM(D18:D21)</f>
        <v>0</v>
      </c>
      <c r="E22" s="802">
        <f t="shared" si="1"/>
        <v>0.7799024234950761</v>
      </c>
      <c r="F22" s="802">
        <f t="shared" si="1"/>
        <v>80.348446425645051</v>
      </c>
      <c r="G22" s="802">
        <f t="shared" si="1"/>
        <v>0</v>
      </c>
      <c r="H22" s="802">
        <f t="shared" si="1"/>
        <v>16113.009912548136</v>
      </c>
      <c r="I22" s="802">
        <f t="shared" si="1"/>
        <v>2711.8521603626941</v>
      </c>
      <c r="J22" s="802">
        <f t="shared" si="1"/>
        <v>0</v>
      </c>
      <c r="K22" s="802">
        <f t="shared" si="1"/>
        <v>0</v>
      </c>
      <c r="L22" s="802">
        <f t="shared" si="1"/>
        <v>0</v>
      </c>
      <c r="M22" s="802">
        <f t="shared" si="1"/>
        <v>0</v>
      </c>
      <c r="N22" s="802">
        <f t="shared" si="1"/>
        <v>818.77966131710855</v>
      </c>
      <c r="O22" s="802">
        <f t="shared" si="1"/>
        <v>0</v>
      </c>
      <c r="P22" s="802">
        <f t="shared" si="1"/>
        <v>0</v>
      </c>
      <c r="Q22" s="802">
        <f t="shared" si="1"/>
        <v>0</v>
      </c>
      <c r="R22" s="802">
        <f t="shared" si="1"/>
        <v>19724.929812848575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247.33319105774618</v>
      </c>
      <c r="D24" s="684">
        <f>+landbouw!C8</f>
        <v>0</v>
      </c>
      <c r="E24" s="684">
        <f>+landbouw!D8</f>
        <v>0</v>
      </c>
      <c r="F24" s="684">
        <f>+landbouw!E8</f>
        <v>2.5901267222090114</v>
      </c>
      <c r="G24" s="684">
        <f>+landbouw!F8</f>
        <v>1058.7739910392118</v>
      </c>
      <c r="H24" s="684">
        <f>+landbouw!G8</f>
        <v>0</v>
      </c>
      <c r="I24" s="684">
        <f>+landbouw!H8</f>
        <v>0</v>
      </c>
      <c r="J24" s="684">
        <f>+landbouw!I8</f>
        <v>0</v>
      </c>
      <c r="K24" s="684">
        <f>+landbouw!J8</f>
        <v>22.089070846667497</v>
      </c>
      <c r="L24" s="684">
        <f>+landbouw!K8</f>
        <v>0</v>
      </c>
      <c r="M24" s="684">
        <f>+landbouw!L8</f>
        <v>0</v>
      </c>
      <c r="N24" s="684">
        <f>+landbouw!M8</f>
        <v>0</v>
      </c>
      <c r="O24" s="684">
        <f>+landbouw!N8</f>
        <v>0</v>
      </c>
      <c r="P24" s="684">
        <f>+landbouw!O8</f>
        <v>0</v>
      </c>
      <c r="Q24" s="685">
        <f>+landbouw!P8</f>
        <v>0</v>
      </c>
      <c r="R24" s="687">
        <f>SUM(C24:Q24)</f>
        <v>1330.7863796658344</v>
      </c>
      <c r="S24" s="67"/>
    </row>
    <row r="25" spans="1:19" s="453" customFormat="1" ht="15" thickBot="1">
      <c r="A25" s="821" t="s">
        <v>912</v>
      </c>
      <c r="B25" s="978"/>
      <c r="C25" s="979">
        <f>IF(Onbekend_ele_kWh="---",0,Onbekend_ele_kWh)/1000+IF(REST_rest_ele_kWh="---",0,REST_rest_ele_kWh)/1000</f>
        <v>142.27228383736099</v>
      </c>
      <c r="D25" s="979"/>
      <c r="E25" s="979">
        <f>IF(onbekend_gas_kWh="---",0,onbekend_gas_kWh)/1000+IF(REST_rest_gas_kWh="---",0,REST_rest_gas_kWh)/1000</f>
        <v>162.05351788464102</v>
      </c>
      <c r="F25" s="979"/>
      <c r="G25" s="979"/>
      <c r="H25" s="979"/>
      <c r="I25" s="979"/>
      <c r="J25" s="979"/>
      <c r="K25" s="979"/>
      <c r="L25" s="979"/>
      <c r="M25" s="979"/>
      <c r="N25" s="979"/>
      <c r="O25" s="979"/>
      <c r="P25" s="979"/>
      <c r="Q25" s="980"/>
      <c r="R25" s="687">
        <f>SUM(C25:Q25)</f>
        <v>304.32580172200198</v>
      </c>
      <c r="S25" s="67"/>
    </row>
    <row r="26" spans="1:19" s="453" customFormat="1" ht="15.75" thickBot="1">
      <c r="A26" s="690" t="s">
        <v>913</v>
      </c>
      <c r="B26" s="807"/>
      <c r="C26" s="802">
        <f>SUM(C24:C25)</f>
        <v>389.60547489510714</v>
      </c>
      <c r="D26" s="802">
        <f t="shared" ref="D26:R26" si="2">SUM(D24:D25)</f>
        <v>0</v>
      </c>
      <c r="E26" s="802">
        <f t="shared" si="2"/>
        <v>162.05351788464102</v>
      </c>
      <c r="F26" s="802">
        <f t="shared" si="2"/>
        <v>2.5901267222090114</v>
      </c>
      <c r="G26" s="802">
        <f t="shared" si="2"/>
        <v>1058.7739910392118</v>
      </c>
      <c r="H26" s="802">
        <f t="shared" si="2"/>
        <v>0</v>
      </c>
      <c r="I26" s="802">
        <f t="shared" si="2"/>
        <v>0</v>
      </c>
      <c r="J26" s="802">
        <f t="shared" si="2"/>
        <v>0</v>
      </c>
      <c r="K26" s="802">
        <f t="shared" si="2"/>
        <v>22.089070846667497</v>
      </c>
      <c r="L26" s="802">
        <f t="shared" si="2"/>
        <v>0</v>
      </c>
      <c r="M26" s="802">
        <f t="shared" si="2"/>
        <v>0</v>
      </c>
      <c r="N26" s="802">
        <f t="shared" si="2"/>
        <v>0</v>
      </c>
      <c r="O26" s="802">
        <f t="shared" si="2"/>
        <v>0</v>
      </c>
      <c r="P26" s="802">
        <f t="shared" si="2"/>
        <v>0</v>
      </c>
      <c r="Q26" s="802">
        <f t="shared" si="2"/>
        <v>0</v>
      </c>
      <c r="R26" s="802">
        <f t="shared" si="2"/>
        <v>1635.1121813878362</v>
      </c>
      <c r="S26" s="67"/>
    </row>
    <row r="27" spans="1:19" s="453" customFormat="1" ht="17.25" thickTop="1" thickBot="1">
      <c r="A27" s="691" t="s">
        <v>115</v>
      </c>
      <c r="B27" s="794"/>
      <c r="C27" s="692">
        <f ca="1">C22+C16+C26</f>
        <v>22768.884519598672</v>
      </c>
      <c r="D27" s="692">
        <f t="shared" ref="D27:R27" ca="1" si="3">D22+D16+D26</f>
        <v>0</v>
      </c>
      <c r="E27" s="692">
        <f t="shared" ca="1" si="3"/>
        <v>7042.1928511751612</v>
      </c>
      <c r="F27" s="692">
        <f t="shared" si="3"/>
        <v>3078.3336506909495</v>
      </c>
      <c r="G27" s="692">
        <f t="shared" ca="1" si="3"/>
        <v>10542.599394543689</v>
      </c>
      <c r="H27" s="692">
        <f t="shared" si="3"/>
        <v>16113.009912548136</v>
      </c>
      <c r="I27" s="692">
        <f t="shared" si="3"/>
        <v>2711.8521603626941</v>
      </c>
      <c r="J27" s="692">
        <f t="shared" si="3"/>
        <v>0</v>
      </c>
      <c r="K27" s="692">
        <f t="shared" si="3"/>
        <v>1233.9359587401016</v>
      </c>
      <c r="L27" s="692">
        <f t="shared" si="3"/>
        <v>0</v>
      </c>
      <c r="M27" s="692">
        <f t="shared" ca="1" si="3"/>
        <v>0</v>
      </c>
      <c r="N27" s="692">
        <f t="shared" si="3"/>
        <v>818.77966131710855</v>
      </c>
      <c r="O27" s="692">
        <f t="shared" ca="1" si="3"/>
        <v>2653.7061732713851</v>
      </c>
      <c r="P27" s="692">
        <f t="shared" si="3"/>
        <v>7.8166666666666664</v>
      </c>
      <c r="Q27" s="692">
        <f t="shared" si="3"/>
        <v>76.266666666666666</v>
      </c>
      <c r="R27" s="692">
        <f t="shared" ca="1" si="3"/>
        <v>67047.377615581237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519.68465848745689</v>
      </c>
      <c r="D40" s="684">
        <f ca="1">tertiair!C20</f>
        <v>0</v>
      </c>
      <c r="E40" s="684">
        <f ca="1">tertiair!D20</f>
        <v>149.33760744138593</v>
      </c>
      <c r="F40" s="684">
        <f>tertiair!E20</f>
        <v>8.4708917495957774</v>
      </c>
      <c r="G40" s="684">
        <f ca="1">tertiair!F20</f>
        <v>123.8245333738958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801.31769105233434</v>
      </c>
    </row>
    <row r="41" spans="1:18">
      <c r="A41" s="812" t="s">
        <v>224</v>
      </c>
      <c r="B41" s="819"/>
      <c r="C41" s="684">
        <f ca="1">huishoudens!B12</f>
        <v>837.52183172765751</v>
      </c>
      <c r="D41" s="684">
        <f ca="1">huishoudens!C12</f>
        <v>0</v>
      </c>
      <c r="E41" s="684">
        <f>huishoudens!D12</f>
        <v>993.09770943170565</v>
      </c>
      <c r="F41" s="684">
        <f>huishoudens!E12</f>
        <v>638.04932972882943</v>
      </c>
      <c r="G41" s="684">
        <f>huishoudens!F12</f>
        <v>1508.6517836610165</v>
      </c>
      <c r="H41" s="684">
        <f>huishoudens!G12</f>
        <v>0</v>
      </c>
      <c r="I41" s="684">
        <f>huishoudens!H12</f>
        <v>0</v>
      </c>
      <c r="J41" s="684">
        <f>huishoudens!I12</f>
        <v>0</v>
      </c>
      <c r="K41" s="684">
        <f>huishoudens!J12</f>
        <v>391.29668645949096</v>
      </c>
      <c r="L41" s="684">
        <f>huishoudens!K12</f>
        <v>0</v>
      </c>
      <c r="M41" s="684">
        <f>huishoudens!L12</f>
        <v>0</v>
      </c>
      <c r="N41" s="684">
        <f>huishoudens!M12</f>
        <v>0</v>
      </c>
      <c r="O41" s="684">
        <f>huishoudens!N12</f>
        <v>0</v>
      </c>
      <c r="P41" s="684">
        <f>huishoudens!O12</f>
        <v>0</v>
      </c>
      <c r="Q41" s="759">
        <f>huishoudens!P12</f>
        <v>0</v>
      </c>
      <c r="R41" s="840">
        <f t="shared" ca="1" si="4"/>
        <v>4368.6173410086994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3507.2636714321166</v>
      </c>
      <c r="D43" s="684">
        <f ca="1">industrie!C22</f>
        <v>0</v>
      </c>
      <c r="E43" s="684">
        <f>industrie!D22</f>
        <v>247.19528816204743</v>
      </c>
      <c r="F43" s="684">
        <f>industrie!E22</f>
        <v>33.434461123857552</v>
      </c>
      <c r="G43" s="684">
        <f>industrie!F22</f>
        <v>899.70506570078339</v>
      </c>
      <c r="H43" s="684">
        <f>industrie!G22</f>
        <v>0</v>
      </c>
      <c r="I43" s="684">
        <f>industrie!H22</f>
        <v>0</v>
      </c>
      <c r="J43" s="684">
        <f>industrie!I22</f>
        <v>0</v>
      </c>
      <c r="K43" s="684">
        <f>industrie!J22</f>
        <v>37.697111854784666</v>
      </c>
      <c r="L43" s="684">
        <f>industrie!K22</f>
        <v>0</v>
      </c>
      <c r="M43" s="684">
        <f>industrie!L22</f>
        <v>0</v>
      </c>
      <c r="N43" s="684">
        <f>industrie!M22</f>
        <v>0</v>
      </c>
      <c r="O43" s="684">
        <f>industrie!N22</f>
        <v>0</v>
      </c>
      <c r="P43" s="684">
        <f>industrie!O22</f>
        <v>0</v>
      </c>
      <c r="Q43" s="759">
        <f>industrie!P22</f>
        <v>0</v>
      </c>
      <c r="R43" s="839">
        <f t="shared" ca="1" si="4"/>
        <v>4725.2955982735893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4864.4701616472312</v>
      </c>
      <c r="D46" s="717">
        <f t="shared" ref="D46:Q46" ca="1" si="5">SUM(D39:D45)</f>
        <v>0</v>
      </c>
      <c r="E46" s="717">
        <f t="shared" ca="1" si="5"/>
        <v>1389.6306050351391</v>
      </c>
      <c r="F46" s="717">
        <f t="shared" si="5"/>
        <v>679.95468260228279</v>
      </c>
      <c r="G46" s="717">
        <f t="shared" ca="1" si="5"/>
        <v>2532.1813827356955</v>
      </c>
      <c r="H46" s="717">
        <f t="shared" si="5"/>
        <v>0</v>
      </c>
      <c r="I46" s="717">
        <f t="shared" si="5"/>
        <v>0</v>
      </c>
      <c r="J46" s="717">
        <f t="shared" si="5"/>
        <v>0</v>
      </c>
      <c r="K46" s="717">
        <f t="shared" si="5"/>
        <v>428.99379831427564</v>
      </c>
      <c r="L46" s="717">
        <f t="shared" si="5"/>
        <v>0</v>
      </c>
      <c r="M46" s="717">
        <f t="shared" ca="1" si="5"/>
        <v>0</v>
      </c>
      <c r="N46" s="717">
        <f t="shared" si="5"/>
        <v>0</v>
      </c>
      <c r="O46" s="717">
        <f t="shared" ca="1" si="5"/>
        <v>0</v>
      </c>
      <c r="P46" s="717">
        <f t="shared" si="5"/>
        <v>0</v>
      </c>
      <c r="Q46" s="717">
        <f t="shared" si="5"/>
        <v>0</v>
      </c>
      <c r="R46" s="717">
        <f ca="1">SUM(R39:R45)</f>
        <v>9895.2306303346231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81.08954628253538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81.08954628253538</v>
      </c>
    </row>
    <row r="50" spans="1:18">
      <c r="A50" s="815" t="s">
        <v>306</v>
      </c>
      <c r="B50" s="825"/>
      <c r="C50" s="985">
        <f ca="1">transport!B18</f>
        <v>3.4719896544790338E-2</v>
      </c>
      <c r="D50" s="985">
        <f>transport!C18</f>
        <v>0</v>
      </c>
      <c r="E50" s="985">
        <f>transport!D18</f>
        <v>0.15754028954600538</v>
      </c>
      <c r="F50" s="985">
        <f>transport!E18</f>
        <v>18.239097338621427</v>
      </c>
      <c r="G50" s="985">
        <f>transport!F18</f>
        <v>0</v>
      </c>
      <c r="H50" s="985">
        <f>transport!G18</f>
        <v>4221.084100367817</v>
      </c>
      <c r="I50" s="985">
        <f>transport!H18</f>
        <v>675.25118793031083</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4914.7666458228405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3.4719896544790338E-2</v>
      </c>
      <c r="D52" s="717">
        <f t="shared" ref="D52:Q52" ca="1" si="6">SUM(D48:D51)</f>
        <v>0</v>
      </c>
      <c r="E52" s="717">
        <f t="shared" si="6"/>
        <v>0.15754028954600538</v>
      </c>
      <c r="F52" s="717">
        <f t="shared" si="6"/>
        <v>18.239097338621427</v>
      </c>
      <c r="G52" s="717">
        <f t="shared" si="6"/>
        <v>0</v>
      </c>
      <c r="H52" s="717">
        <f t="shared" si="6"/>
        <v>4302.1736466503526</v>
      </c>
      <c r="I52" s="717">
        <f t="shared" si="6"/>
        <v>675.25118793031083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4995.8561921053761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53.761942592737462</v>
      </c>
      <c r="D54" s="985">
        <f ca="1">+landbouw!C12</f>
        <v>0</v>
      </c>
      <c r="E54" s="985">
        <f>+landbouw!D12</f>
        <v>0</v>
      </c>
      <c r="F54" s="985">
        <f>+landbouw!E12</f>
        <v>0.58795876594144558</v>
      </c>
      <c r="G54" s="985">
        <f>+landbouw!F12</f>
        <v>282.69265560746953</v>
      </c>
      <c r="H54" s="985">
        <f>+landbouw!G12</f>
        <v>0</v>
      </c>
      <c r="I54" s="985">
        <f>+landbouw!H12</f>
        <v>0</v>
      </c>
      <c r="J54" s="985">
        <f>+landbouw!I12</f>
        <v>0</v>
      </c>
      <c r="K54" s="985">
        <f>+landbouw!J12</f>
        <v>7.819531079720293</v>
      </c>
      <c r="L54" s="985">
        <f>+landbouw!K12</f>
        <v>0</v>
      </c>
      <c r="M54" s="985">
        <f>+landbouw!L12</f>
        <v>0</v>
      </c>
      <c r="N54" s="985">
        <f>+landbouw!M12</f>
        <v>0</v>
      </c>
      <c r="O54" s="985">
        <f>+landbouw!N12</f>
        <v>0</v>
      </c>
      <c r="P54" s="985">
        <f>+landbouw!O12</f>
        <v>0</v>
      </c>
      <c r="Q54" s="986">
        <f>+landbouw!P12</f>
        <v>0</v>
      </c>
      <c r="R54" s="716">
        <f ca="1">SUM(C54:Q54)</f>
        <v>344.86208804586875</v>
      </c>
    </row>
    <row r="55" spans="1:18" ht="15" thickBot="1">
      <c r="A55" s="815" t="s">
        <v>912</v>
      </c>
      <c r="B55" s="825"/>
      <c r="C55" s="985">
        <f ca="1">C25*'EF ele_warmte'!B12</f>
        <v>30.925224081292178</v>
      </c>
      <c r="D55" s="985"/>
      <c r="E55" s="985">
        <f>E25*EF_CO2_aardgas</f>
        <v>32.734810612697487</v>
      </c>
      <c r="F55" s="985"/>
      <c r="G55" s="985"/>
      <c r="H55" s="985"/>
      <c r="I55" s="985"/>
      <c r="J55" s="985"/>
      <c r="K55" s="985"/>
      <c r="L55" s="985"/>
      <c r="M55" s="985"/>
      <c r="N55" s="985"/>
      <c r="O55" s="985"/>
      <c r="P55" s="985"/>
      <c r="Q55" s="986"/>
      <c r="R55" s="716">
        <f ca="1">SUM(C55:Q55)</f>
        <v>63.660034693989665</v>
      </c>
    </row>
    <row r="56" spans="1:18" ht="15.75" thickBot="1">
      <c r="A56" s="813" t="s">
        <v>913</v>
      </c>
      <c r="B56" s="826"/>
      <c r="C56" s="717">
        <f ca="1">SUM(C54:C55)</f>
        <v>84.68716667402964</v>
      </c>
      <c r="D56" s="717">
        <f t="shared" ref="D56:Q56" ca="1" si="7">SUM(D54:D55)</f>
        <v>0</v>
      </c>
      <c r="E56" s="717">
        <f t="shared" si="7"/>
        <v>32.734810612697487</v>
      </c>
      <c r="F56" s="717">
        <f t="shared" si="7"/>
        <v>0.58795876594144558</v>
      </c>
      <c r="G56" s="717">
        <f t="shared" si="7"/>
        <v>282.69265560746953</v>
      </c>
      <c r="H56" s="717">
        <f t="shared" si="7"/>
        <v>0</v>
      </c>
      <c r="I56" s="717">
        <f t="shared" si="7"/>
        <v>0</v>
      </c>
      <c r="J56" s="717">
        <f t="shared" si="7"/>
        <v>0</v>
      </c>
      <c r="K56" s="717">
        <f t="shared" si="7"/>
        <v>7.819531079720293</v>
      </c>
      <c r="L56" s="717">
        <f t="shared" si="7"/>
        <v>0</v>
      </c>
      <c r="M56" s="717">
        <f t="shared" si="7"/>
        <v>0</v>
      </c>
      <c r="N56" s="717">
        <f t="shared" si="7"/>
        <v>0</v>
      </c>
      <c r="O56" s="717">
        <f t="shared" si="7"/>
        <v>0</v>
      </c>
      <c r="P56" s="717">
        <f t="shared" si="7"/>
        <v>0</v>
      </c>
      <c r="Q56" s="718">
        <f t="shared" si="7"/>
        <v>0</v>
      </c>
      <c r="R56" s="719">
        <f ca="1">SUM(R54:R55)</f>
        <v>408.52212273985839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4949.1920482178057</v>
      </c>
      <c r="D61" s="725">
        <f t="shared" ref="D61:Q61" ca="1" si="8">D46+D52+D56</f>
        <v>0</v>
      </c>
      <c r="E61" s="725">
        <f t="shared" ca="1" si="8"/>
        <v>1422.5229559373824</v>
      </c>
      <c r="F61" s="725">
        <f t="shared" si="8"/>
        <v>698.78173870684566</v>
      </c>
      <c r="G61" s="725">
        <f t="shared" ca="1" si="8"/>
        <v>2814.874038343165</v>
      </c>
      <c r="H61" s="725">
        <f t="shared" si="8"/>
        <v>4302.1736466503526</v>
      </c>
      <c r="I61" s="725">
        <f t="shared" si="8"/>
        <v>675.25118793031083</v>
      </c>
      <c r="J61" s="725">
        <f t="shared" si="8"/>
        <v>0</v>
      </c>
      <c r="K61" s="725">
        <f t="shared" si="8"/>
        <v>436.81332939399596</v>
      </c>
      <c r="L61" s="725">
        <f t="shared" si="8"/>
        <v>0</v>
      </c>
      <c r="M61" s="725">
        <f t="shared" ca="1" si="8"/>
        <v>0</v>
      </c>
      <c r="N61" s="725">
        <f t="shared" si="8"/>
        <v>0</v>
      </c>
      <c r="O61" s="725">
        <f t="shared" ca="1" si="8"/>
        <v>0</v>
      </c>
      <c r="P61" s="725">
        <f t="shared" si="8"/>
        <v>0</v>
      </c>
      <c r="Q61" s="725">
        <f t="shared" si="8"/>
        <v>0</v>
      </c>
      <c r="R61" s="725">
        <f ca="1">R46+R52+R56</f>
        <v>15299.608945179858</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0.21736646975207377</v>
      </c>
      <c r="D63" s="769">
        <f t="shared" ca="1" si="9"/>
        <v>0</v>
      </c>
      <c r="E63" s="98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374.35036476697547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374.35036476697547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3853.0405939928428</v>
      </c>
      <c r="C4" s="457">
        <f>huishoudens!C8</f>
        <v>0</v>
      </c>
      <c r="D4" s="457">
        <f>huishoudens!D8</f>
        <v>4916.3252942163645</v>
      </c>
      <c r="E4" s="457">
        <f>huishoudens!E8</f>
        <v>2810.789998805416</v>
      </c>
      <c r="F4" s="457">
        <f>huishoudens!F8</f>
        <v>5650.3812122135441</v>
      </c>
      <c r="G4" s="457">
        <f>huishoudens!G8</f>
        <v>0</v>
      </c>
      <c r="H4" s="457">
        <f>huishoudens!H8</f>
        <v>0</v>
      </c>
      <c r="I4" s="457">
        <f>huishoudens!I8</f>
        <v>0</v>
      </c>
      <c r="J4" s="457">
        <f>huishoudens!J8</f>
        <v>1105.3578713544944</v>
      </c>
      <c r="K4" s="457">
        <f>huishoudens!K8</f>
        <v>0</v>
      </c>
      <c r="L4" s="457">
        <f>huishoudens!L8</f>
        <v>0</v>
      </c>
      <c r="M4" s="457">
        <f>huishoudens!M8</f>
        <v>0</v>
      </c>
      <c r="N4" s="457">
        <f>huishoudens!N8</f>
        <v>2249.0010776522604</v>
      </c>
      <c r="O4" s="457">
        <f>huishoudens!O8</f>
        <v>7.8166666666666664</v>
      </c>
      <c r="P4" s="458">
        <f>huishoudens!P8</f>
        <v>76.266666666666666</v>
      </c>
      <c r="Q4" s="459">
        <f>SUM(B4:P4)</f>
        <v>20668.979381568257</v>
      </c>
    </row>
    <row r="5" spans="1:17">
      <c r="A5" s="456" t="s">
        <v>155</v>
      </c>
      <c r="B5" s="457">
        <f ca="1">tertiair!B16</f>
        <v>2202.5865545559286</v>
      </c>
      <c r="C5" s="457">
        <f ca="1">tertiair!C16</f>
        <v>0</v>
      </c>
      <c r="D5" s="457">
        <f ca="1">tertiair!D16</f>
        <v>739.29508634349463</v>
      </c>
      <c r="E5" s="457">
        <f>tertiair!E16</f>
        <v>37.316703742712676</v>
      </c>
      <c r="F5" s="457">
        <f ca="1">tertiair!F16</f>
        <v>463.76229728050862</v>
      </c>
      <c r="G5" s="457">
        <f>tertiair!G16</f>
        <v>0</v>
      </c>
      <c r="H5" s="457">
        <f>tertiair!H16</f>
        <v>0</v>
      </c>
      <c r="I5" s="457">
        <f>tertiair!I16</f>
        <v>0</v>
      </c>
      <c r="J5" s="457">
        <f>tertiair!J16</f>
        <v>0</v>
      </c>
      <c r="K5" s="457">
        <f>tertiair!K16</f>
        <v>0</v>
      </c>
      <c r="L5" s="457">
        <f ca="1">tertiair!L16</f>
        <v>0</v>
      </c>
      <c r="M5" s="457">
        <f>tertiair!M16</f>
        <v>0</v>
      </c>
      <c r="N5" s="457">
        <f ca="1">tertiair!N16</f>
        <v>100.06966228458177</v>
      </c>
      <c r="O5" s="457">
        <f>tertiair!O16</f>
        <v>0</v>
      </c>
      <c r="P5" s="458">
        <f>tertiair!P16</f>
        <v>0</v>
      </c>
      <c r="Q5" s="456">
        <f t="shared" ref="Q5:Q14" ca="1" si="0">SUM(B5:P5)</f>
        <v>3543.0303042072264</v>
      </c>
    </row>
    <row r="6" spans="1:17">
      <c r="A6" s="456" t="s">
        <v>193</v>
      </c>
      <c r="B6" s="457">
        <f>'openbare verlichting'!B8</f>
        <v>188.23599999999999</v>
      </c>
      <c r="C6" s="457"/>
      <c r="D6" s="457"/>
      <c r="E6" s="457"/>
      <c r="F6" s="457"/>
      <c r="G6" s="457"/>
      <c r="H6" s="457"/>
      <c r="I6" s="457"/>
      <c r="J6" s="457"/>
      <c r="K6" s="457"/>
      <c r="L6" s="457"/>
      <c r="M6" s="457"/>
      <c r="N6" s="457"/>
      <c r="O6" s="457"/>
      <c r="P6" s="458"/>
      <c r="Q6" s="456">
        <f t="shared" si="0"/>
        <v>188.23599999999999</v>
      </c>
    </row>
    <row r="7" spans="1:17">
      <c r="A7" s="456" t="s">
        <v>111</v>
      </c>
      <c r="B7" s="457">
        <f>landbouw!B8</f>
        <v>247.33319105774618</v>
      </c>
      <c r="C7" s="457">
        <f>landbouw!C8</f>
        <v>0</v>
      </c>
      <c r="D7" s="457">
        <f>landbouw!D8</f>
        <v>0</v>
      </c>
      <c r="E7" s="457">
        <f>landbouw!E8</f>
        <v>2.5901267222090114</v>
      </c>
      <c r="F7" s="457">
        <f>landbouw!F8</f>
        <v>1058.7739910392118</v>
      </c>
      <c r="G7" s="457">
        <f>landbouw!G8</f>
        <v>0</v>
      </c>
      <c r="H7" s="457">
        <f>landbouw!H8</f>
        <v>0</v>
      </c>
      <c r="I7" s="457">
        <f>landbouw!I8</f>
        <v>0</v>
      </c>
      <c r="J7" s="457">
        <f>landbouw!J8</f>
        <v>22.089070846667497</v>
      </c>
      <c r="K7" s="457">
        <f>landbouw!K8</f>
        <v>0</v>
      </c>
      <c r="L7" s="457">
        <f>landbouw!L8</f>
        <v>0</v>
      </c>
      <c r="M7" s="457">
        <f>landbouw!M8</f>
        <v>0</v>
      </c>
      <c r="N7" s="457">
        <f>landbouw!N8</f>
        <v>0</v>
      </c>
      <c r="O7" s="457">
        <f>landbouw!O8</f>
        <v>0</v>
      </c>
      <c r="P7" s="458">
        <f>landbouw!P8</f>
        <v>0</v>
      </c>
      <c r="Q7" s="456">
        <f t="shared" si="0"/>
        <v>1330.7863796658344</v>
      </c>
    </row>
    <row r="8" spans="1:17">
      <c r="A8" s="456" t="s">
        <v>654</v>
      </c>
      <c r="B8" s="457">
        <f>industrie!B18</f>
        <v>16135.256166383298</v>
      </c>
      <c r="C8" s="457">
        <f>industrie!C18</f>
        <v>0</v>
      </c>
      <c r="D8" s="457">
        <f>industrie!D18</f>
        <v>1223.7390503071654</v>
      </c>
      <c r="E8" s="457">
        <f>industrie!E18</f>
        <v>147.28837499496717</v>
      </c>
      <c r="F8" s="457">
        <f>industrie!F18</f>
        <v>3369.6818940104245</v>
      </c>
      <c r="G8" s="457">
        <f>industrie!G18</f>
        <v>0</v>
      </c>
      <c r="H8" s="457">
        <f>industrie!H18</f>
        <v>0</v>
      </c>
      <c r="I8" s="457">
        <f>industrie!I18</f>
        <v>0</v>
      </c>
      <c r="J8" s="457">
        <f>industrie!J18</f>
        <v>106.48901653893974</v>
      </c>
      <c r="K8" s="457">
        <f>industrie!K18</f>
        <v>0</v>
      </c>
      <c r="L8" s="457">
        <f>industrie!L18</f>
        <v>0</v>
      </c>
      <c r="M8" s="457">
        <f>industrie!M18</f>
        <v>0</v>
      </c>
      <c r="N8" s="457">
        <f>industrie!N18</f>
        <v>304.63543333454299</v>
      </c>
      <c r="O8" s="457">
        <f>industrie!O18</f>
        <v>0</v>
      </c>
      <c r="P8" s="458">
        <f>industrie!P18</f>
        <v>0</v>
      </c>
      <c r="Q8" s="456">
        <f t="shared" si="0"/>
        <v>21287.08993556934</v>
      </c>
    </row>
    <row r="9" spans="1:17" s="462" customFormat="1">
      <c r="A9" s="460" t="s">
        <v>572</v>
      </c>
      <c r="B9" s="461">
        <f>transport!B14</f>
        <v>0.15972977149783746</v>
      </c>
      <c r="C9" s="461">
        <f>transport!C14</f>
        <v>0</v>
      </c>
      <c r="D9" s="461">
        <f>transport!D14</f>
        <v>0.7799024234950761</v>
      </c>
      <c r="E9" s="461">
        <f>transport!E14</f>
        <v>80.348446425645051</v>
      </c>
      <c r="F9" s="461">
        <f>transport!F14</f>
        <v>0</v>
      </c>
      <c r="G9" s="461">
        <f>transport!G14</f>
        <v>15809.303746695943</v>
      </c>
      <c r="H9" s="461">
        <f>transport!H14</f>
        <v>2711.8521603626941</v>
      </c>
      <c r="I9" s="461">
        <f>transport!I14</f>
        <v>0</v>
      </c>
      <c r="J9" s="461">
        <f>transport!J14</f>
        <v>0</v>
      </c>
      <c r="K9" s="461">
        <f>transport!K14</f>
        <v>0</v>
      </c>
      <c r="L9" s="461">
        <f>transport!L14</f>
        <v>0</v>
      </c>
      <c r="M9" s="461">
        <f>transport!M14</f>
        <v>805.86495843197929</v>
      </c>
      <c r="N9" s="461">
        <f>transport!N14</f>
        <v>0</v>
      </c>
      <c r="O9" s="461">
        <f>transport!O14</f>
        <v>0</v>
      </c>
      <c r="P9" s="461">
        <f>transport!P14</f>
        <v>0</v>
      </c>
      <c r="Q9" s="460">
        <f>SUM(B9:P9)</f>
        <v>19408.308944111253</v>
      </c>
    </row>
    <row r="10" spans="1:17">
      <c r="A10" s="456" t="s">
        <v>562</v>
      </c>
      <c r="B10" s="457">
        <f>transport!B54</f>
        <v>0</v>
      </c>
      <c r="C10" s="457">
        <f>transport!C54</f>
        <v>0</v>
      </c>
      <c r="D10" s="457">
        <f>transport!D54</f>
        <v>0</v>
      </c>
      <c r="E10" s="457">
        <f>transport!E54</f>
        <v>0</v>
      </c>
      <c r="F10" s="457">
        <f>transport!F54</f>
        <v>0</v>
      </c>
      <c r="G10" s="457">
        <f>transport!G54</f>
        <v>303.70616585219244</v>
      </c>
      <c r="H10" s="457">
        <f>transport!H54</f>
        <v>0</v>
      </c>
      <c r="I10" s="457">
        <f>transport!I54</f>
        <v>0</v>
      </c>
      <c r="J10" s="457">
        <f>transport!J54</f>
        <v>0</v>
      </c>
      <c r="K10" s="457">
        <f>transport!K54</f>
        <v>0</v>
      </c>
      <c r="L10" s="457">
        <f>transport!L54</f>
        <v>0</v>
      </c>
      <c r="M10" s="457">
        <f>transport!M54</f>
        <v>12.9147028851293</v>
      </c>
      <c r="N10" s="457">
        <f>transport!N54</f>
        <v>0</v>
      </c>
      <c r="O10" s="457">
        <f>transport!O54</f>
        <v>0</v>
      </c>
      <c r="P10" s="458">
        <f>transport!P54</f>
        <v>0</v>
      </c>
      <c r="Q10" s="456">
        <f t="shared" si="0"/>
        <v>316.62086873732176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142.27228383736099</v>
      </c>
      <c r="C14" s="464"/>
      <c r="D14" s="464">
        <f>'SEAP template'!E25</f>
        <v>162.05351788464102</v>
      </c>
      <c r="E14" s="464"/>
      <c r="F14" s="464"/>
      <c r="G14" s="464"/>
      <c r="H14" s="464"/>
      <c r="I14" s="464"/>
      <c r="J14" s="464"/>
      <c r="K14" s="464"/>
      <c r="L14" s="464"/>
      <c r="M14" s="464"/>
      <c r="N14" s="464"/>
      <c r="O14" s="464"/>
      <c r="P14" s="465"/>
      <c r="Q14" s="456">
        <f t="shared" si="0"/>
        <v>304.32580172200198</v>
      </c>
    </row>
    <row r="15" spans="1:17" s="469" customFormat="1">
      <c r="A15" s="466" t="s">
        <v>566</v>
      </c>
      <c r="B15" s="467">
        <f ca="1">SUM(B4:B14)</f>
        <v>22768.884519598672</v>
      </c>
      <c r="C15" s="467">
        <f t="shared" ref="C15:Q15" ca="1" si="1">SUM(C4:C14)</f>
        <v>0</v>
      </c>
      <c r="D15" s="467">
        <f t="shared" ca="1" si="1"/>
        <v>7042.1928511751612</v>
      </c>
      <c r="E15" s="467">
        <f t="shared" si="1"/>
        <v>3078.3336506909495</v>
      </c>
      <c r="F15" s="467">
        <f t="shared" ca="1" si="1"/>
        <v>10542.599394543689</v>
      </c>
      <c r="G15" s="467">
        <f t="shared" si="1"/>
        <v>16113.009912548136</v>
      </c>
      <c r="H15" s="467">
        <f t="shared" si="1"/>
        <v>2711.8521603626941</v>
      </c>
      <c r="I15" s="467">
        <f t="shared" si="1"/>
        <v>0</v>
      </c>
      <c r="J15" s="467">
        <f t="shared" si="1"/>
        <v>1233.9359587401016</v>
      </c>
      <c r="K15" s="467">
        <f t="shared" si="1"/>
        <v>0</v>
      </c>
      <c r="L15" s="467">
        <f t="shared" ca="1" si="1"/>
        <v>0</v>
      </c>
      <c r="M15" s="467">
        <f t="shared" si="1"/>
        <v>818.77966131710855</v>
      </c>
      <c r="N15" s="467">
        <f t="shared" ca="1" si="1"/>
        <v>2653.7061732713851</v>
      </c>
      <c r="O15" s="467">
        <f t="shared" si="1"/>
        <v>7.8166666666666664</v>
      </c>
      <c r="P15" s="467">
        <f t="shared" si="1"/>
        <v>76.266666666666666</v>
      </c>
      <c r="Q15" s="467">
        <f t="shared" ca="1" si="1"/>
        <v>67047.377615581237</v>
      </c>
    </row>
    <row r="17" spans="1:17">
      <c r="A17" s="470" t="s">
        <v>567</v>
      </c>
      <c r="B17" s="774">
        <f ca="1">huishoudens!B10</f>
        <v>0.21736646975207374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837.52183172765751</v>
      </c>
      <c r="C22" s="457">
        <f t="shared" ref="C22:C32" ca="1" si="3">C4*$C$17</f>
        <v>0</v>
      </c>
      <c r="D22" s="457">
        <f t="shared" ref="D22:D32" si="4">D4*$D$17</f>
        <v>993.09770943170565</v>
      </c>
      <c r="E22" s="457">
        <f t="shared" ref="E22:E32" si="5">E4*$E$17</f>
        <v>638.04932972882943</v>
      </c>
      <c r="F22" s="457">
        <f t="shared" ref="F22:F32" si="6">F4*$F$17</f>
        <v>1508.6517836610165</v>
      </c>
      <c r="G22" s="457">
        <f t="shared" ref="G22:G32" si="7">G4*$G$17</f>
        <v>0</v>
      </c>
      <c r="H22" s="457">
        <f t="shared" ref="H22:H32" si="8">H4*$H$17</f>
        <v>0</v>
      </c>
      <c r="I22" s="457">
        <f t="shared" ref="I22:I32" si="9">I4*$I$17</f>
        <v>0</v>
      </c>
      <c r="J22" s="457">
        <f t="shared" ref="J22:J32" si="10">J4*$J$17</f>
        <v>391.29668645949096</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4368.6173410086994</v>
      </c>
    </row>
    <row r="23" spans="1:17">
      <c r="A23" s="456" t="s">
        <v>155</v>
      </c>
      <c r="B23" s="457">
        <f t="shared" ca="1" si="2"/>
        <v>478.76846368720555</v>
      </c>
      <c r="C23" s="457">
        <f t="shared" ca="1" si="3"/>
        <v>0</v>
      </c>
      <c r="D23" s="457">
        <f t="shared" ca="1" si="4"/>
        <v>149.33760744138593</v>
      </c>
      <c r="E23" s="457">
        <f t="shared" si="5"/>
        <v>8.4708917495957774</v>
      </c>
      <c r="F23" s="457">
        <f t="shared" ca="1" si="6"/>
        <v>123.8245333738958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760.40149625208301</v>
      </c>
    </row>
    <row r="24" spans="1:17">
      <c r="A24" s="456" t="s">
        <v>193</v>
      </c>
      <c r="B24" s="457">
        <f t="shared" ca="1" si="2"/>
        <v>40.916194800251354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40.916194800251354</v>
      </c>
    </row>
    <row r="25" spans="1:17">
      <c r="A25" s="456" t="s">
        <v>111</v>
      </c>
      <c r="B25" s="457">
        <f t="shared" ca="1" si="2"/>
        <v>53.761942592737462</v>
      </c>
      <c r="C25" s="457">
        <f t="shared" ca="1" si="3"/>
        <v>0</v>
      </c>
      <c r="D25" s="457">
        <f t="shared" si="4"/>
        <v>0</v>
      </c>
      <c r="E25" s="457">
        <f t="shared" si="5"/>
        <v>0.58795876594144558</v>
      </c>
      <c r="F25" s="457">
        <f t="shared" si="6"/>
        <v>282.69265560746953</v>
      </c>
      <c r="G25" s="457">
        <f t="shared" si="7"/>
        <v>0</v>
      </c>
      <c r="H25" s="457">
        <f t="shared" si="8"/>
        <v>0</v>
      </c>
      <c r="I25" s="457">
        <f t="shared" si="9"/>
        <v>0</v>
      </c>
      <c r="J25" s="457">
        <f t="shared" si="10"/>
        <v>7.819531079720293</v>
      </c>
      <c r="K25" s="457">
        <f t="shared" si="11"/>
        <v>0</v>
      </c>
      <c r="L25" s="457">
        <f t="shared" si="12"/>
        <v>0</v>
      </c>
      <c r="M25" s="457">
        <f t="shared" si="13"/>
        <v>0</v>
      </c>
      <c r="N25" s="457">
        <f t="shared" si="14"/>
        <v>0</v>
      </c>
      <c r="O25" s="457">
        <f t="shared" si="15"/>
        <v>0</v>
      </c>
      <c r="P25" s="458">
        <f t="shared" si="16"/>
        <v>0</v>
      </c>
      <c r="Q25" s="456">
        <f t="shared" ca="1" si="17"/>
        <v>344.86208804586875</v>
      </c>
    </row>
    <row r="26" spans="1:17">
      <c r="A26" s="456" t="s">
        <v>654</v>
      </c>
      <c r="B26" s="457">
        <f t="shared" ca="1" si="2"/>
        <v>3507.2636714321166</v>
      </c>
      <c r="C26" s="457">
        <f t="shared" ca="1" si="3"/>
        <v>0</v>
      </c>
      <c r="D26" s="457">
        <f t="shared" si="4"/>
        <v>247.19528816204743</v>
      </c>
      <c r="E26" s="457">
        <f t="shared" si="5"/>
        <v>33.434461123857552</v>
      </c>
      <c r="F26" s="457">
        <f t="shared" si="6"/>
        <v>899.70506570078339</v>
      </c>
      <c r="G26" s="457">
        <f t="shared" si="7"/>
        <v>0</v>
      </c>
      <c r="H26" s="457">
        <f t="shared" si="8"/>
        <v>0</v>
      </c>
      <c r="I26" s="457">
        <f t="shared" si="9"/>
        <v>0</v>
      </c>
      <c r="J26" s="457">
        <f t="shared" si="10"/>
        <v>37.697111854784666</v>
      </c>
      <c r="K26" s="457">
        <f t="shared" si="11"/>
        <v>0</v>
      </c>
      <c r="L26" s="457">
        <f t="shared" si="12"/>
        <v>0</v>
      </c>
      <c r="M26" s="457">
        <f t="shared" si="13"/>
        <v>0</v>
      </c>
      <c r="N26" s="457">
        <f t="shared" si="14"/>
        <v>0</v>
      </c>
      <c r="O26" s="457">
        <f t="shared" si="15"/>
        <v>0</v>
      </c>
      <c r="P26" s="458">
        <f t="shared" si="16"/>
        <v>0</v>
      </c>
      <c r="Q26" s="456">
        <f t="shared" ca="1" si="17"/>
        <v>4725.2955982735893</v>
      </c>
    </row>
    <row r="27" spans="1:17" s="462" customFormat="1">
      <c r="A27" s="460" t="s">
        <v>572</v>
      </c>
      <c r="B27" s="768">
        <f t="shared" ca="1" si="2"/>
        <v>3.4719896544790338E-2</v>
      </c>
      <c r="C27" s="461">
        <f t="shared" ca="1" si="3"/>
        <v>0</v>
      </c>
      <c r="D27" s="461">
        <f t="shared" si="4"/>
        <v>0.15754028954600538</v>
      </c>
      <c r="E27" s="461">
        <f t="shared" si="5"/>
        <v>18.239097338621427</v>
      </c>
      <c r="F27" s="461">
        <f t="shared" si="6"/>
        <v>0</v>
      </c>
      <c r="G27" s="461">
        <f t="shared" si="7"/>
        <v>4221.084100367817</v>
      </c>
      <c r="H27" s="461">
        <f t="shared" si="8"/>
        <v>675.25118793031083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4914.7666458228405</v>
      </c>
    </row>
    <row r="28" spans="1:17">
      <c r="A28" s="456" t="s">
        <v>562</v>
      </c>
      <c r="B28" s="457">
        <f t="shared" ca="1" si="2"/>
        <v>0</v>
      </c>
      <c r="C28" s="457">
        <f t="shared" ca="1" si="3"/>
        <v>0</v>
      </c>
      <c r="D28" s="457">
        <f t="shared" si="4"/>
        <v>0</v>
      </c>
      <c r="E28" s="457">
        <f t="shared" si="5"/>
        <v>0</v>
      </c>
      <c r="F28" s="457">
        <f t="shared" si="6"/>
        <v>0</v>
      </c>
      <c r="G28" s="457">
        <f t="shared" si="7"/>
        <v>81.08954628253538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81.08954628253538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30.925224081292178</v>
      </c>
      <c r="C32" s="457">
        <f t="shared" ca="1" si="3"/>
        <v>0</v>
      </c>
      <c r="D32" s="457">
        <f t="shared" si="4"/>
        <v>32.734810612697487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63.660034693989665</v>
      </c>
    </row>
    <row r="33" spans="1:17" s="469" customFormat="1">
      <c r="A33" s="466" t="s">
        <v>566</v>
      </c>
      <c r="B33" s="467">
        <f ca="1">SUM(B22:B32)</f>
        <v>4949.1920482178057</v>
      </c>
      <c r="C33" s="467">
        <f t="shared" ref="C33:Q33" ca="1" si="19">SUM(C22:C32)</f>
        <v>0</v>
      </c>
      <c r="D33" s="467">
        <f t="shared" ca="1" si="19"/>
        <v>1422.5229559373824</v>
      </c>
      <c r="E33" s="467">
        <f t="shared" si="19"/>
        <v>698.78173870684566</v>
      </c>
      <c r="F33" s="467">
        <f t="shared" ca="1" si="19"/>
        <v>2814.874038343165</v>
      </c>
      <c r="G33" s="467">
        <f t="shared" si="19"/>
        <v>4302.1736466503526</v>
      </c>
      <c r="H33" s="467">
        <f t="shared" si="19"/>
        <v>675.25118793031083</v>
      </c>
      <c r="I33" s="467">
        <f t="shared" si="19"/>
        <v>0</v>
      </c>
      <c r="J33" s="467">
        <f t="shared" si="19"/>
        <v>436.81332939399596</v>
      </c>
      <c r="K33" s="467">
        <f t="shared" si="19"/>
        <v>0</v>
      </c>
      <c r="L33" s="467">
        <f t="shared" ca="1" si="19"/>
        <v>0</v>
      </c>
      <c r="M33" s="467">
        <f t="shared" si="19"/>
        <v>0</v>
      </c>
      <c r="N33" s="467">
        <f t="shared" ca="1" si="19"/>
        <v>0</v>
      </c>
      <c r="O33" s="467">
        <f t="shared" si="19"/>
        <v>0</v>
      </c>
      <c r="P33" s="467">
        <f t="shared" si="19"/>
        <v>0</v>
      </c>
      <c r="Q33" s="467">
        <f t="shared" ca="1" si="19"/>
        <v>15299.60894517986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374.35036476697547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374.35036476697547</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0.21736646975207374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0.21736646975207374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0.21736646975207374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0.21736646975207374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864</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750</v>
      </c>
      <c r="C14" s="331"/>
      <c r="D14" s="331"/>
      <c r="E14" s="331"/>
      <c r="F14" s="331"/>
    </row>
    <row r="15" spans="1:6">
      <c r="A15" s="1290" t="s">
        <v>183</v>
      </c>
      <c r="B15" s="1291">
        <v>1</v>
      </c>
      <c r="C15" s="331"/>
      <c r="D15" s="331"/>
      <c r="E15" s="331"/>
      <c r="F15" s="331"/>
    </row>
    <row r="16" spans="1:6">
      <c r="A16" s="1290" t="s">
        <v>6</v>
      </c>
      <c r="B16" s="1291">
        <v>2</v>
      </c>
      <c r="C16" s="331"/>
      <c r="D16" s="331"/>
      <c r="E16" s="331"/>
      <c r="F16" s="331"/>
    </row>
    <row r="17" spans="1:6">
      <c r="A17" s="1290" t="s">
        <v>7</v>
      </c>
      <c r="B17" s="1291">
        <v>136</v>
      </c>
      <c r="C17" s="331"/>
      <c r="D17" s="331"/>
      <c r="E17" s="331"/>
      <c r="F17" s="331"/>
    </row>
    <row r="18" spans="1:6">
      <c r="A18" s="1290" t="s">
        <v>8</v>
      </c>
      <c r="B18" s="1291">
        <v>128</v>
      </c>
      <c r="C18" s="331"/>
      <c r="D18" s="331"/>
      <c r="E18" s="331"/>
      <c r="F18" s="331"/>
    </row>
    <row r="19" spans="1:6">
      <c r="A19" s="1290" t="s">
        <v>9</v>
      </c>
      <c r="B19" s="1291">
        <v>114</v>
      </c>
      <c r="C19" s="331"/>
      <c r="D19" s="331"/>
      <c r="E19" s="331"/>
      <c r="F19" s="331"/>
    </row>
    <row r="20" spans="1:6">
      <c r="A20" s="1290" t="s">
        <v>10</v>
      </c>
      <c r="B20" s="1291">
        <v>53</v>
      </c>
      <c r="C20" s="331"/>
      <c r="D20" s="331"/>
      <c r="E20" s="331"/>
      <c r="F20" s="331"/>
    </row>
    <row r="21" spans="1:6">
      <c r="A21" s="1290" t="s">
        <v>11</v>
      </c>
      <c r="B21" s="1291">
        <v>544</v>
      </c>
      <c r="C21" s="331"/>
      <c r="D21" s="331"/>
      <c r="E21" s="331"/>
      <c r="F21" s="331"/>
    </row>
    <row r="22" spans="1:6">
      <c r="A22" s="1290" t="s">
        <v>12</v>
      </c>
      <c r="B22" s="1291">
        <v>1632</v>
      </c>
      <c r="C22" s="331"/>
      <c r="D22" s="331"/>
      <c r="E22" s="331"/>
      <c r="F22" s="331"/>
    </row>
    <row r="23" spans="1:6">
      <c r="A23" s="1290" t="s">
        <v>13</v>
      </c>
      <c r="B23" s="1291">
        <v>40</v>
      </c>
      <c r="C23" s="331"/>
      <c r="D23" s="331"/>
      <c r="E23" s="331"/>
      <c r="F23" s="331"/>
    </row>
    <row r="24" spans="1:6">
      <c r="A24" s="1290" t="s">
        <v>14</v>
      </c>
      <c r="B24" s="1291">
        <v>6</v>
      </c>
      <c r="C24" s="331"/>
      <c r="D24" s="331"/>
      <c r="E24" s="331"/>
      <c r="F24" s="331"/>
    </row>
    <row r="25" spans="1:6">
      <c r="A25" s="1290" t="s">
        <v>15</v>
      </c>
      <c r="B25" s="1291">
        <v>255</v>
      </c>
      <c r="C25" s="331"/>
      <c r="D25" s="331"/>
      <c r="E25" s="331"/>
      <c r="F25" s="331"/>
    </row>
    <row r="26" spans="1:6">
      <c r="A26" s="1290" t="s">
        <v>16</v>
      </c>
      <c r="B26" s="1291">
        <v>37</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45</v>
      </c>
      <c r="C29" s="337"/>
      <c r="D29" s="337"/>
      <c r="E29" s="337"/>
      <c r="F29" s="337"/>
    </row>
    <row r="30" spans="1:6">
      <c r="A30" s="1285" t="s">
        <v>967</v>
      </c>
      <c r="B30" s="1294">
        <v>10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0</v>
      </c>
      <c r="E38" s="1291">
        <v>1</v>
      </c>
      <c r="F38" s="1291">
        <v>466</v>
      </c>
    </row>
    <row r="39" spans="1:6">
      <c r="A39" s="1290" t="s">
        <v>29</v>
      </c>
      <c r="B39" s="1290" t="s">
        <v>30</v>
      </c>
      <c r="C39" s="1291">
        <v>347</v>
      </c>
      <c r="D39" s="1291">
        <v>5450471.5013485197</v>
      </c>
      <c r="E39" s="1291">
        <v>813</v>
      </c>
      <c r="F39" s="1291">
        <v>3738226.5856417902</v>
      </c>
    </row>
    <row r="40" spans="1:6">
      <c r="A40" s="1290" t="s">
        <v>29</v>
      </c>
      <c r="B40" s="1290" t="s">
        <v>28</v>
      </c>
      <c r="C40" s="1291">
        <v>0</v>
      </c>
      <c r="D40" s="1291">
        <v>0</v>
      </c>
      <c r="E40" s="1291">
        <v>0</v>
      </c>
      <c r="F40" s="1291">
        <v>0</v>
      </c>
    </row>
    <row r="41" spans="1:6">
      <c r="A41" s="1290" t="s">
        <v>31</v>
      </c>
      <c r="B41" s="1290" t="s">
        <v>32</v>
      </c>
      <c r="C41" s="1291">
        <v>0</v>
      </c>
      <c r="D41" s="1291">
        <v>0</v>
      </c>
      <c r="E41" s="1291">
        <v>9</v>
      </c>
      <c r="F41" s="1291">
        <v>265526.65185903601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8</v>
      </c>
      <c r="D48" s="1291">
        <v>1356695.17772413</v>
      </c>
      <c r="E48" s="1291">
        <v>26</v>
      </c>
      <c r="F48" s="1291">
        <v>15811599.461085999</v>
      </c>
    </row>
    <row r="49" spans="1:6">
      <c r="A49" s="1290" t="s">
        <v>31</v>
      </c>
      <c r="B49" s="1290" t="s">
        <v>39</v>
      </c>
      <c r="C49" s="1291">
        <v>0</v>
      </c>
      <c r="D49" s="1291">
        <v>0</v>
      </c>
      <c r="E49" s="1291">
        <v>4</v>
      </c>
      <c r="F49" s="1291">
        <v>58130.053438262403</v>
      </c>
    </row>
    <row r="50" spans="1:6">
      <c r="A50" s="1290" t="s">
        <v>31</v>
      </c>
      <c r="B50" s="1290" t="s">
        <v>40</v>
      </c>
      <c r="C50" s="1291">
        <v>0</v>
      </c>
      <c r="D50" s="1291">
        <v>0</v>
      </c>
      <c r="E50" s="1291">
        <v>0</v>
      </c>
      <c r="F50" s="1291">
        <v>0</v>
      </c>
    </row>
    <row r="51" spans="1:6">
      <c r="A51" s="1290" t="s">
        <v>41</v>
      </c>
      <c r="B51" s="1290" t="s">
        <v>42</v>
      </c>
      <c r="C51" s="1291">
        <v>0</v>
      </c>
      <c r="D51" s="1291">
        <v>0</v>
      </c>
      <c r="E51" s="1291">
        <v>14</v>
      </c>
      <c r="F51" s="1291">
        <v>168907.135108402</v>
      </c>
    </row>
    <row r="52" spans="1:6">
      <c r="A52" s="1290" t="s">
        <v>41</v>
      </c>
      <c r="B52" s="1290" t="s">
        <v>28</v>
      </c>
      <c r="C52" s="1291">
        <v>0</v>
      </c>
      <c r="D52" s="1291">
        <v>0</v>
      </c>
      <c r="E52" s="1291">
        <v>5</v>
      </c>
      <c r="F52" s="1291">
        <v>78426.055949344198</v>
      </c>
    </row>
    <row r="53" spans="1:6">
      <c r="A53" s="1290" t="s">
        <v>43</v>
      </c>
      <c r="B53" s="1290" t="s">
        <v>44</v>
      </c>
      <c r="C53" s="1291">
        <v>10</v>
      </c>
      <c r="D53" s="1291">
        <v>162053.51788464101</v>
      </c>
      <c r="E53" s="1291">
        <v>32</v>
      </c>
      <c r="F53" s="1291">
        <v>142272.283837361</v>
      </c>
    </row>
    <row r="54" spans="1:6">
      <c r="A54" s="1290" t="s">
        <v>45</v>
      </c>
      <c r="B54" s="1290" t="s">
        <v>46</v>
      </c>
      <c r="C54" s="1291">
        <v>0</v>
      </c>
      <c r="D54" s="1291">
        <v>0</v>
      </c>
      <c r="E54" s="1291">
        <v>1</v>
      </c>
      <c r="F54" s="1291">
        <v>188236</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0</v>
      </c>
      <c r="D57" s="1291">
        <v>0</v>
      </c>
      <c r="E57" s="1291">
        <v>19</v>
      </c>
      <c r="F57" s="1291">
        <v>318185.53529937501</v>
      </c>
    </row>
    <row r="58" spans="1:6">
      <c r="A58" s="1290" t="s">
        <v>48</v>
      </c>
      <c r="B58" s="1290" t="s">
        <v>50</v>
      </c>
      <c r="C58" s="1291">
        <v>0</v>
      </c>
      <c r="D58" s="1291">
        <v>0</v>
      </c>
      <c r="E58" s="1291">
        <v>0</v>
      </c>
      <c r="F58" s="1291">
        <v>0</v>
      </c>
    </row>
    <row r="59" spans="1:6">
      <c r="A59" s="1290" t="s">
        <v>48</v>
      </c>
      <c r="B59" s="1290" t="s">
        <v>51</v>
      </c>
      <c r="C59" s="1291">
        <v>3</v>
      </c>
      <c r="D59" s="1291">
        <v>125535.807557395</v>
      </c>
      <c r="E59" s="1291">
        <v>19</v>
      </c>
      <c r="F59" s="1291">
        <v>634551.68663870101</v>
      </c>
    </row>
    <row r="60" spans="1:6">
      <c r="A60" s="1290" t="s">
        <v>48</v>
      </c>
      <c r="B60" s="1290" t="s">
        <v>52</v>
      </c>
      <c r="C60" s="1291">
        <v>5</v>
      </c>
      <c r="D60" s="1291">
        <v>106353.08284056799</v>
      </c>
      <c r="E60" s="1291">
        <v>13</v>
      </c>
      <c r="F60" s="1291">
        <v>154474.25657659399</v>
      </c>
    </row>
    <row r="61" spans="1:6">
      <c r="A61" s="1290" t="s">
        <v>48</v>
      </c>
      <c r="B61" s="1290" t="s">
        <v>53</v>
      </c>
      <c r="C61" s="1291">
        <v>0</v>
      </c>
      <c r="D61" s="1291">
        <v>0</v>
      </c>
      <c r="E61" s="1291">
        <v>14</v>
      </c>
      <c r="F61" s="1291">
        <v>121268.490020139</v>
      </c>
    </row>
    <row r="62" spans="1:6">
      <c r="A62" s="1290" t="s">
        <v>48</v>
      </c>
      <c r="B62" s="1290" t="s">
        <v>54</v>
      </c>
      <c r="C62" s="1291">
        <v>0</v>
      </c>
      <c r="D62" s="1291">
        <v>0</v>
      </c>
      <c r="E62" s="1291">
        <v>3</v>
      </c>
      <c r="F62" s="1291">
        <v>83716.673660490793</v>
      </c>
    </row>
    <row r="63" spans="1:6">
      <c r="A63" s="1290" t="s">
        <v>48</v>
      </c>
      <c r="B63" s="1290" t="s">
        <v>28</v>
      </c>
      <c r="C63" s="1291">
        <v>14</v>
      </c>
      <c r="D63" s="1291">
        <v>587728.72195624397</v>
      </c>
      <c r="E63" s="1291">
        <v>51</v>
      </c>
      <c r="F63" s="1291">
        <v>890389.91236062895</v>
      </c>
    </row>
    <row r="64" spans="1:6">
      <c r="A64" s="1290" t="s">
        <v>55</v>
      </c>
      <c r="B64" s="1290" t="s">
        <v>56</v>
      </c>
      <c r="C64" s="1291">
        <v>0</v>
      </c>
      <c r="D64" s="1291">
        <v>0</v>
      </c>
      <c r="E64" s="1291">
        <v>0</v>
      </c>
      <c r="F64" s="1291">
        <v>0</v>
      </c>
    </row>
    <row r="65" spans="1:6">
      <c r="A65" s="1290" t="s">
        <v>55</v>
      </c>
      <c r="B65" s="1290" t="s">
        <v>28</v>
      </c>
      <c r="C65" s="1291">
        <v>1</v>
      </c>
      <c r="D65" s="1291">
        <v>39757.755385646196</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5</v>
      </c>
      <c r="F68" s="1294">
        <v>62310.677540438403</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21838817</v>
      </c>
      <c r="E73" s="455"/>
      <c r="F73" s="331"/>
    </row>
    <row r="74" spans="1:6">
      <c r="A74" s="1290" t="s">
        <v>63</v>
      </c>
      <c r="B74" s="1290" t="s">
        <v>773</v>
      </c>
      <c r="C74" s="1304" t="s">
        <v>774</v>
      </c>
      <c r="D74" s="1305">
        <v>1893271.9036058967</v>
      </c>
      <c r="E74" s="455"/>
      <c r="F74" s="331"/>
    </row>
    <row r="75" spans="1:6">
      <c r="A75" s="1290" t="s">
        <v>64</v>
      </c>
      <c r="B75" s="1290" t="s">
        <v>771</v>
      </c>
      <c r="C75" s="1304" t="s">
        <v>775</v>
      </c>
      <c r="D75" s="1305">
        <v>968766</v>
      </c>
      <c r="E75" s="455"/>
      <c r="F75" s="331"/>
    </row>
    <row r="76" spans="1:6">
      <c r="A76" s="1290" t="s">
        <v>64</v>
      </c>
      <c r="B76" s="1290" t="s">
        <v>773</v>
      </c>
      <c r="C76" s="1304" t="s">
        <v>776</v>
      </c>
      <c r="D76" s="1305">
        <v>4309.1000000000004</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82878.192788206696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114.81400835105272</v>
      </c>
      <c r="C91" s="331"/>
      <c r="D91" s="331"/>
      <c r="E91" s="331"/>
      <c r="F91" s="331"/>
    </row>
    <row r="92" spans="1:6">
      <c r="A92" s="1285" t="s">
        <v>68</v>
      </c>
      <c r="B92" s="1286">
        <v>259.53635641592274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110</v>
      </c>
      <c r="C97" s="331"/>
      <c r="D97" s="331"/>
      <c r="E97" s="331"/>
      <c r="F97" s="331"/>
    </row>
    <row r="98" spans="1:6">
      <c r="A98" s="1290" t="s">
        <v>71</v>
      </c>
      <c r="B98" s="1291">
        <v>0</v>
      </c>
      <c r="C98" s="331"/>
      <c r="D98" s="331"/>
      <c r="E98" s="331"/>
      <c r="F98" s="331"/>
    </row>
    <row r="99" spans="1:6">
      <c r="A99" s="1290" t="s">
        <v>72</v>
      </c>
      <c r="B99" s="1291">
        <v>20</v>
      </c>
      <c r="C99" s="331"/>
      <c r="D99" s="331"/>
      <c r="E99" s="331"/>
      <c r="F99" s="331"/>
    </row>
    <row r="100" spans="1:6">
      <c r="A100" s="1290" t="s">
        <v>73</v>
      </c>
      <c r="B100" s="1291">
        <v>71</v>
      </c>
      <c r="C100" s="331"/>
      <c r="D100" s="331"/>
      <c r="E100" s="331"/>
      <c r="F100" s="331"/>
    </row>
    <row r="101" spans="1:6">
      <c r="A101" s="1290" t="s">
        <v>74</v>
      </c>
      <c r="B101" s="1291">
        <v>18</v>
      </c>
      <c r="C101" s="331"/>
      <c r="D101" s="331"/>
      <c r="E101" s="331"/>
      <c r="F101" s="331"/>
    </row>
    <row r="102" spans="1:6">
      <c r="A102" s="1290" t="s">
        <v>75</v>
      </c>
      <c r="B102" s="1291">
        <v>11</v>
      </c>
      <c r="C102" s="331"/>
      <c r="D102" s="331"/>
      <c r="E102" s="331"/>
      <c r="F102" s="331"/>
    </row>
    <row r="103" spans="1:6">
      <c r="A103" s="1290" t="s">
        <v>76</v>
      </c>
      <c r="B103" s="1291">
        <v>62</v>
      </c>
      <c r="C103" s="331"/>
      <c r="D103" s="331"/>
      <c r="E103" s="331"/>
      <c r="F103" s="331"/>
    </row>
    <row r="104" spans="1:6">
      <c r="A104" s="1290" t="s">
        <v>77</v>
      </c>
      <c r="B104" s="1291">
        <v>463</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v>
      </c>
      <c r="C123" s="1291">
        <v>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5</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22768.884519598672</v>
      </c>
      <c r="C3" s="43" t="s">
        <v>169</v>
      </c>
      <c r="D3" s="43"/>
      <c r="E3" s="156"/>
      <c r="F3" s="43"/>
      <c r="G3" s="43"/>
      <c r="H3" s="43"/>
      <c r="I3" s="43"/>
      <c r="J3" s="43"/>
      <c r="K3" s="96"/>
    </row>
    <row r="4" spans="1:11">
      <c r="A4" s="362" t="s">
        <v>170</v>
      </c>
      <c r="B4" s="49">
        <f>IF(ISERROR('SEAP template'!B78+'SEAP template'!C78),0,'SEAP template'!B78+'SEAP template'!C78)</f>
        <v>374.35036476697547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0.21736646975207374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188.23599999999999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188.23599999999999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0.21736646975207374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40.916194800251354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3738.2265856417903</v>
      </c>
      <c r="C5" s="17">
        <f>IF(ISERROR('Eigen informatie GS &amp; warmtenet'!B57),0,'Eigen informatie GS &amp; warmtenet'!B57)</f>
        <v>0</v>
      </c>
      <c r="D5" s="30">
        <f>(SUM(HH_hh_gas_kWh,HH_rest_gas_kWh)/1000)*0.902</f>
        <v>4916.3252942163645</v>
      </c>
      <c r="E5" s="17">
        <f>B46*B57</f>
        <v>2810.789998805416</v>
      </c>
      <c r="F5" s="17">
        <f>B51*B62</f>
        <v>5650.3812122135441</v>
      </c>
      <c r="G5" s="18"/>
      <c r="H5" s="17"/>
      <c r="I5" s="17"/>
      <c r="J5" s="17">
        <f>B50*B61+C50*C61</f>
        <v>1105.3578713544944</v>
      </c>
      <c r="K5" s="17"/>
      <c r="L5" s="17"/>
      <c r="M5" s="17"/>
      <c r="N5" s="17">
        <f>B48*B59+C48*C59</f>
        <v>2249.0010776522604</v>
      </c>
      <c r="O5" s="17">
        <f>B69*B70*B71</f>
        <v>7.8166666666666664</v>
      </c>
      <c r="P5" s="17">
        <f>B77*B78*B79/1000-B77*B78*B79/1000/B80</f>
        <v>76.266666666666666</v>
      </c>
    </row>
    <row r="6" spans="1:16">
      <c r="A6" s="16" t="s">
        <v>631</v>
      </c>
      <c r="B6" s="776">
        <f>kWh_PV_kleiner_dan_10kW</f>
        <v>114.81400835105272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3853.0405939928428</v>
      </c>
      <c r="C8" s="21">
        <f>C5</f>
        <v>0</v>
      </c>
      <c r="D8" s="21">
        <f>D5</f>
        <v>4916.3252942163645</v>
      </c>
      <c r="E8" s="21">
        <f>E5</f>
        <v>2810.789998805416</v>
      </c>
      <c r="F8" s="21">
        <f>F5</f>
        <v>5650.3812122135441</v>
      </c>
      <c r="G8" s="21"/>
      <c r="H8" s="21"/>
      <c r="I8" s="21"/>
      <c r="J8" s="21">
        <f>J5</f>
        <v>1105.3578713544944</v>
      </c>
      <c r="K8" s="21"/>
      <c r="L8" s="21">
        <f>L5</f>
        <v>0</v>
      </c>
      <c r="M8" s="21">
        <f>M5</f>
        <v>0</v>
      </c>
      <c r="N8" s="21">
        <f>N5</f>
        <v>2249.0010776522604</v>
      </c>
      <c r="O8" s="21">
        <f>O5</f>
        <v>7.8166666666666664</v>
      </c>
      <c r="P8" s="21">
        <f>P5</f>
        <v>76.266666666666666</v>
      </c>
    </row>
    <row r="9" spans="1:16">
      <c r="B9" s="19"/>
      <c r="C9" s="19"/>
      <c r="D9" s="260"/>
      <c r="E9" s="19"/>
      <c r="F9" s="19"/>
      <c r="G9" s="19"/>
      <c r="H9" s="19"/>
      <c r="I9" s="19"/>
      <c r="J9" s="19"/>
      <c r="K9" s="19"/>
      <c r="L9" s="19"/>
      <c r="M9" s="19"/>
      <c r="N9" s="19"/>
      <c r="O9" s="19"/>
      <c r="P9" s="19"/>
    </row>
    <row r="10" spans="1:16">
      <c r="A10" s="24" t="s">
        <v>213</v>
      </c>
      <c r="B10" s="25">
        <f ca="1">'EF ele_warmte'!B12</f>
        <v>0.21736646975207374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837.52183172765751</v>
      </c>
      <c r="C12" s="23">
        <f ca="1">C10*C8</f>
        <v>0</v>
      </c>
      <c r="D12" s="23">
        <f>D8*D10</f>
        <v>993.09770943170565</v>
      </c>
      <c r="E12" s="23">
        <f>E10*E8</f>
        <v>638.04932972882943</v>
      </c>
      <c r="F12" s="23">
        <f>F10*F8</f>
        <v>1508.6517836610165</v>
      </c>
      <c r="G12" s="23"/>
      <c r="H12" s="23"/>
      <c r="I12" s="23"/>
      <c r="J12" s="23">
        <f>J10*J8</f>
        <v>391.29668645949096</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110</v>
      </c>
      <c r="C18" s="167" t="s">
        <v>110</v>
      </c>
      <c r="D18" s="229"/>
      <c r="E18" s="15"/>
    </row>
    <row r="19" spans="1:7">
      <c r="A19" s="172" t="s">
        <v>71</v>
      </c>
      <c r="B19" s="37">
        <f>aantalw2001_ander</f>
        <v>0</v>
      </c>
      <c r="C19" s="167" t="s">
        <v>110</v>
      </c>
      <c r="D19" s="230"/>
      <c r="E19" s="15"/>
    </row>
    <row r="20" spans="1:7">
      <c r="A20" s="172" t="s">
        <v>72</v>
      </c>
      <c r="B20" s="37">
        <f>aantalw2001_propaan</f>
        <v>20</v>
      </c>
      <c r="C20" s="168">
        <f>IF(ISERROR(B20/SUM($B$20,$B$21,$B$22)*100),0,B20/SUM($B$20,$B$21,$B$22)*100)</f>
        <v>18.348623853211009</v>
      </c>
      <c r="D20" s="230"/>
      <c r="E20" s="15"/>
    </row>
    <row r="21" spans="1:7">
      <c r="A21" s="172" t="s">
        <v>73</v>
      </c>
      <c r="B21" s="37">
        <f>aantalw2001_elektriciteit</f>
        <v>71</v>
      </c>
      <c r="C21" s="168">
        <f>IF(ISERROR(B21/SUM($B$20,$B$21,$B$22)*100),0,B21/SUM($B$20,$B$21,$B$22)*100)</f>
        <v>65.137614678899084</v>
      </c>
      <c r="D21" s="230"/>
      <c r="E21" s="15"/>
    </row>
    <row r="22" spans="1:7">
      <c r="A22" s="172" t="s">
        <v>74</v>
      </c>
      <c r="B22" s="37">
        <f>aantalw2001_hout</f>
        <v>18</v>
      </c>
      <c r="C22" s="168">
        <f>IF(ISERROR(B22/SUM($B$20,$B$21,$B$22)*100),0,B22/SUM($B$20,$B$21,$B$22)*100)</f>
        <v>16.513761467889911</v>
      </c>
      <c r="D22" s="230"/>
      <c r="E22" s="15"/>
    </row>
    <row r="23" spans="1:7">
      <c r="A23" s="172" t="s">
        <v>75</v>
      </c>
      <c r="B23" s="37">
        <f>aantalw2001_niet_gespec</f>
        <v>11</v>
      </c>
      <c r="C23" s="167" t="s">
        <v>110</v>
      </c>
      <c r="D23" s="229"/>
      <c r="E23" s="15"/>
    </row>
    <row r="24" spans="1:7">
      <c r="A24" s="172" t="s">
        <v>76</v>
      </c>
      <c r="B24" s="37">
        <f>aantalw2001_steenkool</f>
        <v>62</v>
      </c>
      <c r="C24" s="167" t="s">
        <v>110</v>
      </c>
      <c r="D24" s="230"/>
      <c r="E24" s="15"/>
    </row>
    <row r="25" spans="1:7">
      <c r="A25" s="172" t="s">
        <v>77</v>
      </c>
      <c r="B25" s="37">
        <f>aantalw2001_stookolie</f>
        <v>463</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864</v>
      </c>
      <c r="C28" s="36"/>
      <c r="D28" s="229"/>
    </row>
    <row r="29" spans="1:7" s="15" customFormat="1">
      <c r="A29" s="231" t="s">
        <v>712</v>
      </c>
      <c r="B29" s="37">
        <f>SUM(HH_hh_gas_aantal,HH_rest_gas_aantal)</f>
        <v>347</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347</v>
      </c>
      <c r="C32" s="168">
        <f>IF(ISERROR(B32/SUM($B$32,$B$34,$B$35,$B$36,$B$38,$B$39)*100),0,B32/SUM($B$32,$B$34,$B$35,$B$36,$B$38,$B$39)*100)</f>
        <v>40.348837209302324</v>
      </c>
      <c r="D32" s="234"/>
      <c r="G32" s="15"/>
    </row>
    <row r="33" spans="1:7">
      <c r="A33" s="172" t="s">
        <v>71</v>
      </c>
      <c r="B33" s="34" t="s">
        <v>110</v>
      </c>
      <c r="C33" s="168"/>
      <c r="D33" s="234"/>
      <c r="G33" s="15"/>
    </row>
    <row r="34" spans="1:7">
      <c r="A34" s="172" t="s">
        <v>72</v>
      </c>
      <c r="B34" s="33">
        <f>IF((($B$28-$B$32-$B$39-$B$77-$B$38)*C20/100)&lt;0,0,($B$28-$B$32-$B$39-$B$77-$B$38)*C20/100)</f>
        <v>41.284403669724767</v>
      </c>
      <c r="C34" s="168">
        <f>IF(ISERROR(B34/SUM($B$32,$B$34,$B$35,$B$36,$B$38,$B$39)*100),0,B34/SUM($B$32,$B$34,$B$35,$B$36,$B$38,$B$39)*100)</f>
        <v>4.8005120546191593</v>
      </c>
      <c r="D34" s="234"/>
      <c r="G34" s="15"/>
    </row>
    <row r="35" spans="1:7">
      <c r="A35" s="172" t="s">
        <v>73</v>
      </c>
      <c r="B35" s="33">
        <f>IF((($B$28-$B$32-$B$39-$B$77-$B$38)*C21/100)&lt;0,0,($B$28-$B$32-$B$39-$B$77-$B$38)*C21/100)</f>
        <v>146.55963302752295</v>
      </c>
      <c r="C35" s="168">
        <f>IF(ISERROR(B35/SUM($B$32,$B$34,$B$35,$B$36,$B$38,$B$39)*100),0,B35/SUM($B$32,$B$34,$B$35,$B$36,$B$38,$B$39)*100)</f>
        <v>17.041817793898019</v>
      </c>
      <c r="D35" s="234"/>
      <c r="G35" s="15"/>
    </row>
    <row r="36" spans="1:7">
      <c r="A36" s="172" t="s">
        <v>74</v>
      </c>
      <c r="B36" s="33">
        <f>IF((($B$28-$B$32-$B$39-$B$77-$B$38)*C22/100)&lt;0,0,($B$28-$B$32-$B$39-$B$77-$B$38)*C22/100)</f>
        <v>37.155963302752298</v>
      </c>
      <c r="C36" s="168">
        <f>IF(ISERROR(B36/SUM($B$32,$B$34,$B$35,$B$36,$B$38,$B$39)*100),0,B36/SUM($B$32,$B$34,$B$35,$B$36,$B$38,$B$39)*100)</f>
        <v>4.3204608491572438</v>
      </c>
      <c r="D36" s="234"/>
      <c r="G36" s="15"/>
    </row>
    <row r="37" spans="1:7">
      <c r="A37" s="172" t="s">
        <v>75</v>
      </c>
      <c r="B37" s="34" t="s">
        <v>110</v>
      </c>
      <c r="C37" s="168"/>
      <c r="D37" s="174"/>
      <c r="G37" s="15"/>
    </row>
    <row r="38" spans="1:7">
      <c r="A38" s="172" t="s">
        <v>76</v>
      </c>
      <c r="B38" s="33">
        <f>IF((B24-(B29-B18)*0.1)&lt;0,0,B24-(B29-B18)*0.1)</f>
        <v>38.299999999999997</v>
      </c>
      <c r="C38" s="168">
        <f>IF(ISERROR(B38/SUM($B$32,$B$34,$B$35,$B$36,$B$38,$B$39)*100),0,B38/SUM($B$32,$B$34,$B$35,$B$36,$B$38,$B$39)*100)</f>
        <v>4.4534883720930232</v>
      </c>
      <c r="D38" s="235"/>
      <c r="G38" s="15"/>
    </row>
    <row r="39" spans="1:7">
      <c r="A39" s="172" t="s">
        <v>77</v>
      </c>
      <c r="B39" s="33">
        <f>IF((B25-(B29-B18))&lt;0,0,B25-(B29-B18)*0.9)</f>
        <v>249.7</v>
      </c>
      <c r="C39" s="168">
        <f>IF(ISERROR(B39/SUM($B$32,$B$34,$B$35,$B$36,$B$38,$B$39)*100),0,B39/SUM($B$32,$B$34,$B$35,$B$36,$B$38,$B$39)*100)</f>
        <v>29.034883720930232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347</v>
      </c>
      <c r="C44" s="34" t="s">
        <v>110</v>
      </c>
      <c r="D44" s="175"/>
    </row>
    <row r="45" spans="1:7">
      <c r="A45" s="172" t="s">
        <v>71</v>
      </c>
      <c r="B45" s="33" t="str">
        <f t="shared" si="0"/>
        <v>-</v>
      </c>
      <c r="C45" s="34" t="s">
        <v>110</v>
      </c>
      <c r="D45" s="175"/>
    </row>
    <row r="46" spans="1:7">
      <c r="A46" s="172" t="s">
        <v>72</v>
      </c>
      <c r="B46" s="33">
        <f t="shared" si="0"/>
        <v>41.284403669724767</v>
      </c>
      <c r="C46" s="34" t="s">
        <v>110</v>
      </c>
      <c r="D46" s="175"/>
    </row>
    <row r="47" spans="1:7">
      <c r="A47" s="172" t="s">
        <v>73</v>
      </c>
      <c r="B47" s="33">
        <f t="shared" si="0"/>
        <v>146.55963302752295</v>
      </c>
      <c r="C47" s="34" t="s">
        <v>110</v>
      </c>
      <c r="D47" s="175"/>
    </row>
    <row r="48" spans="1:7">
      <c r="A48" s="172" t="s">
        <v>74</v>
      </c>
      <c r="B48" s="33">
        <f t="shared" si="0"/>
        <v>37.155963302752298</v>
      </c>
      <c r="C48" s="33">
        <f>B48*10</f>
        <v>371.55963302752298</v>
      </c>
      <c r="D48" s="235"/>
    </row>
    <row r="49" spans="1:6">
      <c r="A49" s="172" t="s">
        <v>75</v>
      </c>
      <c r="B49" s="33" t="str">
        <f t="shared" si="0"/>
        <v>-</v>
      </c>
      <c r="C49" s="34" t="s">
        <v>110</v>
      </c>
      <c r="D49" s="235"/>
    </row>
    <row r="50" spans="1:6">
      <c r="A50" s="172" t="s">
        <v>76</v>
      </c>
      <c r="B50" s="33">
        <f t="shared" si="0"/>
        <v>38.299999999999997</v>
      </c>
      <c r="C50" s="33">
        <f>B50*2</f>
        <v>76.599999999999994</v>
      </c>
      <c r="D50" s="235"/>
    </row>
    <row r="51" spans="1:6">
      <c r="A51" s="172" t="s">
        <v>77</v>
      </c>
      <c r="B51" s="33">
        <f t="shared" si="0"/>
        <v>249.7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2202.5865545559286</v>
      </c>
      <c r="C5" s="17">
        <f>IF(ISERROR('Eigen informatie GS &amp; warmtenet'!B58),0,'Eigen informatie GS &amp; warmtenet'!B58)</f>
        <v>0</v>
      </c>
      <c r="D5" s="30">
        <f>SUM(D6:D12)</f>
        <v>739.29508634349463</v>
      </c>
      <c r="E5" s="17">
        <f>SUM(E6:E12)</f>
        <v>37.316703742712676</v>
      </c>
      <c r="F5" s="17">
        <f>SUM(F6:F12)</f>
        <v>463.76229728050862</v>
      </c>
      <c r="G5" s="18"/>
      <c r="H5" s="17"/>
      <c r="I5" s="17"/>
      <c r="J5" s="17">
        <f>SUM(J6:J12)</f>
        <v>0</v>
      </c>
      <c r="K5" s="17"/>
      <c r="L5" s="17"/>
      <c r="M5" s="17"/>
      <c r="N5" s="17">
        <f>SUM(N6:N12)</f>
        <v>100.06966228458177</v>
      </c>
      <c r="O5" s="17">
        <f>B38*B39*B40</f>
        <v>0</v>
      </c>
      <c r="P5" s="17">
        <f>B46*B47*B48/1000-B46*B47*B48/1000/B49</f>
        <v>0</v>
      </c>
      <c r="R5" s="32"/>
    </row>
    <row r="6" spans="1:18">
      <c r="A6" s="32" t="s">
        <v>53</v>
      </c>
      <c r="B6" s="37">
        <f>B26</f>
        <v>121.268490020139</v>
      </c>
      <c r="C6" s="33"/>
      <c r="D6" s="37">
        <f>IF(ISERROR(TER_kantoor_gas_kWh/1000),0,TER_kantoor_gas_kWh/1000)*0.902</f>
        <v>0</v>
      </c>
      <c r="E6" s="33">
        <f>$C$26*'E Balans VL '!I12/100/3.6*1000000</f>
        <v>4.2448741902194422</v>
      </c>
      <c r="F6" s="33">
        <f>$C$26*('E Balans VL '!L12+'E Balans VL '!N12)/100/3.6*1000000</f>
        <v>18.386906696020773</v>
      </c>
      <c r="G6" s="34"/>
      <c r="H6" s="33"/>
      <c r="I6" s="33"/>
      <c r="J6" s="33">
        <f>$C$26*('E Balans VL '!D12+'E Balans VL '!E12)/100/3.6*1000000</f>
        <v>0</v>
      </c>
      <c r="K6" s="33"/>
      <c r="L6" s="33"/>
      <c r="M6" s="33"/>
      <c r="N6" s="33">
        <f>$C$26*'E Balans VL '!Y12/100/3.6*1000000</f>
        <v>0.93736747186289393</v>
      </c>
      <c r="O6" s="33"/>
      <c r="P6" s="33"/>
      <c r="R6" s="32"/>
    </row>
    <row r="7" spans="1:18">
      <c r="A7" s="32" t="s">
        <v>52</v>
      </c>
      <c r="B7" s="37">
        <f t="shared" ref="B7:B12" si="0">B27</f>
        <v>154.474256576594</v>
      </c>
      <c r="C7" s="33"/>
      <c r="D7" s="37">
        <f>IF(ISERROR(TER_horeca_gas_kWh/1000),0,TER_horeca_gas_kWh/1000)*0.902</f>
        <v>95.930480722192328</v>
      </c>
      <c r="E7" s="33">
        <f>$C$27*'E Balans VL '!I9/100/3.6*1000000</f>
        <v>8.7144020782968106</v>
      </c>
      <c r="F7" s="33">
        <f>$C$27*('E Balans VL '!L9+'E Balans VL '!N9)/100/3.6*1000000</f>
        <v>26.910270367154595</v>
      </c>
      <c r="G7" s="34"/>
      <c r="H7" s="33"/>
      <c r="I7" s="33"/>
      <c r="J7" s="33">
        <f>$C$27*('E Balans VL '!D9+'E Balans VL '!E9)/100/3.6*1000000</f>
        <v>0</v>
      </c>
      <c r="K7" s="33"/>
      <c r="L7" s="33"/>
      <c r="M7" s="33"/>
      <c r="N7" s="33">
        <f>$C$27*'E Balans VL '!Y9/100/3.6*1000000</f>
        <v>0</v>
      </c>
      <c r="O7" s="33"/>
      <c r="P7" s="33"/>
      <c r="R7" s="32"/>
    </row>
    <row r="8" spans="1:18">
      <c r="A8" s="6" t="s">
        <v>51</v>
      </c>
      <c r="B8" s="37">
        <f t="shared" si="0"/>
        <v>634.55168663870097</v>
      </c>
      <c r="C8" s="33"/>
      <c r="D8" s="37">
        <f>IF(ISERROR(TER_handel_gas_kWh/1000),0,TER_handel_gas_kWh/1000)*0.902</f>
        <v>113.2332984167703</v>
      </c>
      <c r="E8" s="33">
        <f>$C$28*'E Balans VL '!I13/100/3.6*1000000</f>
        <v>3.2577238896867531</v>
      </c>
      <c r="F8" s="33">
        <f>$C$28*('E Balans VL '!L13+'E Balans VL '!N13)/100/3.6*1000000</f>
        <v>97.838065249619362</v>
      </c>
      <c r="G8" s="34"/>
      <c r="H8" s="33"/>
      <c r="I8" s="33"/>
      <c r="J8" s="33">
        <f>$C$28*('E Balans VL '!D13+'E Balans VL '!E13)/100/3.6*1000000</f>
        <v>0</v>
      </c>
      <c r="K8" s="33"/>
      <c r="L8" s="33"/>
      <c r="M8" s="33"/>
      <c r="N8" s="33">
        <f>$C$28*'E Balans VL '!Y13/100/3.6*1000000</f>
        <v>0.29678756958686231</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318.18553529937503</v>
      </c>
      <c r="C10" s="33"/>
      <c r="D10" s="37">
        <f>IF(ISERROR(TER_ander_gas_kWh/1000),0,TER_ander_gas_kWh/1000)*0.902</f>
        <v>0</v>
      </c>
      <c r="E10" s="33">
        <f>$C$30*'E Balans VL '!I14/100/3.6*1000000</f>
        <v>1.9396668736804359</v>
      </c>
      <c r="F10" s="33">
        <f>$C$30*('E Balans VL '!L14+'E Balans VL '!N14)/100/3.6*1000000</f>
        <v>84.355344055275069</v>
      </c>
      <c r="G10" s="34"/>
      <c r="H10" s="33"/>
      <c r="I10" s="33"/>
      <c r="J10" s="33">
        <f>$C$30*('E Balans VL '!D14+'E Balans VL '!E14)/100/3.6*1000000</f>
        <v>0</v>
      </c>
      <c r="K10" s="33"/>
      <c r="L10" s="33"/>
      <c r="M10" s="33"/>
      <c r="N10" s="33">
        <f>$C$30*'E Balans VL '!Y14/100/3.6*1000000</f>
        <v>73.334890403152713</v>
      </c>
      <c r="O10" s="33"/>
      <c r="P10" s="33"/>
      <c r="R10" s="32"/>
    </row>
    <row r="11" spans="1:18">
      <c r="A11" s="32" t="s">
        <v>54</v>
      </c>
      <c r="B11" s="37">
        <f t="shared" si="0"/>
        <v>83.716673660490798</v>
      </c>
      <c r="C11" s="33"/>
      <c r="D11" s="37">
        <f>IF(ISERROR(TER_onderwijs_gas_kWh/1000),0,TER_onderwijs_gas_kWh/1000)*0.902</f>
        <v>0</v>
      </c>
      <c r="E11" s="33">
        <f>$C$31*'E Balans VL '!I11/100/3.6*1000000</f>
        <v>6.379646450254324E-2</v>
      </c>
      <c r="F11" s="33">
        <f>$C$31*('E Balans VL '!L11+'E Balans VL '!N11)/100/3.6*1000000</f>
        <v>60.58197292533881</v>
      </c>
      <c r="G11" s="34"/>
      <c r="H11" s="33"/>
      <c r="I11" s="33"/>
      <c r="J11" s="33">
        <f>$C$31*('E Balans VL '!D11+'E Balans VL '!E11)/100/3.6*1000000</f>
        <v>0</v>
      </c>
      <c r="K11" s="33"/>
      <c r="L11" s="33"/>
      <c r="M11" s="33"/>
      <c r="N11" s="33">
        <f>$C$31*'E Balans VL '!Y11/100/3.6*1000000</f>
        <v>0.24673304519788755</v>
      </c>
      <c r="O11" s="33"/>
      <c r="P11" s="33"/>
      <c r="R11" s="32"/>
    </row>
    <row r="12" spans="1:18">
      <c r="A12" s="32" t="s">
        <v>259</v>
      </c>
      <c r="B12" s="37">
        <f t="shared" si="0"/>
        <v>890.38991236062895</v>
      </c>
      <c r="C12" s="33"/>
      <c r="D12" s="37">
        <f>IF(ISERROR(TER_rest_gas_kWh/1000),0,TER_rest_gas_kWh/1000)*0.902</f>
        <v>530.13130720453205</v>
      </c>
      <c r="E12" s="33">
        <f>$C$32*'E Balans VL '!I8/100/3.6*1000000</f>
        <v>19.096240246326683</v>
      </c>
      <c r="F12" s="33">
        <f>$C$32*('E Balans VL '!L8+'E Balans VL '!N8)/100/3.6*1000000</f>
        <v>175.68973798710007</v>
      </c>
      <c r="G12" s="34"/>
      <c r="H12" s="33"/>
      <c r="I12" s="33"/>
      <c r="J12" s="33">
        <f>$C$32*('E Balans VL '!D8+'E Balans VL '!E8)/100/3.6*1000000</f>
        <v>0</v>
      </c>
      <c r="K12" s="33"/>
      <c r="L12" s="33"/>
      <c r="M12" s="33"/>
      <c r="N12" s="33">
        <f>$C$32*'E Balans VL '!Y8/100/3.6*1000000</f>
        <v>25.253883794781412</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2202.5865545559286</v>
      </c>
      <c r="C16" s="21">
        <f ca="1">C5+C13+C14</f>
        <v>0</v>
      </c>
      <c r="D16" s="21">
        <f t="shared" ref="D16:N16" ca="1" si="1">MAX((D5+D13+D14),0)</f>
        <v>739.29508634349463</v>
      </c>
      <c r="E16" s="21">
        <f t="shared" si="1"/>
        <v>37.316703742712676</v>
      </c>
      <c r="F16" s="21">
        <f t="shared" ca="1" si="1"/>
        <v>463.76229728050862</v>
      </c>
      <c r="G16" s="21">
        <f t="shared" si="1"/>
        <v>0</v>
      </c>
      <c r="H16" s="21">
        <f t="shared" si="1"/>
        <v>0</v>
      </c>
      <c r="I16" s="21">
        <f t="shared" si="1"/>
        <v>0</v>
      </c>
      <c r="J16" s="21">
        <f t="shared" si="1"/>
        <v>0</v>
      </c>
      <c r="K16" s="21">
        <f t="shared" si="1"/>
        <v>0</v>
      </c>
      <c r="L16" s="21">
        <f t="shared" ca="1" si="1"/>
        <v>0</v>
      </c>
      <c r="M16" s="21">
        <f t="shared" si="1"/>
        <v>0</v>
      </c>
      <c r="N16" s="21">
        <f t="shared" ca="1" si="1"/>
        <v>100.06966228458177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0.21736646975207374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478.76846368720555</v>
      </c>
      <c r="C20" s="23">
        <f t="shared" ref="C20:P20" ca="1" si="2">C16*C18</f>
        <v>0</v>
      </c>
      <c r="D20" s="23">
        <f t="shared" ca="1" si="2"/>
        <v>149.33760744138593</v>
      </c>
      <c r="E20" s="23">
        <f t="shared" si="2"/>
        <v>8.4708917495957774</v>
      </c>
      <c r="F20" s="23">
        <f t="shared" ca="1" si="2"/>
        <v>123.8245333738958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121.268490020139</v>
      </c>
      <c r="C26" s="39">
        <f>IF(ISERROR(B26*3.6/1000000/'E Balans VL '!Z12*100),0,B26*3.6/1000000/'E Balans VL '!Z12*100)</f>
        <v>2.5518942638210608E-3</v>
      </c>
      <c r="D26" s="238" t="s">
        <v>718</v>
      </c>
      <c r="F26" s="6"/>
    </row>
    <row r="27" spans="1:18">
      <c r="A27" s="232" t="s">
        <v>52</v>
      </c>
      <c r="B27" s="33">
        <f>IF(ISERROR(TER_horeca_ele_kWh/1000),0,TER_horeca_ele_kWh/1000)</f>
        <v>154.474256576594</v>
      </c>
      <c r="C27" s="39">
        <f>IF(ISERROR(B27*3.6/1000000/'E Balans VL '!Z9*100),0,B27*3.6/1000000/'E Balans VL '!Z9*100)</f>
        <v>1.307890123569898E-2</v>
      </c>
      <c r="D27" s="238" t="s">
        <v>718</v>
      </c>
      <c r="F27" s="6"/>
    </row>
    <row r="28" spans="1:18">
      <c r="A28" s="172" t="s">
        <v>51</v>
      </c>
      <c r="B28" s="33">
        <f>IF(ISERROR(TER_handel_ele_kWh/1000),0,TER_handel_ele_kWh/1000)</f>
        <v>634.55168663870097</v>
      </c>
      <c r="C28" s="39">
        <f>IF(ISERROR(B28*3.6/1000000/'E Balans VL '!Z13*100),0,B28*3.6/1000000/'E Balans VL '!Z13*100)</f>
        <v>1.7567475699390753E-2</v>
      </c>
      <c r="D28" s="238" t="s">
        <v>718</v>
      </c>
      <c r="F28" s="6"/>
    </row>
    <row r="29" spans="1:18">
      <c r="A29" s="232" t="s">
        <v>50</v>
      </c>
      <c r="B29" s="33">
        <f>IF(ISERROR(TER_gezond_ele_kWh/1000),0,TER_gezond_ele_kWh/1000)</f>
        <v>0</v>
      </c>
      <c r="C29" s="39">
        <f>IF(ISERROR(B29*3.6/1000000/'E Balans VL '!Z10*100),0,B29*3.6/1000000/'E Balans VL '!Z10*100)</f>
        <v>0</v>
      </c>
      <c r="D29" s="238" t="s">
        <v>718</v>
      </c>
      <c r="F29" s="6"/>
    </row>
    <row r="30" spans="1:18">
      <c r="A30" s="232" t="s">
        <v>49</v>
      </c>
      <c r="B30" s="33">
        <f>IF(ISERROR(TER_ander_ele_kWh/1000),0,TER_ander_ele_kWh/1000)</f>
        <v>318.18553529937503</v>
      </c>
      <c r="C30" s="39">
        <f>IF(ISERROR(B30*3.6/1000000/'E Balans VL '!Z14*100),0,B30*3.6/1000000/'E Balans VL '!Z14*100)</f>
        <v>2.4662296969968051E-2</v>
      </c>
      <c r="D30" s="238" t="s">
        <v>718</v>
      </c>
      <c r="F30" s="6"/>
    </row>
    <row r="31" spans="1:18">
      <c r="A31" s="232" t="s">
        <v>54</v>
      </c>
      <c r="B31" s="33">
        <f>IF(ISERROR(TER_onderwijs_ele_kWh/1000),0,TER_onderwijs_ele_kWh/1000)</f>
        <v>83.716673660490798</v>
      </c>
      <c r="C31" s="39">
        <f>IF(ISERROR(B31*3.6/1000000/'E Balans VL '!Z11*100),0,B31*3.6/1000000/'E Balans VL '!Z11*100)</f>
        <v>1.6016426173183225E-2</v>
      </c>
      <c r="D31" s="238" t="s">
        <v>718</v>
      </c>
    </row>
    <row r="32" spans="1:18">
      <c r="A32" s="232" t="s">
        <v>259</v>
      </c>
      <c r="B32" s="33">
        <f>IF(ISERROR(TER_rest_ele_kWh/1000),0,TER_rest_ele_kWh/1000)</f>
        <v>890.38991236062895</v>
      </c>
      <c r="C32" s="39">
        <f>IF(ISERROR(B32*3.6/1000000/'E Balans VL '!Z8*100),0,B32*3.6/1000000/'E Balans VL '!Z8*100)</f>
        <v>7.3419485716844429E-3</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16135.256166383298</v>
      </c>
      <c r="C5" s="17">
        <f>IF(ISERROR('Eigen informatie GS &amp; warmtenet'!B59),0,'Eigen informatie GS &amp; warmtenet'!B59)</f>
        <v>0</v>
      </c>
      <c r="D5" s="30">
        <f>SUM(D6:D15)</f>
        <v>1223.7390503071654</v>
      </c>
      <c r="E5" s="17">
        <f>SUM(E6:E15)</f>
        <v>147.28837499496717</v>
      </c>
      <c r="F5" s="17">
        <f>SUM(F6:F15)</f>
        <v>3369.6818940104245</v>
      </c>
      <c r="G5" s="18"/>
      <c r="H5" s="17"/>
      <c r="I5" s="17"/>
      <c r="J5" s="17">
        <f>SUM(J6:J15)</f>
        <v>106.48901653893974</v>
      </c>
      <c r="K5" s="17"/>
      <c r="L5" s="17"/>
      <c r="M5" s="17"/>
      <c r="N5" s="17">
        <f>SUM(N6:N15)</f>
        <v>304.63543333454299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265.52665185903601</v>
      </c>
      <c r="C9" s="33"/>
      <c r="D9" s="37">
        <f>IF( ISERROR(IND_andere_gas_kWh/1000),0,IND_andere_gas_kWh/1000)*0.902</f>
        <v>0</v>
      </c>
      <c r="E9" s="33">
        <f>C31*'E Balans VL '!I19/100/3.6*1000000</f>
        <v>4.4598453985066664</v>
      </c>
      <c r="F9" s="33">
        <f>C31*'E Balans VL '!L19/100/3.6*1000000+C31*'E Balans VL '!N19/100/3.6*1000000</f>
        <v>207.57361315452232</v>
      </c>
      <c r="G9" s="34"/>
      <c r="H9" s="33"/>
      <c r="I9" s="33"/>
      <c r="J9" s="40">
        <f>C31*'E Balans VL '!D19/100/3.6*1000000+C31*'E Balans VL '!E19/100/3.6*1000000</f>
        <v>2.3948160091724235E-2</v>
      </c>
      <c r="K9" s="33"/>
      <c r="L9" s="33"/>
      <c r="M9" s="33"/>
      <c r="N9" s="33">
        <f>C31*'E Balans VL '!Y19/100/3.6*1000000</f>
        <v>19.679784902844876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58.130053438262401</v>
      </c>
      <c r="C11" s="33"/>
      <c r="D11" s="37">
        <f>IF( ISERROR(IND_textiel_gas_kWh/1000),0,IND_textiel_gas_kWh/1000)*0.902</f>
        <v>0</v>
      </c>
      <c r="E11" s="33">
        <f>C33*'E Balans VL '!I21/100/3.6*1000000</f>
        <v>0.13258386922877907</v>
      </c>
      <c r="F11" s="33">
        <f>C33*'E Balans VL '!L21/100/3.6*1000000+C33*'E Balans VL '!N21/100/3.6*1000000</f>
        <v>1.2425838076245266</v>
      </c>
      <c r="G11" s="34"/>
      <c r="H11" s="33"/>
      <c r="I11" s="33"/>
      <c r="J11" s="40">
        <f>C33*'E Balans VL '!D21/100/3.6*1000000+C33*'E Balans VL '!E21/100/3.6*1000000</f>
        <v>0</v>
      </c>
      <c r="K11" s="33"/>
      <c r="L11" s="33"/>
      <c r="M11" s="33"/>
      <c r="N11" s="33">
        <f>C33*'E Balans VL '!Y21/100/3.6*1000000</f>
        <v>0.41236675679192503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15811.599461086</v>
      </c>
      <c r="C15" s="33"/>
      <c r="D15" s="37">
        <f>IF( ISERROR(IND_rest_gas_kWh/1000),0,IND_rest_gas_kWh/1000)*0.902</f>
        <v>1223.7390503071654</v>
      </c>
      <c r="E15" s="33">
        <f>C37*'E Balans VL '!I15/100/3.6*1000000</f>
        <v>142.69594572723173</v>
      </c>
      <c r="F15" s="33">
        <f>C37*'E Balans VL '!L15/100/3.6*1000000+C37*'E Balans VL '!N15/100/3.6*1000000</f>
        <v>3160.8656970482775</v>
      </c>
      <c r="G15" s="34"/>
      <c r="H15" s="33"/>
      <c r="I15" s="33"/>
      <c r="J15" s="40">
        <f>C37*'E Balans VL '!D15/100/3.6*1000000+C37*'E Balans VL '!E15/100/3.6*1000000</f>
        <v>106.46506837884802</v>
      </c>
      <c r="K15" s="33"/>
      <c r="L15" s="33"/>
      <c r="M15" s="33"/>
      <c r="N15" s="33">
        <f>C37*'E Balans VL '!Y15/100/3.6*1000000</f>
        <v>284.54328167490621</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16135.256166383298</v>
      </c>
      <c r="C18" s="21">
        <f>C5+C16</f>
        <v>0</v>
      </c>
      <c r="D18" s="21">
        <f>MAX((D5+D16),0)</f>
        <v>1223.7390503071654</v>
      </c>
      <c r="E18" s="21">
        <f>MAX((E5+E16),0)</f>
        <v>147.28837499496717</v>
      </c>
      <c r="F18" s="21">
        <f>MAX((F5+F16),0)</f>
        <v>3369.6818940104245</v>
      </c>
      <c r="G18" s="21"/>
      <c r="H18" s="21"/>
      <c r="I18" s="21"/>
      <c r="J18" s="21">
        <f>MAX((J5+J16),0)</f>
        <v>106.48901653893974</v>
      </c>
      <c r="K18" s="21"/>
      <c r="L18" s="21">
        <f>MAX((L5+L16),0)</f>
        <v>0</v>
      </c>
      <c r="M18" s="21"/>
      <c r="N18" s="21">
        <f>MAX((N5+N16),0)</f>
        <v>304.63543333454299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0.21736646975207374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3507.2636714321166</v>
      </c>
      <c r="C22" s="23">
        <f ca="1">C18*C20</f>
        <v>0</v>
      </c>
      <c r="D22" s="23">
        <f>D18*D20</f>
        <v>247.19528816204743</v>
      </c>
      <c r="E22" s="23">
        <f>E18*E20</f>
        <v>33.434461123857552</v>
      </c>
      <c r="F22" s="23">
        <f>F18*F20</f>
        <v>899.70506570078339</v>
      </c>
      <c r="G22" s="23"/>
      <c r="H22" s="23"/>
      <c r="I22" s="23"/>
      <c r="J22" s="23">
        <f>J18*J20</f>
        <v>37.697111854784666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265.52665185903601</v>
      </c>
      <c r="C31" s="39">
        <f>IF(ISERROR(B31*3.6/1000000/'E Balans VL '!Z19*100),0,B31*3.6/1000000/'E Balans VL '!Z19*100)</f>
        <v>1.1769744208902014E-2</v>
      </c>
      <c r="D31" s="238" t="s">
        <v>718</v>
      </c>
    </row>
    <row r="32" spans="1:18">
      <c r="A32" s="172" t="s">
        <v>40</v>
      </c>
      <c r="B32" s="37">
        <f>IF( ISERROR(IND_voed_ele_kWh/1000),0,IND_voed_ele_kWh/1000)</f>
        <v>0</v>
      </c>
      <c r="C32" s="39">
        <f>IF(ISERROR(B32*3.6/1000000/'E Balans VL '!Z20*100),0,B32*3.6/1000000/'E Balans VL '!Z20*100)</f>
        <v>0</v>
      </c>
      <c r="D32" s="238" t="s">
        <v>718</v>
      </c>
    </row>
    <row r="33" spans="1:5">
      <c r="A33" s="172" t="s">
        <v>39</v>
      </c>
      <c r="B33" s="37">
        <f>IF( ISERROR(IND_textiel_ele_kWh/1000),0,IND_textiel_ele_kWh/1000)</f>
        <v>58.130053438262401</v>
      </c>
      <c r="C33" s="39">
        <f>IF(ISERROR(B33*3.6/1000000/'E Balans VL '!Z21*100),0,B33*3.6/1000000/'E Balans VL '!Z21*100)</f>
        <v>7.6529555853744203E-3</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15811.599461086</v>
      </c>
      <c r="C37" s="39">
        <f>IF(ISERROR(B37*3.6/1000000/'E Balans VL '!Z15*100),0,B37*3.6/1000000/'E Balans VL '!Z15*100)</f>
        <v>0.11761254069152677</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247.33319105774618</v>
      </c>
      <c r="C5" s="17">
        <f>'Eigen informatie GS &amp; warmtenet'!B60</f>
        <v>0</v>
      </c>
      <c r="D5" s="30">
        <f>IF(ISERROR(SUM(LB_lb_gas_kWh,LB_rest_gas_kWh)/1000),0,SUM(LB_lb_gas_kWh,LB_rest_gas_kWh)/1000)*0.902</f>
        <v>0</v>
      </c>
      <c r="E5" s="17">
        <f>B17*'E Balans VL '!I25/3.6*1000000/100</f>
        <v>2.5901267222090114</v>
      </c>
      <c r="F5" s="17">
        <f>B17*('E Balans VL '!L25/3.6*1000000+'E Balans VL '!N25/3.6*1000000)/100</f>
        <v>1058.7739910392118</v>
      </c>
      <c r="G5" s="18"/>
      <c r="H5" s="17"/>
      <c r="I5" s="17"/>
      <c r="J5" s="17">
        <f>('E Balans VL '!D25+'E Balans VL '!E25)/3.6*1000000*landbouw!B17/100</f>
        <v>22.089070846667497</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247.33319105774618</v>
      </c>
      <c r="C8" s="21">
        <f>C5+C6</f>
        <v>0</v>
      </c>
      <c r="D8" s="21">
        <f>MAX((D5+D6),0)</f>
        <v>0</v>
      </c>
      <c r="E8" s="21">
        <f>MAX((E5+E6),0)</f>
        <v>2.5901267222090114</v>
      </c>
      <c r="F8" s="21">
        <f>MAX((F5+F6),0)</f>
        <v>1058.7739910392118</v>
      </c>
      <c r="G8" s="21"/>
      <c r="H8" s="21"/>
      <c r="I8" s="21"/>
      <c r="J8" s="21">
        <f>MAX((J5+J6),0)</f>
        <v>22.089070846667497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0.21736646975207374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53.761942592737462</v>
      </c>
      <c r="C12" s="23">
        <f ca="1">C8*C10</f>
        <v>0</v>
      </c>
      <c r="D12" s="23">
        <f>D8*D10</f>
        <v>0</v>
      </c>
      <c r="E12" s="23">
        <f>E8*E10</f>
        <v>0.58795876594144558</v>
      </c>
      <c r="F12" s="23">
        <f>F8*F10</f>
        <v>282.69265560746953</v>
      </c>
      <c r="G12" s="23"/>
      <c r="H12" s="23"/>
      <c r="I12" s="23"/>
      <c r="J12" s="23">
        <f>J8*J10</f>
        <v>7.819531079720293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3.8069352516678603E-2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29.662901491857127</v>
      </c>
      <c r="C26" s="248">
        <f>B26*'GWP N2O_CH4'!B5</f>
        <v>622.9209313289997</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14.143385696663991</v>
      </c>
      <c r="C27" s="248">
        <f>B27*'GWP N2O_CH4'!B5</f>
        <v>297.01109962994383</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0.48528143515016897</v>
      </c>
      <c r="C28" s="248">
        <f>B28*'GWP N2O_CH4'!B4</f>
        <v>150.43724489655239</v>
      </c>
      <c r="D28" s="50"/>
    </row>
    <row r="29" spans="1:4">
      <c r="A29" s="41" t="s">
        <v>276</v>
      </c>
      <c r="B29" s="248">
        <f>B34*'ha_N2O bodem landbouw'!B4</f>
        <v>6.7477967743566261</v>
      </c>
      <c r="C29" s="248">
        <f>B29*'GWP N2O_CH4'!B4</f>
        <v>2091.8170000505543</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1.1151620404788952E-3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5.7502717739221491E-7</v>
      </c>
      <c r="C5" s="443" t="s">
        <v>210</v>
      </c>
      <c r="D5" s="428">
        <f>SUM(D6:D11)</f>
        <v>2.8076487245822743E-6</v>
      </c>
      <c r="E5" s="428">
        <f>SUM(E6:E11)</f>
        <v>2.8925440713232218E-4</v>
      </c>
      <c r="F5" s="441" t="s">
        <v>210</v>
      </c>
      <c r="G5" s="428">
        <f>SUM(G6:G11)</f>
        <v>5.6913493488105392E-2</v>
      </c>
      <c r="H5" s="428">
        <f>SUM(H6:H11)</f>
        <v>9.7626677773056982E-3</v>
      </c>
      <c r="I5" s="443" t="s">
        <v>210</v>
      </c>
      <c r="J5" s="443" t="s">
        <v>210</v>
      </c>
      <c r="K5" s="443" t="s">
        <v>210</v>
      </c>
      <c r="L5" s="443" t="s">
        <v>210</v>
      </c>
      <c r="M5" s="428">
        <f>SUM(M6:M11)</f>
        <v>2.9011138503551256E-3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5.5060254727978493E-7</v>
      </c>
      <c r="C6" s="429"/>
      <c r="D6" s="429">
        <f>vkm_GW_PW*SUMIFS(TableVerdeelsleutelVkm[CNG],TableVerdeelsleutelVkm[Voertuigtype],"Lichte voertuigen")*SUMIFS(TableECFTransport[EnergieConsumptieFactor (PJ per km)],TableECFTransport[Index],CONCATENATE($A6,"_CNG_CNG"))</f>
        <v>2.6116484196675375E-6</v>
      </c>
      <c r="E6" s="431">
        <f>vkm_GW_PW*SUMIFS(TableVerdeelsleutelVkm[LPG],TableVerdeelsleutelVkm[Voertuigtype],"Lichte voertuigen")*SUMIFS(TableECFTransport[EnergieConsumptieFactor (PJ per km)],TableECFTransport[Index],CONCATENATE($A6,"_LPG_LPG"))</f>
        <v>2.7025113186113849E-4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3.660485727422632E-2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9.1141999616625897E-3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1.9963888652931379E-3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1.7785531553545834E-2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4.9394538070404428E-7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7.662086660474508E-4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2.4424630112429998E-8</v>
      </c>
      <c r="C8" s="429"/>
      <c r="D8" s="431">
        <f>vkm_NGW_PW*SUMIFS(TableVerdeelsleutelVkm[CNG],TableVerdeelsleutelVkm[Voertuigtype],"Lichte voertuigen")*SUMIFS(TableECFTransport[EnergieConsumptieFactor (PJ per km)],TableECFTransport[Index],CONCATENATE($A8,"_CNG_CNG"))</f>
        <v>1.9600030491473679E-7</v>
      </c>
      <c r="E8" s="431">
        <f>vkm_NGW_PW*SUMIFS(TableVerdeelsleutelVkm[LPG],TableVerdeelsleutelVkm[Voertuigtype],"Lichte voertuigen")*SUMIFS(TableECFTransport[EnergieConsumptieFactor (PJ per km)],TableECFTransport[Index],CONCATENATE($A8,"_LPG_LPG"))</f>
        <v>1.9003275271183676E-5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2.4670751911594698E-3</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6.4797199666917537E-4</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1.361025297709717E-4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5.6029469173770359E-5</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1.8735932299966491E-9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2.4137892435653612E-6</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0.15972977149783746</v>
      </c>
      <c r="C14" s="21"/>
      <c r="D14" s="21">
        <f t="shared" ref="D14:M14" si="0">((D5)*10^9/3600)+D12</f>
        <v>0.7799024234950761</v>
      </c>
      <c r="E14" s="21">
        <f t="shared" si="0"/>
        <v>80.348446425645051</v>
      </c>
      <c r="F14" s="21"/>
      <c r="G14" s="21">
        <f t="shared" si="0"/>
        <v>15809.303746695943</v>
      </c>
      <c r="H14" s="21">
        <f t="shared" si="0"/>
        <v>2711.8521603626941</v>
      </c>
      <c r="I14" s="21"/>
      <c r="J14" s="21"/>
      <c r="K14" s="21"/>
      <c r="L14" s="21"/>
      <c r="M14" s="21">
        <f t="shared" si="0"/>
        <v>805.86495843197929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0.21736646975207374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3.4719896544790338E-2</v>
      </c>
      <c r="C18" s="23"/>
      <c r="D18" s="23">
        <f t="shared" ref="D18:M18" si="1">D14*D16</f>
        <v>0.15754028954600538</v>
      </c>
      <c r="E18" s="23">
        <f t="shared" si="1"/>
        <v>18.239097338621427</v>
      </c>
      <c r="F18" s="23"/>
      <c r="G18" s="23">
        <f t="shared" si="1"/>
        <v>4221.084100367817</v>
      </c>
      <c r="H18" s="23">
        <f t="shared" si="1"/>
        <v>675.25118793031083</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1.0933421970678928E-3</v>
      </c>
      <c r="H50" s="320">
        <f t="shared" si="2"/>
        <v>0</v>
      </c>
      <c r="I50" s="320">
        <f t="shared" si="2"/>
        <v>0</v>
      </c>
      <c r="J50" s="320">
        <f t="shared" si="2"/>
        <v>0</v>
      </c>
      <c r="K50" s="320">
        <f t="shared" si="2"/>
        <v>0</v>
      </c>
      <c r="L50" s="320">
        <f t="shared" si="2"/>
        <v>0</v>
      </c>
      <c r="M50" s="320">
        <f t="shared" si="2"/>
        <v>4.6492930386465483E-5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1.0933421970678928E-3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4.6492930386465483E-5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303.70616585219244</v>
      </c>
      <c r="H54" s="21">
        <f t="shared" si="3"/>
        <v>0</v>
      </c>
      <c r="I54" s="21">
        <f t="shared" si="3"/>
        <v>0</v>
      </c>
      <c r="J54" s="21">
        <f t="shared" si="3"/>
        <v>0</v>
      </c>
      <c r="K54" s="21">
        <f t="shared" si="3"/>
        <v>0</v>
      </c>
      <c r="L54" s="21">
        <f t="shared" si="3"/>
        <v>0</v>
      </c>
      <c r="M54" s="21">
        <f t="shared" si="3"/>
        <v>12.9147028851293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0.21736646975207374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81.08954628253538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374.35036476697547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374.35036476697547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2020-06-20T16:40:49Z</dcterms:modified>
</cp:coreProperties>
</file>