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S37" i="18"/>
  <c r="E9" i="18" s="1"/>
  <c r="R37" i="18"/>
  <c r="Q37" i="18"/>
  <c r="P37" i="18"/>
  <c r="C9" i="18" s="1"/>
  <c r="O37" i="18"/>
  <c r="N37" i="18"/>
  <c r="B9" i="18" s="1"/>
  <c r="M37"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I9" i="18" l="1"/>
  <c r="G20" i="18"/>
  <c r="K20" i="18"/>
  <c r="B46" i="18"/>
  <c r="I50" i="18" s="1"/>
  <c r="H17" i="18" s="1"/>
  <c r="J9" i="18"/>
  <c r="O9" i="18" s="1"/>
  <c r="B17" i="18"/>
  <c r="B20" i="18" s="1"/>
  <c r="C46" i="18"/>
  <c r="H49" i="18" s="1"/>
  <c r="O19" i="18"/>
  <c r="O18" i="18"/>
  <c r="L20" i="18"/>
  <c r="B10" i="18"/>
  <c r="D50"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50" i="18"/>
  <c r="C17" i="18" s="1"/>
  <c r="D87" i="14" s="1"/>
  <c r="D17" i="55" s="1"/>
  <c r="D20" i="55" s="1"/>
  <c r="L20" i="55"/>
  <c r="F50" i="18"/>
  <c r="J77" i="14"/>
  <c r="J9" i="55" s="1"/>
  <c r="H50" i="18"/>
  <c r="H20" i="18"/>
  <c r="M87" i="14"/>
  <c r="M17" i="55" s="1"/>
  <c r="M20" i="55" s="1"/>
  <c r="C50" i="18"/>
  <c r="E50" i="18"/>
  <c r="E17" i="18" s="1"/>
  <c r="G50" i="18"/>
  <c r="I17" i="18" s="1"/>
  <c r="K10" i="55"/>
  <c r="C49" i="18"/>
  <c r="E49" i="18"/>
  <c r="E8" i="18" s="1"/>
  <c r="G49" i="18"/>
  <c r="I49" i="18"/>
  <c r="H8" i="18" s="1"/>
  <c r="B49" i="18"/>
  <c r="C8" i="18" s="1"/>
  <c r="D76" i="14" s="1"/>
  <c r="D8" i="55" s="1"/>
  <c r="D10" i="55" s="1"/>
  <c r="D49" i="18"/>
  <c r="F49"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<sst xmlns="http://schemas.openxmlformats.org/spreadsheetml/2006/main" count="2531" uniqueCount="983">
  <si>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</si>
  <si>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</si>
  <si>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</si>
  <si>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</si>
  <si>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</si>
  <si>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</si>
  <si>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</si>
  <si>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</si>
  <si>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</si>
  <si>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</si>
  <si>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</si>
  <si>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</si>
  <si>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</si>
  <si>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</si>
  <si>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</si>
  <si>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</si>
  <si>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</si>
  <si>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</si>
  <si>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</si>
  <si>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</si>
  <si>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</si>
  <si>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</si>
  <si>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</si>
  <si>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</si>
  <si>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</si>
  <si>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</si>
  <si>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</si>
  <si>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</si>
  <si>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</si>
  <si>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</si>
  <si>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</si>
  <si>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</si>
  <si>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</si>
  <si>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</si>
  <si>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</si>
  <si>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</si>
  <si>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</si>
  <si>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</si>
  <si>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</si>
  <si>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</si>
  <si>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</si>
  <si>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</si>
  <si>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</si>
  <si>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</si>
  <si>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</si>
  <si>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</si>
  <si>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</si>
  <si>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</si>
  <si>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</si>
  <si>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</si>
  <si>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</si>
  <si>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</si>
  <si>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</si>
  <si>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</si>
  <si>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</si>
  <si>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</si>
  <si>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</si>
  <si>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</si>
  <si>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</si>
  <si>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</si>
  <si>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</si>
  <si>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</si>
  <si>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</si>
  <si>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</si>
  <si>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</si>
  <si>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</si>
  <si>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</si>
  <si>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</si>
  <si>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</si>
  <si>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</si>
  <si>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</si>
  <si>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</si>
  <si>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</si>
  <si>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</si>
  <si>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</si>
  <si>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</si>
  <si>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</si>
  <si>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</si>
  <si>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</si>
  <si>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</si>
  <si>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</si>
  <si>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</si>
  <si>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</si>
  <si>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</si>
  <si>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</si>
  <si>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</si>
  <si>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</si>
  <si>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</si>
  <si>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</si>
  <si>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</si>
  <si>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</si>
  <si>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</si>
  <si>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</si>
  <si>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</si>
  <si>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</si>
  <si>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</si>
  <si>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</si>
  <si>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</si>
  <si>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</si>
  <si>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</si>
  <si>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</si>
  <si>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</si>
  <si>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</si>
  <si>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</si>
  <si>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</si>
  <si>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</si>
  <si>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</si>
  <si>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</si>
  <si>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</si>
  <si>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</si>
  <si>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</si>
  <si>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</si>
  <si>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</si>
  <si>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</si>
  <si>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</si>
  <si>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</si>
  <si>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</si>
  <si>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</si>
  <si>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</si>
  <si>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</si>
  <si>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</si>
  <si>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</si>
  <si>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</si>
  <si>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</si>
  <si>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</si>
  <si>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</si>
  <si>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</si>
  <si>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</si>
  <si>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</si>
  <si>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</si>
  <si>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</si>
  <si>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</si>
  <si>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</si>
  <si>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</si>
  <si>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</si>
  <si>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</si>
  <si>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</si>
  <si>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</si>
  <si>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</si>
  <si>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</si>
  <si>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</si>
  <si>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</si>
  <si>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</si>
  <si>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</si>
  <si>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</si>
  <si>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</si>
  <si>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</si>
  <si>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</si>
  <si>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</si>
  <si>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</si>
  <si>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</si>
  <si>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</si>
  <si>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</si>
  <si>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</si>
  <si>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</si>
  <si>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</si>
  <si>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</si>
  <si>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</si>
  <si>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</si>
  <si>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</si>
  <si>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</si>
  <si>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</si>
  <si>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</si>
  <si>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</si>
  <si>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</si>
  <si>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</si>
  <si>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</si>
  <si>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</si>
  <si>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</si>
  <si>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</si>
  <si>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</si>
  <si>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</si>
  <si>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</si>
  <si>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</si>
  <si>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</si>
  <si>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</si>
  <si>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</si>
  <si>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</si>
  <si>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</si>
  <si>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</si>
  <si>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</si>
  <si>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</si>
  <si>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</si>
  <si>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</si>
  <si>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</si>
  <si>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</si>
  <si>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</si>
  <si>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</si>
  <si>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</si>
  <si>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</si>
  <si>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</si>
  <si>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</si>
  <si>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</si>
  <si>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</si>
  <si>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</si>
  <si>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</si>
  <si>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</si>
  <si>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</si>
  <si>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</si>
  <si>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</si>
  <si>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</si>
  <si>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</si>
  <si>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</si>
  <si>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</si>
  <si>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</si>
  <si>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</si>
  <si>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</si>
  <si>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</si>
  <si>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</si>
  <si>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</si>
  <si>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</si>
  <si>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</si>
  <si>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</si>
  <si>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</si>
  <si>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</si>
  <si>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</si>
  <si>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</si>
  <si>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</si>
  <si>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</si>
  <si>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</si>
  <si>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</si>
  <si>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</si>
  <si>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</si>
  <si>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</si>
  <si>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</si>
  <si>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</si>
  <si>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</si>
  <si>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</si>
  <si>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</si>
  <si>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</si>
  <si>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</si>
  <si>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</si>
  <si>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</si>
  <si>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</si>
  <si>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</si>
  <si>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</si>
  <si>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</si>
  <si>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</si>
  <si>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</si>
  <si>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</si>
  <si>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</si>
  <si>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</si>
  <si>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</si>
  <si>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</si>
  <si>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</si>
  <si>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</si>
  <si>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</si>
  <si>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</si>
  <si>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</si>
  <si>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</si>
  <si>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</si>
  <si>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</si>
  <si>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</si>
  <si>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</si>
  <si>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</si>
  <si>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</si>
  <si>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</si>
  <si>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</si>
  <si>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</si>
  <si>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</si>
  <si>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</si>
  <si>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</si>
  <si>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</si>
  <si>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</si>
  <si>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</si>
  <si>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</si>
  <si>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</si>
  <si>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</si>
  <si>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</si>
  <si>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</si>
  <si>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</si>
  <si>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</si>
  <si>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</si>
  <si>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</si>
  <si>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</si>
  <si>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</si>
  <si>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</si>
  <si>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</si>
  <si>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</si>
  <si>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</si>
  <si>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</si>
  <si>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</si>
  <si>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</si>
  <si>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</si>
  <si>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</si>
  <si>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</si>
  <si>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</si>
  <si>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</si>
  <si>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</si>
  <si>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</si>
  <si>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</si>
  <si>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</si>
  <si>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</si>
  <si>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</si>
  <si>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</si>
  <si>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</si>
  <si>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</si>
  <si>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</si>
  <si>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</si>
  <si>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</si>
  <si>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</si>
  <si>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</si>
  <si>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</si>
  <si>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</si>
  <si>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</si>
  <si>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</si>
  <si>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</si>
  <si>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</si>
  <si>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</si>
  <si>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</si>
  <si>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</si>
  <si>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</si>
  <si>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</si>
  <si>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</si>
  <si>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</si>
  <si>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</si>
  <si>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</si>
  <si>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</si>
  <si>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</si>
  <si>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</si>
  <si>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</si>
  <si>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</si>
  <si>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</si>
  <si>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</si>
  <si>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</si>
  <si>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</si>
  <si>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</si>
  <si>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</si>
  <si>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</si>
  <si>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</si>
  <si>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</si>
  <si>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</si>
  <si>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</si>
  <si>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</si>
  <si>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</si>
  <si>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</si>
  <si>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</si>
  <si>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</si>
  <si>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</si>
  <si>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</si>
  <si>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</si>
  <si>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</si>
  <si>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</si>
  <si>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</si>
  <si>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</si>
  <si>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</si>
  <si>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</si>
  <si>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</si>
  <si>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</si>
  <si>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</si>
  <si>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</si>
  <si>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</si>
  <si>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</si>
  <si>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</si>
  <si>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</si>
  <si>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</si>
  <si>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</si>
  <si>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</si>
  <si>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</si>
  <si>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</si>
  <si>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</si>
  <si>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</si>
  <si>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</si>
  <si>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</si>
  <si>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</si>
  <si>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</si>
  <si>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</si>
  <si>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</si>
  <si>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</si>
  <si>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</si>
  <si>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</si>
  <si>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</si>
  <si>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</si>
  <si>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</si>
  <si>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</si>
  <si>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</si>
  <si>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</si>
  <si>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</si>
  <si>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</si>
  <si>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</si>
  <si>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</si>
  <si>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</si>
  <si>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</si>
  <si>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</si>
  <si>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</si>
  <si>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</si>
  <si>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</si>
  <si>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</si>
  <si>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</si>
  <si>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</si>
  <si>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</si>
  <si>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</si>
  <si>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</si>
  <si>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</si>
  <si>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</si>
  <si>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</si>
  <si>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</si>
  <si>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</si>
  <si>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</si>
  <si>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</si>
  <si>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</si>
  <si>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</si>
  <si>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</si>
  <si>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</si>
  <si>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</si>
  <si>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</si>
  <si>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</si>
  <si>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</si>
  <si>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</si>
  <si>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</si>
  <si>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</si>
  <si>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</si>
  <si>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</si>
  <si>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</si>
  <si>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</si>
  <si>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</si>
  <si>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</si>
  <si>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</si>
  <si>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</si>
  <si>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</si>
  <si>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</si>
  <si>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</si>
  <si>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</si>
  <si>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</si>
  <si>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</si>
  <si>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</si>
  <si>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</si>
  <si>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</si>
  <si>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</si>
  <si>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</si>
  <si>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</si>
  <si>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</si>
  <si>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</si>
  <si>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</si>
  <si>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</si>
  <si>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</si>
  <si>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</si>
  <si>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</si>
  <si>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</si>
  <si>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</si>
  <si>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</si>
  <si>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</si>
  <si>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</si>
  <si>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</si>
  <si>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</si>
  <si>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</si>
  <si>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</si>
  <si>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</si>
  <si>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</si>
  <si>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</si>
  <si>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</si>
  <si>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</si>
  <si>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</si>
  <si>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</si>
  <si>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</si>
  <si>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</si>
  <si>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</si>
  <si>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</si>
  <si>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</si>
  <si>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</si>
  <si>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</si>
  <si>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</si>
  <si>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</si>
  <si>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</si>
  <si>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</si>
  <si>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</si>
  <si>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</si>
  <si>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</si>
  <si>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</si>
  <si>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</si>
  <si>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</si>
  <si>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</si>
  <si>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</si>
  <si>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</si>
  <si>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</si>
  <si>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</si>
  <si>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</si>
  <si>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</si>
  <si>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</si>
  <si>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</si>
  <si>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</si>
  <si>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</si>
  <si>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</si>
  <si>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</si>
  <si>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</si>
  <si>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</si>
  <si>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</si>
  <si>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</si>
  <si>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</si>
  <si>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</si>
  <si>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</si>
  <si>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</si>
  <si>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</si>
  <si>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</si>
  <si>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</si>
  <si>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</si>
  <si>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</si>
  <si>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</si>
  <si>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</si>
  <si>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</si>
  <si>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</si>
  <si>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</si>
  <si>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</si>
  <si>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</si>
  <si>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</si>
  <si>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</si>
  <si>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</si>
  <si>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</si>
  <si>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</si>
  <si>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</si>
  <si>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</si>
  <si>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</si>
  <si>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</si>
  <si>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</si>
  <si>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</si>
  <si>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</si>
  <si>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</si>
  <si>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</si>
  <si>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</si>
  <si>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</si>
  <si>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</si>
  <si>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</si>
  <si>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</si>
  <si>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</si>
  <si>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</si>
  <si>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</si>
  <si>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</si>
  <si>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</si>
  <si>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</si>
  <si>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</si>
  <si>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</si>
  <si>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</si>
  <si>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</si>
  <si>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</si>
  <si>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</si>
  <si>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</si>
  <si>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</si>
  <si>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</si>
  <si>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</si>
  <si>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</si>
  <si>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</si>
  <si>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</si>
  <si>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</si>
  <si>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</si>
  <si>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</si>
  <si>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</si>
  <si>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</si>
  <si>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</si>
  <si>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</si>
  <si>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</si>
  <si>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</si>
  <si>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</si>
  <si>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</si>
  <si>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</si>
  <si>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</si>
  <si>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</si>
  <si>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</si>
  <si>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</si>
  <si>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</si>
  <si>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</si>
  <si>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</si>
  <si>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</si>
  <si>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</si>
  <si>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</si>
  <si>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</si>
  <si>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</si>
  <si>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</si>
  <si>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</si>
  <si>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</si>
  <si>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</si>
  <si>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</si>
  <si>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</si>
  <si>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</si>
  <si>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</si>
  <si>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</si>
  <si>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</si>
  <si>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</si>
  <si>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</si>
  <si>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</si>
  <si>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</si>
  <si>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</si>
  <si>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</si>
  <si>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</si>
  <si>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</si>
  <si>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</si>
  <si>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</si>
  <si>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</si>
  <si>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</si>
  <si>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</si>
  <si>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</si>
  <si>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</si>
  <si>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</si>
  <si>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</si>
  <si>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</si>
  <si>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</si>
  <si>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</si>
  <si>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</si>
  <si>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</si>
  <si>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</si>
  <si>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</si>
  <si>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</si>
  <si>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</si>
  <si>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</si>
  <si>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</si>
  <si>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</si>
  <si>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</si>
  <si>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</si>
  <si>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</si>
  <si>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</si>
  <si>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</si>
  <si>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</si>
  <si>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</si>
  <si>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</si>
  <si>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</si>
  <si>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</si>
  <si>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</si>
  <si>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</si>
  <si>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</si>
  <si>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</si>
  <si>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</si>
  <si>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</si>
  <si>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</si>
  <si>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</si>
  <si>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</si>
  <si>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</si>
  <si>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</si>
  <si>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</si>
  <si>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</si>
  <si>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</si>
  <si>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</si>
  <si>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</si>
  <si>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</si>
  <si>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</si>
  <si>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</si>
  <si>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</si>
  <si>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</si>
  <si>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</si>
  <si>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</si>
  <si>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</si>
  <si>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</si>
  <si>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</si>
  <si>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</si>
  <si>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</si>
  <si>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</si>
  <si>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</si>
  <si>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</si>
  <si>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</si>
  <si>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</si>
  <si>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</si>
  <si>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</si>
  <si>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</si>
  <si>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</si>
  <si>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</si>
  <si>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</si>
  <si>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</si>
  <si>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</si>
  <si>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</si>
  <si>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</si>
  <si>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</si>
  <si>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</si>
  <si>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</si>
  <si>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</si>
  <si>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</si>
  <si>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</si>
  <si>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</si>
  <si>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</si>
  <si>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</si>
  <si>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</si>
  <si>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</si>
  <si>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</si>
  <si>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</si>
  <si>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</si>
  <si>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</si>
  <si>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</si>
  <si>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</si>
  <si>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</si>
  <si>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</si>
  <si>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</si>
  <si>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</si>
  <si>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</si>
  <si>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</si>
  <si>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</si>
  <si>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</si>
  <si>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</si>
  <si>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</si>
  <si>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</si>
  <si>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</si>
  <si>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</si>
  <si>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</si>
  <si>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</si>
  <si>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</si>
  <si>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</si>
  <si>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</si>
  <si>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</si>
  <si>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</si>
  <si>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</si>
  <si>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</si>
  <si>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</si>
  <si>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</si>
  <si>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</si>
  <si>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</si>
  <si>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</si>
  <si>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</si>
  <si>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</si>
  <si>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</si>
  <si>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</si>
  <si>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</si>
  <si>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</si>
  <si>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</si>
  <si>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</si>
  <si>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</si>
  <si>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</si>
  <si>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</si>
  <si>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</si>
  <si>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</si>
  <si>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</si>
  <si>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</si>
  <si>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</si>
  <si>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</si>
  <si>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</si>
  <si>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</si>
  <si>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</si>
  <si>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</si>
  <si>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</si>
  <si>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</si>
  <si>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</si>
  <si>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</si>
  <si>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</si>
  <si>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</si>
  <si>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</si>
  <si>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</si>
  <si>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</si>
  <si>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</si>
  <si>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</si>
  <si>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</si>
  <si>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</si>
  <si>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</si>
  <si>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</si>
  <si>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</si>
  <si>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</si>
  <si>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</si>
  <si>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</si>
  <si>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</si>
  <si>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</si>
  <si>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</si>
  <si>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</si>
  <si>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</si>
  <si>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</si>
  <si>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</si>
  <si>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</si>
  <si>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</si>
  <si>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</si>
  <si>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</si>
  <si>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</si>
  <si>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</si>
  <si>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</si>
  <si>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</si>
  <si>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</si>
  <si>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</si>
  <si>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</si>
  <si>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</si>
  <si>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</si>
  <si>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</si>
  <si>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</si>
  <si>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</si>
  <si>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</si>
  <si>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</si>
  <si>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</si>
  <si>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</si>
  <si>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</si>
  <si>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</si>
  <si>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</si>
  <si>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</si>
  <si>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</si>
  <si>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</si>
  <si>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</si>
  <si>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</si>
  <si>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</si>
  <si>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</si>
  <si>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</si>
  <si>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</si>
  <si>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</si>
  <si>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</si>
  <si>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</si>
  <si>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</si>
  <si>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</si>
  <si>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</si>
  <si>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</si>
  <si>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</si>
  <si>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</si>
  <si>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</si>
  <si>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</si>
  <si>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</si>
  <si>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</si>
  <si>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</si>
  <si>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</si>
  <si>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</si>
  <si>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</si>
  <si>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</si>
  <si>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</si>
  <si>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</si>
  <si>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</si>
  <si>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</si>
  <si>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</si>
  <si>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</si>
  <si>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</si>
  <si>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</si>
  <si>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</si>
  <si>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</si>
  <si>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</si>
  <si>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</si>
  <si>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</si>
  <si>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</si>
  <si>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</si>
  <si>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</si>
  <si>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</si>
  <si>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</si>
  <si>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</si>
  <si>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</si>
  <si>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</si>
  <si>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</si>
  <si>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</si>
  <si>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</si>
  <si>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</si>
  <si>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</si>
  <si>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</si>
  <si>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</si>
  <si>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</si>
  <si>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</si>
  <si>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</si>
  <si>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</si>
  <si>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</si>
  <si>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</si>
  <si>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</si>
  <si>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</si>
  <si>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</si>
  <si>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</si>
  <si>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</si>
  <si>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</si>
  <si>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</si>
  <si>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</si>
  <si>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</si>
  <si>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</si>
  <si>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</si>
  <si>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</si>
  <si>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</si>
  <si>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</si>
  <si>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</si>
  <si>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</si>
  <si>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</si>
  <si>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</si>
  <si>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</si>
  <si>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</si>
  <si>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</si>
  <si>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</si>
  <si>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</si>
  <si>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</si>
  <si>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</si>
  <si>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</si>
  <si>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</si>
  <si>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</si>
  <si>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</si>
  <si>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</si>
  <si>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</si>
  <si>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</si>
  <si>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</si>
  <si>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</si>
  <si>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</si>
  <si>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</si>
  <si>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</si>
  <si>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</si>
  <si>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</si>
  <si>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</si>
  <si>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</si>
  <si>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</si>
  <si>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</si>
  <si>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</si>
  <si>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</si>
  <si>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</si>
  <si>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</si>
  <si>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</si>
  <si>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</si>
  <si>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</si>
  <si>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</si>
  <si>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</si>
  <si>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</si>
  <si>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</si>
  <si>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</si>
  <si>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</si>
  <si>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</si>
  <si>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</si>
  <si>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</si>
  <si>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</si>
  <si>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</si>
  <si>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</si>
  <si>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</si>
  <si>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</si>
  <si>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</si>
  <si>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</si>
  <si>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</si>
  <si>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</si>
  <si>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</si>
  <si>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</si>
  <si>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</si>
  <si>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</si>
  <si>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</si>
  <si>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</si>
  <si>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</si>
  <si>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</si>
  <si>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</si>
  <si>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</si>
  <si>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</si>
  <si>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</si>
  <si>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</si>
  <si>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</si>
  <si>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</si>
  <si>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</si>
  <si>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</si>
  <si>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</si>
  <si>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</si>
  <si>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</si>
  <si>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</si>
  <si>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</si>
  <si>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</si>
  <si>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</si>
  <si>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</si>
  <si>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</si>
  <si>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</si>
  <si>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</si>
  <si>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</si>
  <si>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</si>
  <si>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</si>
  <si>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</si>
  <si>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</si>
  <si>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</si>
  <si>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</si>
  <si>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</si>
  <si>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</si>
  <si>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</si>
  <si>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</si>
  <si>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</si>
  <si>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</si>
  <si>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</si>
  <si>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</si>
  <si>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</si>
  <si>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</si>
  <si>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</si>
  <si>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</si>
  <si>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</si>
  <si>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</si>
  <si>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</si>
  <si>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</si>
  <si>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</si>
  <si>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</si>
  <si>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</si>
  <si>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</si>
  <si>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</si>
  <si>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</si>
  <si>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</si>
  <si>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</si>
  <si>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</si>
  <si>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</si>
  <si>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</si>
  <si>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</si>
  <si>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32003</t>
  </si>
  <si>
    <t>DIKSMUIDE</t>
  </si>
  <si>
    <t>Paarden&amp;pony's 200 - 600 kg</t>
  </si>
  <si>
    <t>Paarden&amp;pony's &lt; 200 kg</t>
  </si>
  <si>
    <t>Fluvius</t>
  </si>
  <si>
    <t xml:space="preserve">Bron: </t>
  </si>
  <si>
    <t>referentietaak LNE (2017); Jaarverslag De Lijn</t>
  </si>
  <si>
    <t>Filip Beuselinck</t>
  </si>
  <si>
    <t>Viconiastraat 27 , 8600 Stuivekenskerke</t>
  </si>
  <si>
    <t>BMS-0070 Filip Beuselinck</t>
  </si>
  <si>
    <t>biomassa uit land- of bosbouw</t>
  </si>
  <si>
    <t>niet WKK interne verbrandingsmotor (vloeibaar)</t>
  </si>
  <si>
    <t>Infrax West</t>
  </si>
  <si>
    <t>Ijzer Energie nv</t>
  </si>
  <si>
    <t>Zandvoortstraat C47/11, 8790 Waregem</t>
  </si>
  <si>
    <t>BGS-0060 Ijzer Energie -agr.verg</t>
  </si>
  <si>
    <t>biogas - hoofdzakelijk agrarische stromen</t>
  </si>
  <si>
    <t>niet WKK interne verbrandingsmotor (andere biomassa)</t>
  </si>
  <si>
    <t>Jagersstraat 4 A, 8600 Diksmuide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</si>
</sst>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32003</v>
      </c>
      <c r="B6" s="394"/>
      <c r="C6" s="395"/>
    </row>
    <row r="7" spans="1:7" s="392" customFormat="1" ht="15.75" customHeight="1">
      <c r="A7" s="396" t="str">
        <f>txtMunicipality</f>
        <v>DIKSMUIDE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0.20329385533948577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0.20329385533948577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6736</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12412</v>
      </c>
      <c r="C14" s="331"/>
      <c r="D14" s="331"/>
      <c r="E14" s="331"/>
      <c r="F14" s="331"/>
    </row>
    <row r="15" spans="1:6">
      <c r="A15" s="1290" t="s">
        <v>183</v>
      </c>
      <c r="B15" s="1291">
        <v>191</v>
      </c>
      <c r="C15" s="331"/>
      <c r="D15" s="331"/>
      <c r="E15" s="331"/>
      <c r="F15" s="331"/>
    </row>
    <row r="16" spans="1:6">
      <c r="A16" s="1290" t="s">
        <v>6</v>
      </c>
      <c r="B16" s="1291">
        <v>6044</v>
      </c>
      <c r="C16" s="331"/>
      <c r="D16" s="331"/>
      <c r="E16" s="331"/>
      <c r="F16" s="331"/>
    </row>
    <row r="17" spans="1:6">
      <c r="A17" s="1290" t="s">
        <v>7</v>
      </c>
      <c r="B17" s="1291">
        <v>3558</v>
      </c>
      <c r="C17" s="331"/>
      <c r="D17" s="331"/>
      <c r="E17" s="331"/>
      <c r="F17" s="331"/>
    </row>
    <row r="18" spans="1:6">
      <c r="A18" s="1290" t="s">
        <v>8</v>
      </c>
      <c r="B18" s="1291">
        <v>6039</v>
      </c>
      <c r="C18" s="331"/>
      <c r="D18" s="331"/>
      <c r="E18" s="331"/>
      <c r="F18" s="331"/>
    </row>
    <row r="19" spans="1:6">
      <c r="A19" s="1290" t="s">
        <v>9</v>
      </c>
      <c r="B19" s="1291">
        <v>6060</v>
      </c>
      <c r="C19" s="331"/>
      <c r="D19" s="331"/>
      <c r="E19" s="331"/>
      <c r="F19" s="331"/>
    </row>
    <row r="20" spans="1:6">
      <c r="A20" s="1290" t="s">
        <v>10</v>
      </c>
      <c r="B20" s="1291">
        <v>4363</v>
      </c>
      <c r="C20" s="331"/>
      <c r="D20" s="331"/>
      <c r="E20" s="331"/>
      <c r="F20" s="331"/>
    </row>
    <row r="21" spans="1:6">
      <c r="A21" s="1290" t="s">
        <v>11</v>
      </c>
      <c r="B21" s="1291">
        <v>49701</v>
      </c>
      <c r="C21" s="331"/>
      <c r="D21" s="331"/>
      <c r="E21" s="331"/>
      <c r="F21" s="331"/>
    </row>
    <row r="22" spans="1:6">
      <c r="A22" s="1290" t="s">
        <v>12</v>
      </c>
      <c r="B22" s="1291">
        <v>104598</v>
      </c>
      <c r="C22" s="331"/>
      <c r="D22" s="331"/>
      <c r="E22" s="331"/>
      <c r="F22" s="331"/>
    </row>
    <row r="23" spans="1:6">
      <c r="A23" s="1290" t="s">
        <v>13</v>
      </c>
      <c r="B23" s="1291">
        <v>1905</v>
      </c>
      <c r="C23" s="331"/>
      <c r="D23" s="331"/>
      <c r="E23" s="331"/>
      <c r="F23" s="331"/>
    </row>
    <row r="24" spans="1:6">
      <c r="A24" s="1290" t="s">
        <v>14</v>
      </c>
      <c r="B24" s="1291">
        <v>110</v>
      </c>
      <c r="C24" s="331"/>
      <c r="D24" s="331"/>
      <c r="E24" s="331"/>
      <c r="F24" s="331"/>
    </row>
    <row r="25" spans="1:6">
      <c r="A25" s="1290" t="s">
        <v>15</v>
      </c>
      <c r="B25" s="1291">
        <v>12520</v>
      </c>
      <c r="C25" s="331"/>
      <c r="D25" s="331"/>
      <c r="E25" s="331"/>
      <c r="F25" s="331"/>
    </row>
    <row r="26" spans="1:6">
      <c r="A26" s="1290" t="s">
        <v>16</v>
      </c>
      <c r="B26" s="1291">
        <v>1620</v>
      </c>
      <c r="C26" s="331"/>
      <c r="D26" s="331"/>
      <c r="E26" s="331"/>
      <c r="F26" s="331"/>
    </row>
    <row r="27" spans="1:6">
      <c r="A27" s="1290" t="s">
        <v>17</v>
      </c>
      <c r="B27" s="1291">
        <v>5</v>
      </c>
      <c r="C27" s="331"/>
      <c r="D27" s="331"/>
      <c r="E27" s="331"/>
      <c r="F27" s="331"/>
    </row>
    <row r="28" spans="1:6" s="43" customFormat="1">
      <c r="A28" s="1292" t="s">
        <v>18</v>
      </c>
      <c r="B28" s="1293">
        <v>280933</v>
      </c>
      <c r="C28" s="337"/>
      <c r="D28" s="337"/>
      <c r="E28" s="337"/>
      <c r="F28" s="337"/>
    </row>
    <row r="29" spans="1:6">
      <c r="A29" s="1292" t="s">
        <v>966</v>
      </c>
      <c r="B29" s="1293">
        <v>161</v>
      </c>
      <c r="C29" s="337"/>
      <c r="D29" s="337"/>
      <c r="E29" s="337"/>
      <c r="F29" s="337"/>
    </row>
    <row r="30" spans="1:6">
      <c r="A30" s="1285" t="s">
        <v>967</v>
      </c>
      <c r="B30" s="1294">
        <v>53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7</v>
      </c>
      <c r="F36" s="1291">
        <v>78027</v>
      </c>
    </row>
    <row r="37" spans="1:6">
      <c r="A37" s="1290" t="s">
        <v>24</v>
      </c>
      <c r="B37" s="1290" t="s">
        <v>27</v>
      </c>
      <c r="C37" s="1291">
        <v>0</v>
      </c>
      <c r="D37" s="1291">
        <v>0</v>
      </c>
      <c r="E37" s="1291">
        <v>0</v>
      </c>
      <c r="F37" s="1291">
        <v>0</v>
      </c>
    </row>
    <row r="38" spans="1:6">
      <c r="A38" s="1290" t="s">
        <v>24</v>
      </c>
      <c r="B38" s="1290" t="s">
        <v>28</v>
      </c>
      <c r="C38" s="1291">
        <v>1</v>
      </c>
      <c r="D38" s="1291">
        <v>1143138</v>
      </c>
      <c r="E38" s="1291">
        <v>0</v>
      </c>
      <c r="F38" s="1291">
        <v>0</v>
      </c>
    </row>
    <row r="39" spans="1:6">
      <c r="A39" s="1290" t="s">
        <v>29</v>
      </c>
      <c r="B39" s="1290" t="s">
        <v>30</v>
      </c>
      <c r="C39" s="1291">
        <v>4110</v>
      </c>
      <c r="D39" s="1291">
        <v>67276834</v>
      </c>
      <c r="E39" s="1291">
        <v>6517</v>
      </c>
      <c r="F39" s="1291">
        <v>29962227.11894564</v>
      </c>
    </row>
    <row r="40" spans="1:6">
      <c r="A40" s="1290" t="s">
        <v>29</v>
      </c>
      <c r="B40" s="1290" t="s">
        <v>28</v>
      </c>
      <c r="C40" s="1291">
        <v>0</v>
      </c>
      <c r="D40" s="1291">
        <v>0</v>
      </c>
      <c r="E40" s="1291">
        <v>0</v>
      </c>
      <c r="F40" s="1291">
        <v>0</v>
      </c>
    </row>
    <row r="41" spans="1:6">
      <c r="A41" s="1290" t="s">
        <v>31</v>
      </c>
      <c r="B41" s="1290" t="s">
        <v>32</v>
      </c>
      <c r="C41" s="1291">
        <v>45</v>
      </c>
      <c r="D41" s="1291">
        <v>4115665</v>
      </c>
      <c r="E41" s="1291">
        <v>155</v>
      </c>
      <c r="F41" s="1291">
        <v>10407031</v>
      </c>
    </row>
    <row r="42" spans="1:6">
      <c r="A42" s="1290" t="s">
        <v>31</v>
      </c>
      <c r="B42" s="1290" t="s">
        <v>33</v>
      </c>
      <c r="C42" s="1291">
        <v>0</v>
      </c>
      <c r="D42" s="1291">
        <v>0</v>
      </c>
      <c r="E42" s="1291">
        <v>3</v>
      </c>
      <c r="F42" s="1291">
        <v>377203</v>
      </c>
    </row>
    <row r="43" spans="1:6">
      <c r="A43" s="1290" t="s">
        <v>31</v>
      </c>
      <c r="B43" s="1290" t="s">
        <v>34</v>
      </c>
      <c r="C43" s="1291">
        <v>0</v>
      </c>
      <c r="D43" s="1291">
        <v>0</v>
      </c>
      <c r="E43" s="1291">
        <v>0</v>
      </c>
      <c r="F43" s="1291">
        <v>0</v>
      </c>
    </row>
    <row r="44" spans="1:6">
      <c r="A44" s="1290" t="s">
        <v>31</v>
      </c>
      <c r="B44" s="1290" t="s">
        <v>35</v>
      </c>
      <c r="C44" s="1291">
        <v>13</v>
      </c>
      <c r="D44" s="1291">
        <v>1593157</v>
      </c>
      <c r="E44" s="1291">
        <v>42</v>
      </c>
      <c r="F44" s="1291">
        <v>3798956</v>
      </c>
    </row>
    <row r="45" spans="1:6">
      <c r="A45" s="1290" t="s">
        <v>31</v>
      </c>
      <c r="B45" s="1290" t="s">
        <v>36</v>
      </c>
      <c r="C45" s="1291">
        <v>0</v>
      </c>
      <c r="D45" s="1291">
        <v>0</v>
      </c>
      <c r="E45" s="1291">
        <v>3</v>
      </c>
      <c r="F45" s="1291">
        <v>286047</v>
      </c>
    </row>
    <row r="46" spans="1:6">
      <c r="A46" s="1290" t="s">
        <v>31</v>
      </c>
      <c r="B46" s="1290" t="s">
        <v>37</v>
      </c>
      <c r="C46" s="1291">
        <v>0</v>
      </c>
      <c r="D46" s="1291">
        <v>0</v>
      </c>
      <c r="E46" s="1291">
        <v>0</v>
      </c>
      <c r="F46" s="1291">
        <v>0</v>
      </c>
    </row>
    <row r="47" spans="1:6">
      <c r="A47" s="1290" t="s">
        <v>31</v>
      </c>
      <c r="B47" s="1290" t="s">
        <v>38</v>
      </c>
      <c r="C47" s="1291">
        <v>0</v>
      </c>
      <c r="D47" s="1291">
        <v>0</v>
      </c>
      <c r="E47" s="1291">
        <v>3</v>
      </c>
      <c r="F47" s="1291">
        <v>124322</v>
      </c>
    </row>
    <row r="48" spans="1:6">
      <c r="A48" s="1290" t="s">
        <v>31</v>
      </c>
      <c r="B48" s="1290" t="s">
        <v>28</v>
      </c>
      <c r="C48" s="1291">
        <v>3</v>
      </c>
      <c r="D48" s="1291">
        <v>240581</v>
      </c>
      <c r="E48" s="1291">
        <v>0</v>
      </c>
      <c r="F48" s="1291">
        <v>0</v>
      </c>
    </row>
    <row r="49" spans="1:6">
      <c r="A49" s="1290" t="s">
        <v>31</v>
      </c>
      <c r="B49" s="1290" t="s">
        <v>39</v>
      </c>
      <c r="C49" s="1291">
        <v>0</v>
      </c>
      <c r="D49" s="1291">
        <v>0</v>
      </c>
      <c r="E49" s="1291">
        <v>0</v>
      </c>
      <c r="F49" s="1291">
        <v>0</v>
      </c>
    </row>
    <row r="50" spans="1:6">
      <c r="A50" s="1290" t="s">
        <v>31</v>
      </c>
      <c r="B50" s="1290" t="s">
        <v>40</v>
      </c>
      <c r="C50" s="1291">
        <v>20</v>
      </c>
      <c r="D50" s="1291">
        <v>1374417</v>
      </c>
      <c r="E50" s="1291">
        <v>39</v>
      </c>
      <c r="F50" s="1291">
        <v>4734353</v>
      </c>
    </row>
    <row r="51" spans="1:6">
      <c r="A51" s="1290" t="s">
        <v>41</v>
      </c>
      <c r="B51" s="1290" t="s">
        <v>42</v>
      </c>
      <c r="C51" s="1291">
        <v>30</v>
      </c>
      <c r="D51" s="1291">
        <v>633832</v>
      </c>
      <c r="E51" s="1291">
        <v>364</v>
      </c>
      <c r="F51" s="1291">
        <v>9895880</v>
      </c>
    </row>
    <row r="52" spans="1:6">
      <c r="A52" s="1290" t="s">
        <v>41</v>
      </c>
      <c r="B52" s="1290" t="s">
        <v>28</v>
      </c>
      <c r="C52" s="1291">
        <v>0</v>
      </c>
      <c r="D52" s="1291">
        <v>0</v>
      </c>
      <c r="E52" s="1291">
        <v>1</v>
      </c>
      <c r="F52" s="1291">
        <v>40220.090958250403</v>
      </c>
    </row>
    <row r="53" spans="1:6">
      <c r="A53" s="1290" t="s">
        <v>43</v>
      </c>
      <c r="B53" s="1290" t="s">
        <v>44</v>
      </c>
      <c r="C53" s="1291">
        <v>0</v>
      </c>
      <c r="D53" s="1291">
        <v>0</v>
      </c>
      <c r="E53" s="1291">
        <v>0</v>
      </c>
      <c r="F53" s="1291">
        <v>0</v>
      </c>
    </row>
    <row r="54" spans="1:6">
      <c r="A54" s="1290" t="s">
        <v>45</v>
      </c>
      <c r="B54" s="1290" t="s">
        <v>46</v>
      </c>
      <c r="C54" s="1291">
        <v>0</v>
      </c>
      <c r="D54" s="1291">
        <v>0</v>
      </c>
      <c r="E54" s="1291">
        <v>77</v>
      </c>
      <c r="F54" s="1291">
        <v>1371667</v>
      </c>
    </row>
    <row r="55" spans="1:6">
      <c r="A55" s="1290" t="s">
        <v>45</v>
      </c>
      <c r="B55" s="1290" t="s">
        <v>28</v>
      </c>
      <c r="C55" s="1291">
        <v>0</v>
      </c>
      <c r="D55" s="1291">
        <v>0</v>
      </c>
      <c r="E55" s="1291">
        <v>0</v>
      </c>
      <c r="F55" s="1291">
        <v>0</v>
      </c>
    </row>
    <row r="56" spans="1:6">
      <c r="A56" s="1290" t="s">
        <v>47</v>
      </c>
      <c r="B56" s="1290" t="s">
        <v>28</v>
      </c>
      <c r="C56" s="1291">
        <v>52</v>
      </c>
      <c r="D56" s="1291">
        <v>1365453</v>
      </c>
      <c r="E56" s="1291">
        <v>169</v>
      </c>
      <c r="F56" s="1291">
        <v>2892217</v>
      </c>
    </row>
    <row r="57" spans="1:6">
      <c r="A57" s="1290" t="s">
        <v>48</v>
      </c>
      <c r="B57" s="1290" t="s">
        <v>49</v>
      </c>
      <c r="C57" s="1291">
        <v>30</v>
      </c>
      <c r="D57" s="1291">
        <v>1269304</v>
      </c>
      <c r="E57" s="1291">
        <v>98</v>
      </c>
      <c r="F57" s="1291">
        <v>7600440</v>
      </c>
    </row>
    <row r="58" spans="1:6">
      <c r="A58" s="1290" t="s">
        <v>48</v>
      </c>
      <c r="B58" s="1290" t="s">
        <v>50</v>
      </c>
      <c r="C58" s="1291">
        <v>20</v>
      </c>
      <c r="D58" s="1291">
        <v>1530299</v>
      </c>
      <c r="E58" s="1291">
        <v>32</v>
      </c>
      <c r="F58" s="1291">
        <v>752568</v>
      </c>
    </row>
    <row r="59" spans="1:6">
      <c r="A59" s="1290" t="s">
        <v>48</v>
      </c>
      <c r="B59" s="1290" t="s">
        <v>51</v>
      </c>
      <c r="C59" s="1291">
        <v>127</v>
      </c>
      <c r="D59" s="1291">
        <v>4982132</v>
      </c>
      <c r="E59" s="1291">
        <v>300</v>
      </c>
      <c r="F59" s="1291">
        <v>8530384</v>
      </c>
    </row>
    <row r="60" spans="1:6">
      <c r="A60" s="1290" t="s">
        <v>48</v>
      </c>
      <c r="B60" s="1290" t="s">
        <v>52</v>
      </c>
      <c r="C60" s="1291">
        <v>57</v>
      </c>
      <c r="D60" s="1291">
        <v>3024412</v>
      </c>
      <c r="E60" s="1291">
        <v>91</v>
      </c>
      <c r="F60" s="1291">
        <v>2376846</v>
      </c>
    </row>
    <row r="61" spans="1:6">
      <c r="A61" s="1290" t="s">
        <v>48</v>
      </c>
      <c r="B61" s="1290" t="s">
        <v>53</v>
      </c>
      <c r="C61" s="1291">
        <v>123</v>
      </c>
      <c r="D61" s="1291">
        <v>8293014</v>
      </c>
      <c r="E61" s="1291">
        <v>350</v>
      </c>
      <c r="F61" s="1291">
        <v>5585290</v>
      </c>
    </row>
    <row r="62" spans="1:6">
      <c r="A62" s="1290" t="s">
        <v>48</v>
      </c>
      <c r="B62" s="1290" t="s">
        <v>54</v>
      </c>
      <c r="C62" s="1291">
        <v>12</v>
      </c>
      <c r="D62" s="1291">
        <v>3076147</v>
      </c>
      <c r="E62" s="1291">
        <v>23</v>
      </c>
      <c r="F62" s="1291">
        <v>1145258</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80271</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16</v>
      </c>
      <c r="F68" s="1294">
        <v>414552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127312443</v>
      </c>
      <c r="E73" s="455"/>
      <c r="F73" s="331"/>
    </row>
    <row r="74" spans="1:6">
      <c r="A74" s="1290" t="s">
        <v>63</v>
      </c>
      <c r="B74" s="1290" t="s">
        <v>773</v>
      </c>
      <c r="C74" s="1304" t="s">
        <v>774</v>
      </c>
      <c r="D74" s="1305">
        <v>12277973.296664454</v>
      </c>
      <c r="E74" s="455"/>
      <c r="F74" s="331"/>
    </row>
    <row r="75" spans="1:6">
      <c r="A75" s="1290" t="s">
        <v>64</v>
      </c>
      <c r="B75" s="1290" t="s">
        <v>771</v>
      </c>
      <c r="C75" s="1304" t="s">
        <v>775</v>
      </c>
      <c r="D75" s="1305">
        <v>22841366</v>
      </c>
      <c r="E75" s="455"/>
      <c r="F75" s="331"/>
    </row>
    <row r="76" spans="1:6">
      <c r="A76" s="1290" t="s">
        <v>64</v>
      </c>
      <c r="B76" s="1290" t="s">
        <v>773</v>
      </c>
      <c r="C76" s="1304" t="s">
        <v>776</v>
      </c>
      <c r="D76" s="1305">
        <v>643321.29666445404</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592699.40667109203</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2642.9898546116724</v>
      </c>
      <c r="C90" s="331"/>
      <c r="D90" s="331"/>
      <c r="E90" s="331"/>
      <c r="F90" s="331"/>
    </row>
    <row r="91" spans="1:6">
      <c r="A91" s="1290" t="s">
        <v>67</v>
      </c>
      <c r="B91" s="1291">
        <v>1705.5629890622108</v>
      </c>
      <c r="C91" s="331"/>
      <c r="D91" s="331"/>
      <c r="E91" s="331"/>
      <c r="F91" s="331"/>
    </row>
    <row r="92" spans="1:6">
      <c r="A92" s="1285" t="s">
        <v>68</v>
      </c>
      <c r="B92" s="1286">
        <v>1994.7840122365124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2561</v>
      </c>
      <c r="C97" s="331"/>
      <c r="D97" s="331"/>
      <c r="E97" s="331"/>
      <c r="F97" s="331"/>
    </row>
    <row r="98" spans="1:6">
      <c r="A98" s="1290" t="s">
        <v>71</v>
      </c>
      <c r="B98" s="1291">
        <v>4</v>
      </c>
      <c r="C98" s="331"/>
      <c r="D98" s="331"/>
      <c r="E98" s="331"/>
      <c r="F98" s="331"/>
    </row>
    <row r="99" spans="1:6">
      <c r="A99" s="1290" t="s">
        <v>72</v>
      </c>
      <c r="B99" s="1291">
        <v>213</v>
      </c>
      <c r="C99" s="331"/>
      <c r="D99" s="331"/>
      <c r="E99" s="331"/>
      <c r="F99" s="331"/>
    </row>
    <row r="100" spans="1:6">
      <c r="A100" s="1290" t="s">
        <v>73</v>
      </c>
      <c r="B100" s="1291">
        <v>556</v>
      </c>
      <c r="C100" s="331"/>
      <c r="D100" s="331"/>
      <c r="E100" s="331"/>
      <c r="F100" s="331"/>
    </row>
    <row r="101" spans="1:6">
      <c r="A101" s="1290" t="s">
        <v>74</v>
      </c>
      <c r="B101" s="1291">
        <v>182</v>
      </c>
      <c r="C101" s="331"/>
      <c r="D101" s="331"/>
      <c r="E101" s="331"/>
      <c r="F101" s="331"/>
    </row>
    <row r="102" spans="1:6">
      <c r="A102" s="1290" t="s">
        <v>75</v>
      </c>
      <c r="B102" s="1291">
        <v>108</v>
      </c>
      <c r="C102" s="331"/>
      <c r="D102" s="331"/>
      <c r="E102" s="331"/>
      <c r="F102" s="331"/>
    </row>
    <row r="103" spans="1:6">
      <c r="A103" s="1290" t="s">
        <v>76</v>
      </c>
      <c r="B103" s="1291">
        <v>282</v>
      </c>
      <c r="C103" s="331"/>
      <c r="D103" s="331"/>
      <c r="E103" s="331"/>
      <c r="F103" s="331"/>
    </row>
    <row r="104" spans="1:6">
      <c r="A104" s="1290" t="s">
        <v>77</v>
      </c>
      <c r="B104" s="1291">
        <v>2006</v>
      </c>
      <c r="C104" s="331"/>
      <c r="D104" s="331"/>
      <c r="E104" s="331"/>
      <c r="F104" s="331"/>
    </row>
    <row r="105" spans="1:6">
      <c r="A105" s="1285" t="s">
        <v>78</v>
      </c>
      <c r="B105" s="1294">
        <v>12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3</v>
      </c>
      <c r="C123" s="1291">
        <v>3</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42</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4</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91587.523780521282</v>
      </c>
      <c r="C3" s="43" t="s">
        <v>169</v>
      </c>
      <c r="D3" s="43"/>
      <c r="E3" s="156"/>
      <c r="F3" s="43"/>
      <c r="G3" s="43"/>
      <c r="H3" s="43"/>
      <c r="I3" s="43"/>
      <c r="J3" s="43"/>
      <c r="K3" s="96"/>
    </row>
    <row r="4" spans="1:11">
      <c r="A4" s="362" t="s">
        <v>170</v>
      </c>
      <c r="B4" s="49">
        <f>IF(ISERROR('SEAP template'!B78+'SEAP template'!C78),0,'SEAP template'!B78+'SEAP template'!C78)</f>
        <v>7337.8368559103956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0.20329385533948577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1371.6669999999999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1371.6669999999999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0.20329385533948577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278.8514726719464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29962.227118945641</v>
      </c>
      <c r="C5" s="17">
        <f>IF(ISERROR('Eigen informatie GS &amp; warmtenet'!B57),0,'Eigen informatie GS &amp; warmtenet'!B57)</f>
        <v>0</v>
      </c>
      <c r="D5" s="30">
        <f>(SUM(HH_hh_gas_kWh,HH_rest_gas_kWh)/1000)*0.902</f>
        <v>60683.704268000001</v>
      </c>
      <c r="E5" s="17">
        <f>B46*B57</f>
        <v>28668.126985923325</v>
      </c>
      <c r="F5" s="17">
        <f>B51*B62</f>
        <v>13846.488841623815</v>
      </c>
      <c r="G5" s="18"/>
      <c r="H5" s="17"/>
      <c r="I5" s="17"/>
      <c r="J5" s="17">
        <f>B50*B61+C50*C61</f>
        <v>3668.1719438421992</v>
      </c>
      <c r="K5" s="17"/>
      <c r="L5" s="17"/>
      <c r="M5" s="17"/>
      <c r="N5" s="17">
        <f>B48*B59+C48*C59</f>
        <v>21777.592073714539</v>
      </c>
      <c r="O5" s="17">
        <f>B69*B70*B71</f>
        <v>71.913333333333341</v>
      </c>
      <c r="P5" s="17">
        <f>B77*B78*B79/1000-B77*B78*B79/1000/B80</f>
        <v>133.46666666666667</v>
      </c>
    </row>
    <row r="6" spans="1:16">
      <c r="A6" s="16" t="s">
        <v>631</v>
      </c>
      <c r="B6" s="776">
        <f>kWh_PV_kleiner_dan_10kW</f>
        <v>1705.5629890622108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31667.790108007852</v>
      </c>
      <c r="C8" s="21">
        <f>C5</f>
        <v>0</v>
      </c>
      <c r="D8" s="21">
        <f>D5</f>
        <v>60683.704268000001</v>
      </c>
      <c r="E8" s="21">
        <f>E5</f>
        <v>28668.126985923325</v>
      </c>
      <c r="F8" s="21">
        <f>F5</f>
        <v>13846.488841623815</v>
      </c>
      <c r="G8" s="21"/>
      <c r="H8" s="21"/>
      <c r="I8" s="21"/>
      <c r="J8" s="21">
        <f>J5</f>
        <v>3668.1719438421992</v>
      </c>
      <c r="K8" s="21"/>
      <c r="L8" s="21">
        <f>L5</f>
        <v>0</v>
      </c>
      <c r="M8" s="21">
        <f>M5</f>
        <v>0</v>
      </c>
      <c r="N8" s="21">
        <f>N5</f>
        <v>21777.592073714539</v>
      </c>
      <c r="O8" s="21">
        <f>O5</f>
        <v>71.913333333333341</v>
      </c>
      <c r="P8" s="21">
        <f>P5</f>
        <v>133.46666666666667</v>
      </c>
    </row>
    <row r="9" spans="1:16">
      <c r="B9" s="19"/>
      <c r="C9" s="19"/>
      <c r="D9" s="260"/>
      <c r="E9" s="19"/>
      <c r="F9" s="19"/>
      <c r="G9" s="19"/>
      <c r="H9" s="19"/>
      <c r="I9" s="19"/>
      <c r="J9" s="19"/>
      <c r="K9" s="19"/>
      <c r="L9" s="19"/>
      <c r="M9" s="19"/>
      <c r="N9" s="19"/>
      <c r="O9" s="19"/>
      <c r="P9" s="19"/>
    </row>
    <row r="10" spans="1:16">
      <c r="A10" s="24" t="s">
        <v>213</v>
      </c>
      <c r="B10" s="25">
        <f ca="1">'EF ele_warmte'!B12</f>
        <v>0.20329385533948577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6437.8671411385467</v>
      </c>
      <c r="C12" s="23">
        <f ca="1">C10*C8</f>
        <v>0</v>
      </c>
      <c r="D12" s="23">
        <f>D8*D10</f>
        <v>12258.108262136002</v>
      </c>
      <c r="E12" s="23">
        <f>E10*E8</f>
        <v>6507.6648258045952</v>
      </c>
      <c r="F12" s="23">
        <f>F10*F8</f>
        <v>3697.0125207135588</v>
      </c>
      <c r="G12" s="23"/>
      <c r="H12" s="23"/>
      <c r="I12" s="23"/>
      <c r="J12" s="23">
        <f>J10*J8</f>
        <v>1298.5328681201383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2561</v>
      </c>
      <c r="C18" s="167" t="s">
        <v>110</v>
      </c>
      <c r="D18" s="229"/>
      <c r="E18" s="15"/>
    </row>
    <row r="19" spans="1:7">
      <c r="A19" s="172" t="s">
        <v>71</v>
      </c>
      <c r="B19" s="37">
        <f>aantalw2001_ander</f>
        <v>4</v>
      </c>
      <c r="C19" s="167" t="s">
        <v>110</v>
      </c>
      <c r="D19" s="230"/>
      <c r="E19" s="15"/>
    </row>
    <row r="20" spans="1:7">
      <c r="A20" s="172" t="s">
        <v>72</v>
      </c>
      <c r="B20" s="37">
        <f>aantalw2001_propaan</f>
        <v>213</v>
      </c>
      <c r="C20" s="168">
        <f>IF(ISERROR(B20/SUM($B$20,$B$21,$B$22)*100),0,B20/SUM($B$20,$B$21,$B$22)*100)</f>
        <v>22.397476340694006</v>
      </c>
      <c r="D20" s="230"/>
      <c r="E20" s="15"/>
    </row>
    <row r="21" spans="1:7">
      <c r="A21" s="172" t="s">
        <v>73</v>
      </c>
      <c r="B21" s="37">
        <f>aantalw2001_elektriciteit</f>
        <v>556</v>
      </c>
      <c r="C21" s="168">
        <f>IF(ISERROR(B21/SUM($B$20,$B$21,$B$22)*100),0,B21/SUM($B$20,$B$21,$B$22)*100)</f>
        <v>58.464773922187177</v>
      </c>
      <c r="D21" s="230"/>
      <c r="E21" s="15"/>
    </row>
    <row r="22" spans="1:7">
      <c r="A22" s="172" t="s">
        <v>74</v>
      </c>
      <c r="B22" s="37">
        <f>aantalw2001_hout</f>
        <v>182</v>
      </c>
      <c r="C22" s="168">
        <f>IF(ISERROR(B22/SUM($B$20,$B$21,$B$22)*100),0,B22/SUM($B$20,$B$21,$B$22)*100)</f>
        <v>19.137749737118824</v>
      </c>
      <c r="D22" s="230"/>
      <c r="E22" s="15"/>
    </row>
    <row r="23" spans="1:7">
      <c r="A23" s="172" t="s">
        <v>75</v>
      </c>
      <c r="B23" s="37">
        <f>aantalw2001_niet_gespec</f>
        <v>108</v>
      </c>
      <c r="C23" s="167" t="s">
        <v>110</v>
      </c>
      <c r="D23" s="229"/>
      <c r="E23" s="15"/>
    </row>
    <row r="24" spans="1:7">
      <c r="A24" s="172" t="s">
        <v>76</v>
      </c>
      <c r="B24" s="37">
        <f>aantalw2001_steenkool</f>
        <v>282</v>
      </c>
      <c r="C24" s="167" t="s">
        <v>110</v>
      </c>
      <c r="D24" s="230"/>
      <c r="E24" s="15"/>
    </row>
    <row r="25" spans="1:7">
      <c r="A25" s="172" t="s">
        <v>77</v>
      </c>
      <c r="B25" s="37">
        <f>aantalw2001_stookolie</f>
        <v>2006</v>
      </c>
      <c r="C25" s="167" t="s">
        <v>110</v>
      </c>
      <c r="D25" s="229"/>
      <c r="E25" s="52"/>
    </row>
    <row r="26" spans="1:7">
      <c r="A26" s="172" t="s">
        <v>78</v>
      </c>
      <c r="B26" s="37">
        <f>aantalw2001_WP</f>
        <v>12</v>
      </c>
      <c r="C26" s="167" t="s">
        <v>110</v>
      </c>
      <c r="D26" s="229"/>
      <c r="E26" s="15"/>
    </row>
    <row r="27" spans="1:7" s="15" customFormat="1">
      <c r="A27" s="172"/>
      <c r="B27" s="29"/>
      <c r="C27" s="36"/>
      <c r="D27" s="229"/>
    </row>
    <row r="28" spans="1:7" s="15" customFormat="1">
      <c r="A28" s="231" t="s">
        <v>711</v>
      </c>
      <c r="B28" s="37">
        <f>aantalHuishoudens</f>
        <v>6736</v>
      </c>
      <c r="C28" s="36"/>
      <c r="D28" s="229"/>
    </row>
    <row r="29" spans="1:7" s="15" customFormat="1">
      <c r="A29" s="231" t="s">
        <v>712</v>
      </c>
      <c r="B29" s="37">
        <f>SUM(HH_hh_gas_aantal,HH_rest_gas_aantal)</f>
        <v>4110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4110</v>
      </c>
      <c r="C32" s="168">
        <f>IF(ISERROR(B32/SUM($B$32,$B$34,$B$35,$B$36,$B$38,$B$39)*100),0,B32/SUM($B$32,$B$34,$B$35,$B$36,$B$38,$B$39)*100)</f>
        <v>61.078912171199285</v>
      </c>
      <c r="D32" s="234"/>
      <c r="G32" s="15"/>
    </row>
    <row r="33" spans="1:7">
      <c r="A33" s="172" t="s">
        <v>71</v>
      </c>
      <c r="B33" s="34" t="s">
        <v>110</v>
      </c>
      <c r="C33" s="168"/>
      <c r="D33" s="234"/>
      <c r="G33" s="15"/>
    </row>
    <row r="34" spans="1:7">
      <c r="A34" s="172" t="s">
        <v>72</v>
      </c>
      <c r="B34" s="33">
        <f>IF((($B$28-$B$32-$B$39-$B$77-$B$38)*C20/100)&lt;0,0,($B$28-$B$32-$B$39-$B$77-$B$38)*C20/100)</f>
        <v>421.07255520504737</v>
      </c>
      <c r="C34" s="168">
        <f>IF(ISERROR(B34/SUM($B$32,$B$34,$B$35,$B$36,$B$38,$B$39)*100),0,B34/SUM($B$32,$B$34,$B$35,$B$36,$B$38,$B$39)*100)</f>
        <v>6.2575799554918614</v>
      </c>
      <c r="D34" s="234"/>
      <c r="G34" s="15"/>
    </row>
    <row r="35" spans="1:7">
      <c r="A35" s="172" t="s">
        <v>73</v>
      </c>
      <c r="B35" s="33">
        <f>IF((($B$28-$B$32-$B$39-$B$77-$B$38)*C21/100)&lt;0,0,($B$28-$B$32-$B$39-$B$77-$B$38)*C21/100)</f>
        <v>1099.1377497371191</v>
      </c>
      <c r="C35" s="168">
        <f>IF(ISERROR(B35/SUM($B$32,$B$34,$B$35,$B$36,$B$38,$B$39)*100),0,B35/SUM($B$32,$B$34,$B$35,$B$36,$B$38,$B$39)*100)</f>
        <v>16.334340165509271</v>
      </c>
      <c r="D35" s="234"/>
      <c r="G35" s="15"/>
    </row>
    <row r="36" spans="1:7">
      <c r="A36" s="172" t="s">
        <v>74</v>
      </c>
      <c r="B36" s="33">
        <f>IF((($B$28-$B$32-$B$39-$B$77-$B$38)*C22/100)&lt;0,0,($B$28-$B$32-$B$39-$B$77-$B$38)*C22/100)</f>
        <v>359.78969505783397</v>
      </c>
      <c r="C36" s="168">
        <f>IF(ISERROR(B36/SUM($B$32,$B$34,$B$35,$B$36,$B$38,$B$39)*100),0,B36/SUM($B$32,$B$34,$B$35,$B$36,$B$38,$B$39)*100)</f>
        <v>5.3468523563357699</v>
      </c>
      <c r="D36" s="234"/>
      <c r="G36" s="15"/>
    </row>
    <row r="37" spans="1:7">
      <c r="A37" s="172" t="s">
        <v>75</v>
      </c>
      <c r="B37" s="34" t="s">
        <v>110</v>
      </c>
      <c r="C37" s="168"/>
      <c r="D37" s="174"/>
      <c r="G37" s="15"/>
    </row>
    <row r="38" spans="1:7">
      <c r="A38" s="172" t="s">
        <v>76</v>
      </c>
      <c r="B38" s="33">
        <f>IF((B24-(B29-B18)*0.1)&lt;0,0,B24-(B29-B18)*0.1)</f>
        <v>127.1</v>
      </c>
      <c r="C38" s="168">
        <f>IF(ISERROR(B38/SUM($B$32,$B$34,$B$35,$B$36,$B$38,$B$39)*100),0,B38/SUM($B$32,$B$34,$B$35,$B$36,$B$38,$B$39)*100)</f>
        <v>1.8888393520582554</v>
      </c>
      <c r="D38" s="235"/>
      <c r="G38" s="15"/>
    </row>
    <row r="39" spans="1:7">
      <c r="A39" s="172" t="s">
        <v>77</v>
      </c>
      <c r="B39" s="33">
        <f>IF((B25-(B29-B18))&lt;0,0,B25-(B29-B18)*0.9)</f>
        <v>611.89999999999986</v>
      </c>
      <c r="C39" s="168">
        <f>IF(ISERROR(B39/SUM($B$32,$B$34,$B$35,$B$36,$B$38,$B$39)*100),0,B39/SUM($B$32,$B$34,$B$35,$B$36,$B$38,$B$39)*100)</f>
        <v>9.0934759994055572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4110</v>
      </c>
      <c r="C44" s="34" t="s">
        <v>110</v>
      </c>
      <c r="D44" s="175"/>
    </row>
    <row r="45" spans="1:7">
      <c r="A45" s="172" t="s">
        <v>71</v>
      </c>
      <c r="B45" s="33" t="str">
        <f t="shared" si="0"/>
        <v>-</v>
      </c>
      <c r="C45" s="34" t="s">
        <v>110</v>
      </c>
      <c r="D45" s="175"/>
    </row>
    <row r="46" spans="1:7">
      <c r="A46" s="172" t="s">
        <v>72</v>
      </c>
      <c r="B46" s="33">
        <f t="shared" si="0"/>
        <v>421.07255520504737</v>
      </c>
      <c r="C46" s="34" t="s">
        <v>110</v>
      </c>
      <c r="D46" s="175"/>
    </row>
    <row r="47" spans="1:7">
      <c r="A47" s="172" t="s">
        <v>73</v>
      </c>
      <c r="B47" s="33">
        <f t="shared" si="0"/>
        <v>1099.1377497371191</v>
      </c>
      <c r="C47" s="34" t="s">
        <v>110</v>
      </c>
      <c r="D47" s="175"/>
    </row>
    <row r="48" spans="1:7">
      <c r="A48" s="172" t="s">
        <v>74</v>
      </c>
      <c r="B48" s="33">
        <f t="shared" si="0"/>
        <v>359.78969505783397</v>
      </c>
      <c r="C48" s="33">
        <f>B48*10</f>
        <v>3597.8969505783398</v>
      </c>
      <c r="D48" s="235"/>
    </row>
    <row r="49" spans="1:6">
      <c r="A49" s="172" t="s">
        <v>75</v>
      </c>
      <c r="B49" s="33" t="str">
        <f t="shared" si="0"/>
        <v>-</v>
      </c>
      <c r="C49" s="34" t="s">
        <v>110</v>
      </c>
      <c r="D49" s="235"/>
    </row>
    <row r="50" spans="1:6">
      <c r="A50" s="172" t="s">
        <v>76</v>
      </c>
      <c r="B50" s="33">
        <f t="shared" si="0"/>
        <v>127.1</v>
      </c>
      <c r="C50" s="33">
        <f>B50*2</f>
        <v>254.2</v>
      </c>
      <c r="D50" s="235"/>
    </row>
    <row r="51" spans="1:6">
      <c r="A51" s="172" t="s">
        <v>77</v>
      </c>
      <c r="B51" s="33">
        <f t="shared" si="0"/>
        <v>611.89999999999986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7</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25990.786</v>
      </c>
      <c r="C5" s="17">
        <f>IF(ISERROR('Eigen informatie GS &amp; warmtenet'!B58),0,'Eigen informatie GS &amp; warmtenet'!B58)</f>
        <v>0</v>
      </c>
      <c r="D5" s="30">
        <f>SUM(D6:D12)</f>
        <v>20002.127815999997</v>
      </c>
      <c r="E5" s="17">
        <f>SUM(E6:E12)</f>
        <v>420.90411472210849</v>
      </c>
      <c r="F5" s="17">
        <f>SUM(F6:F12)</f>
        <v>5605.2619255751824</v>
      </c>
      <c r="G5" s="18"/>
      <c r="H5" s="17"/>
      <c r="I5" s="17"/>
      <c r="J5" s="17">
        <f>SUM(J6:J12)</f>
        <v>0</v>
      </c>
      <c r="K5" s="17"/>
      <c r="L5" s="17"/>
      <c r="M5" s="17"/>
      <c r="N5" s="17">
        <f>SUM(N6:N12)</f>
        <v>1808.778894114</v>
      </c>
      <c r="O5" s="17">
        <f>B38*B39*B40</f>
        <v>0</v>
      </c>
      <c r="P5" s="17">
        <f>B46*B47*B48/1000-B46*B47*B48/1000/B49</f>
        <v>19.066666666666666</v>
      </c>
      <c r="R5" s="32"/>
    </row>
    <row r="6" spans="1:18">
      <c r="A6" s="32" t="s">
        <v>53</v>
      </c>
      <c r="B6" s="37">
        <f>B26</f>
        <v>5585.29</v>
      </c>
      <c r="C6" s="33"/>
      <c r="D6" s="37">
        <f>IF(ISERROR(TER_kantoor_gas_kWh/1000),0,TER_kantoor_gas_kWh/1000)*0.902</f>
        <v>7480.2986279999996</v>
      </c>
      <c r="E6" s="33">
        <f>$C$26*'E Balans VL '!I12/100/3.6*1000000</f>
        <v>195.50712111574438</v>
      </c>
      <c r="F6" s="33">
        <f>$C$26*('E Balans VL '!L12+'E Balans VL '!N12)/100/3.6*1000000</f>
        <v>846.84987900124077</v>
      </c>
      <c r="G6" s="34"/>
      <c r="H6" s="33"/>
      <c r="I6" s="33"/>
      <c r="J6" s="33">
        <f>$C$26*('E Balans VL '!D12+'E Balans VL '!E12)/100/3.6*1000000</f>
        <v>0</v>
      </c>
      <c r="K6" s="33"/>
      <c r="L6" s="33"/>
      <c r="M6" s="33"/>
      <c r="N6" s="33">
        <f>$C$26*'E Balans VL '!Y12/100/3.6*1000000</f>
        <v>43.172543552341189</v>
      </c>
      <c r="O6" s="33"/>
      <c r="P6" s="33"/>
      <c r="R6" s="32"/>
    </row>
    <row r="7" spans="1:18">
      <c r="A7" s="32" t="s">
        <v>52</v>
      </c>
      <c r="B7" s="37">
        <f t="shared" ref="B7:B12" si="0">B27</f>
        <v>2376.846</v>
      </c>
      <c r="C7" s="33"/>
      <c r="D7" s="37">
        <f>IF(ISERROR(TER_horeca_gas_kWh/1000),0,TER_horeca_gas_kWh/1000)*0.902</f>
        <v>2728.019624</v>
      </c>
      <c r="E7" s="33">
        <f>$C$27*'E Balans VL '!I9/100/3.6*1000000</f>
        <v>134.08571875483537</v>
      </c>
      <c r="F7" s="33">
        <f>$C$27*('E Balans VL '!L9+'E Balans VL '!N9)/100/3.6*1000000</f>
        <v>414.05972683464859</v>
      </c>
      <c r="G7" s="34"/>
      <c r="H7" s="33"/>
      <c r="I7" s="33"/>
      <c r="J7" s="33">
        <f>$C$27*('E Balans VL '!D9+'E Balans VL '!E9)/100/3.6*1000000</f>
        <v>0</v>
      </c>
      <c r="K7" s="33"/>
      <c r="L7" s="33"/>
      <c r="M7" s="33"/>
      <c r="N7" s="33">
        <f>$C$27*'E Balans VL '!Y9/100/3.6*1000000</f>
        <v>0</v>
      </c>
      <c r="O7" s="33"/>
      <c r="P7" s="33"/>
      <c r="R7" s="32"/>
    </row>
    <row r="8" spans="1:18">
      <c r="A8" s="6" t="s">
        <v>51</v>
      </c>
      <c r="B8" s="37">
        <f t="shared" si="0"/>
        <v>8530.384</v>
      </c>
      <c r="C8" s="33"/>
      <c r="D8" s="37">
        <f>IF(ISERROR(TER_handel_gas_kWh/1000),0,TER_handel_gas_kWh/1000)*0.902</f>
        <v>4493.8830639999996</v>
      </c>
      <c r="E8" s="33">
        <f>$C$28*'E Balans VL '!I13/100/3.6*1000000</f>
        <v>43.794124781555304</v>
      </c>
      <c r="F8" s="33">
        <f>$C$28*('E Balans VL '!L13+'E Balans VL '!N13)/100/3.6*1000000</f>
        <v>1315.2534048365217</v>
      </c>
      <c r="G8" s="34"/>
      <c r="H8" s="33"/>
      <c r="I8" s="33"/>
      <c r="J8" s="33">
        <f>$C$28*('E Balans VL '!D13+'E Balans VL '!E13)/100/3.6*1000000</f>
        <v>0</v>
      </c>
      <c r="K8" s="33"/>
      <c r="L8" s="33"/>
      <c r="M8" s="33"/>
      <c r="N8" s="33">
        <f>$C$28*'E Balans VL '!Y13/100/3.6*1000000</f>
        <v>3.9897647241526522</v>
      </c>
      <c r="O8" s="33"/>
      <c r="P8" s="33"/>
      <c r="R8" s="32"/>
    </row>
    <row r="9" spans="1:18">
      <c r="A9" s="32" t="s">
        <v>50</v>
      </c>
      <c r="B9" s="37">
        <f t="shared" si="0"/>
        <v>752.56799999999998</v>
      </c>
      <c r="C9" s="33"/>
      <c r="D9" s="37">
        <f>IF(ISERROR(TER_gezond_gas_kWh/1000),0,TER_gezond_gas_kWh/1000)*0.902</f>
        <v>1380.329698</v>
      </c>
      <c r="E9" s="33">
        <f>$C$29*'E Balans VL '!I10/100/3.6*1000000</f>
        <v>0.31193407640279081</v>
      </c>
      <c r="F9" s="33">
        <f>$C$29*('E Balans VL '!L10+'E Balans VL '!N10)/100/3.6*1000000</f>
        <v>185.34670513513916</v>
      </c>
      <c r="G9" s="34"/>
      <c r="H9" s="33"/>
      <c r="I9" s="33"/>
      <c r="J9" s="33">
        <f>$C$29*('E Balans VL '!D10+'E Balans VL '!E10)/100/3.6*1000000</f>
        <v>0</v>
      </c>
      <c r="K9" s="33"/>
      <c r="L9" s="33"/>
      <c r="M9" s="33"/>
      <c r="N9" s="33">
        <f>$C$29*'E Balans VL '!Y10/100/3.6*1000000</f>
        <v>6.5040502199596864</v>
      </c>
      <c r="O9" s="33"/>
      <c r="P9" s="33"/>
      <c r="R9" s="32"/>
    </row>
    <row r="10" spans="1:18">
      <c r="A10" s="32" t="s">
        <v>49</v>
      </c>
      <c r="B10" s="37">
        <f t="shared" si="0"/>
        <v>7600.44</v>
      </c>
      <c r="C10" s="33"/>
      <c r="D10" s="37">
        <f>IF(ISERROR(TER_ander_gas_kWh/1000),0,TER_ander_gas_kWh/1000)*0.902</f>
        <v>1144.9122080000002</v>
      </c>
      <c r="E10" s="33">
        <f>$C$30*'E Balans VL '!I14/100/3.6*1000000</f>
        <v>46.332469763356613</v>
      </c>
      <c r="F10" s="33">
        <f>$C$30*('E Balans VL '!L14+'E Balans VL '!N14)/100/3.6*1000000</f>
        <v>2014.9807582178109</v>
      </c>
      <c r="G10" s="34"/>
      <c r="H10" s="33"/>
      <c r="I10" s="33"/>
      <c r="J10" s="33">
        <f>$C$30*('E Balans VL '!D14+'E Balans VL '!E14)/100/3.6*1000000</f>
        <v>0</v>
      </c>
      <c r="K10" s="33"/>
      <c r="L10" s="33"/>
      <c r="M10" s="33"/>
      <c r="N10" s="33">
        <f>$C$30*'E Balans VL '!Y14/100/3.6*1000000</f>
        <v>1751.7371865798721</v>
      </c>
      <c r="O10" s="33"/>
      <c r="P10" s="33"/>
      <c r="R10" s="32"/>
    </row>
    <row r="11" spans="1:18">
      <c r="A11" s="32" t="s">
        <v>54</v>
      </c>
      <c r="B11" s="37">
        <f t="shared" si="0"/>
        <v>1145.258</v>
      </c>
      <c r="C11" s="33"/>
      <c r="D11" s="37">
        <f>IF(ISERROR(TER_onderwijs_gas_kWh/1000),0,TER_onderwijs_gas_kWh/1000)*0.902</f>
        <v>2774.6845939999998</v>
      </c>
      <c r="E11" s="33">
        <f>$C$31*'E Balans VL '!I11/100/3.6*1000000</f>
        <v>0.87274623021405617</v>
      </c>
      <c r="F11" s="33">
        <f>$C$31*('E Balans VL '!L11+'E Balans VL '!N11)/100/3.6*1000000</f>
        <v>828.77145154982179</v>
      </c>
      <c r="G11" s="34"/>
      <c r="H11" s="33"/>
      <c r="I11" s="33"/>
      <c r="J11" s="33">
        <f>$C$31*('E Balans VL '!D11+'E Balans VL '!E11)/100/3.6*1000000</f>
        <v>0</v>
      </c>
      <c r="K11" s="33"/>
      <c r="L11" s="33"/>
      <c r="M11" s="33"/>
      <c r="N11" s="33">
        <f>$C$31*'E Balans VL '!Y11/100/3.6*1000000</f>
        <v>3.3753490376744359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energieproductie'!N39+'lokale energieproductie'!N31</f>
        <v>0</v>
      </c>
      <c r="C13" s="248">
        <f ca="1">'lokale energieproductie'!O39+'lokale energieproductie'!O31</f>
        <v>0</v>
      </c>
      <c r="D13" s="309">
        <f ca="1">('lokale energieproductie'!P31+'lokale energieproductie'!P39)*(-1)</f>
        <v>0</v>
      </c>
      <c r="E13" s="249"/>
      <c r="F13" s="309">
        <f ca="1">('lokale energieproductie'!S31+'lokale energieproductie'!S39)*(-1)</f>
        <v>0</v>
      </c>
      <c r="G13" s="250"/>
      <c r="H13" s="249"/>
      <c r="I13" s="249"/>
      <c r="J13" s="249"/>
      <c r="K13" s="249"/>
      <c r="L13" s="309">
        <f ca="1">('lokale energieproductie'!U31+'lokale energieproductie'!T31+'lokale energieproductie'!U39+'lokale energieproductie'!T39)*(-1)</f>
        <v>0</v>
      </c>
      <c r="M13" s="249"/>
      <c r="N13" s="309">
        <f ca="1">('lokale energieproductie'!Q31+'lokale energieproductie'!R31+'lokale energieproductie'!V31+'lokale energieproductie'!Q39+'lokale energieproductie'!R39+'lokale energieproductie'!V39)*(-1)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25990.786</v>
      </c>
      <c r="C16" s="21">
        <f ca="1">C5+C13+C14</f>
        <v>0</v>
      </c>
      <c r="D16" s="21">
        <f t="shared" ref="D16:N16" ca="1" si="1">MAX((D5+D13+D14),0)</f>
        <v>20002.127815999997</v>
      </c>
      <c r="E16" s="21">
        <f t="shared" si="1"/>
        <v>420.90411472210849</v>
      </c>
      <c r="F16" s="21">
        <f t="shared" ca="1" si="1"/>
        <v>5605.2619255751824</v>
      </c>
      <c r="G16" s="21">
        <f t="shared" si="1"/>
        <v>0</v>
      </c>
      <c r="H16" s="21">
        <f t="shared" si="1"/>
        <v>0</v>
      </c>
      <c r="I16" s="21">
        <f t="shared" si="1"/>
        <v>0</v>
      </c>
      <c r="J16" s="21">
        <f t="shared" si="1"/>
        <v>0</v>
      </c>
      <c r="K16" s="21">
        <f t="shared" si="1"/>
        <v>0</v>
      </c>
      <c r="L16" s="21">
        <f t="shared" ca="1" si="1"/>
        <v>0</v>
      </c>
      <c r="M16" s="21">
        <f t="shared" si="1"/>
        <v>0</v>
      </c>
      <c r="N16" s="21">
        <f t="shared" ca="1" si="1"/>
        <v>1808.778894114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0.20329385533948577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5283.7670892435317</v>
      </c>
      <c r="C20" s="23">
        <f t="shared" ref="C20:P20" ca="1" si="2">C16*C18</f>
        <v>0</v>
      </c>
      <c r="D20" s="23">
        <f t="shared" ca="1" si="2"/>
        <v>4040.4298188319995</v>
      </c>
      <c r="E20" s="23">
        <f t="shared" si="2"/>
        <v>95.545234041918633</v>
      </c>
      <c r="F20" s="23">
        <f t="shared" ca="1" si="2"/>
        <v>1496.6049341285739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5585.29</v>
      </c>
      <c r="C26" s="39">
        <f>IF(ISERROR(B26*3.6/1000000/'E Balans VL '!Z12*100),0,B26*3.6/1000000/'E Balans VL '!Z12*100)</f>
        <v>0.11753316554374622</v>
      </c>
      <c r="D26" s="238" t="s">
        <v>718</v>
      </c>
      <c r="F26" s="6"/>
    </row>
    <row r="27" spans="1:18">
      <c r="A27" s="232" t="s">
        <v>52</v>
      </c>
      <c r="B27" s="33">
        <f>IF(ISERROR(TER_horeca_ele_kWh/1000),0,TER_horeca_ele_kWh/1000)</f>
        <v>2376.846</v>
      </c>
      <c r="C27" s="39">
        <f>IF(ISERROR(B27*3.6/1000000/'E Balans VL '!Z9*100),0,B27*3.6/1000000/'E Balans VL '!Z9*100)</f>
        <v>0.20124087194459053</v>
      </c>
      <c r="D27" s="238" t="s">
        <v>718</v>
      </c>
      <c r="F27" s="6"/>
    </row>
    <row r="28" spans="1:18">
      <c r="A28" s="172" t="s">
        <v>51</v>
      </c>
      <c r="B28" s="33">
        <f>IF(ISERROR(TER_handel_ele_kWh/1000),0,TER_handel_ele_kWh/1000)</f>
        <v>8530.384</v>
      </c>
      <c r="C28" s="39">
        <f>IF(ISERROR(B28*3.6/1000000/'E Balans VL '!Z13*100),0,B28*3.6/1000000/'E Balans VL '!Z13*100)</f>
        <v>0.23616250146664097</v>
      </c>
      <c r="D28" s="238" t="s">
        <v>718</v>
      </c>
      <c r="F28" s="6"/>
    </row>
    <row r="29" spans="1:18">
      <c r="A29" s="232" t="s">
        <v>50</v>
      </c>
      <c r="B29" s="33">
        <f>IF(ISERROR(TER_gezond_ele_kWh/1000),0,TER_gezond_ele_kWh/1000)</f>
        <v>752.56799999999998</v>
      </c>
      <c r="C29" s="39">
        <f>IF(ISERROR(B29*3.6/1000000/'E Balans VL '!Z10*100),0,B29*3.6/1000000/'E Balans VL '!Z10*100)</f>
        <v>9.782549681098994E-2</v>
      </c>
      <c r="D29" s="238" t="s">
        <v>718</v>
      </c>
      <c r="F29" s="6"/>
    </row>
    <row r="30" spans="1:18">
      <c r="A30" s="232" t="s">
        <v>49</v>
      </c>
      <c r="B30" s="33">
        <f>IF(ISERROR(TER_ander_ele_kWh/1000),0,TER_ander_ele_kWh/1000)</f>
        <v>7600.44</v>
      </c>
      <c r="C30" s="39">
        <f>IF(ISERROR(B30*3.6/1000000/'E Balans VL '!Z14*100),0,B30*3.6/1000000/'E Balans VL '!Z14*100)</f>
        <v>0.5891038013593578</v>
      </c>
      <c r="D30" s="238" t="s">
        <v>718</v>
      </c>
      <c r="F30" s="6"/>
    </row>
    <row r="31" spans="1:18">
      <c r="A31" s="232" t="s">
        <v>54</v>
      </c>
      <c r="B31" s="33">
        <f>IF(ISERROR(TER_onderwijs_ele_kWh/1000),0,TER_onderwijs_ele_kWh/1000)</f>
        <v>1145.258</v>
      </c>
      <c r="C31" s="39">
        <f>IF(ISERROR(B31*3.6/1000000/'E Balans VL '!Z11*100),0,B31*3.6/1000000/'E Balans VL '!Z11*100)</f>
        <v>0.21910737018334542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19727.912</v>
      </c>
      <c r="C5" s="17">
        <f>IF(ISERROR('Eigen informatie GS &amp; warmtenet'!B59),0,'Eigen informatie GS &amp; warmtenet'!B59)</f>
        <v>0</v>
      </c>
      <c r="D5" s="30">
        <f>SUM(D6:D15)</f>
        <v>6606.0856400000002</v>
      </c>
      <c r="E5" s="17">
        <f>SUM(E6:E15)</f>
        <v>256.88646670307139</v>
      </c>
      <c r="F5" s="17">
        <f>SUM(F6:F15)</f>
        <v>9374.5301329524173</v>
      </c>
      <c r="G5" s="18"/>
      <c r="H5" s="17"/>
      <c r="I5" s="17"/>
      <c r="J5" s="17">
        <f>SUM(J6:J15)</f>
        <v>100.44335729548112</v>
      </c>
      <c r="K5" s="17"/>
      <c r="L5" s="17"/>
      <c r="M5" s="17"/>
      <c r="N5" s="17">
        <f>SUM(N6:N15)</f>
        <v>856.59027415372543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3798.9560000000001</v>
      </c>
      <c r="C8" s="33"/>
      <c r="D8" s="37">
        <f>IF( ISERROR(IND_metaal_Gas_kWH/1000),0,IND_metaal_Gas_kWH/1000)*0.902</f>
        <v>1437.0276139999999</v>
      </c>
      <c r="E8" s="33">
        <f>C30*'E Balans VL '!I18/100/3.6*1000000</f>
        <v>26.694425610379646</v>
      </c>
      <c r="F8" s="33">
        <f>C30*'E Balans VL '!L18/100/3.6*1000000+C30*'E Balans VL '!N18/100/3.6*1000000</f>
        <v>417.10314271971936</v>
      </c>
      <c r="G8" s="34"/>
      <c r="H8" s="33"/>
      <c r="I8" s="33"/>
      <c r="J8" s="40">
        <f>C30*'E Balans VL '!D18/100/3.6*1000000+C30*'E Balans VL '!E18/100/3.6*1000000</f>
        <v>78.380650518506144</v>
      </c>
      <c r="K8" s="33"/>
      <c r="L8" s="33"/>
      <c r="M8" s="33"/>
      <c r="N8" s="33">
        <f>C30*'E Balans VL '!Y18/100/3.6*1000000</f>
        <v>14.238760688517653</v>
      </c>
      <c r="O8" s="33"/>
      <c r="P8" s="33"/>
      <c r="R8" s="32"/>
    </row>
    <row r="9" spans="1:18">
      <c r="A9" s="6" t="s">
        <v>32</v>
      </c>
      <c r="B9" s="37">
        <f t="shared" si="0"/>
        <v>10407.031000000001</v>
      </c>
      <c r="C9" s="33"/>
      <c r="D9" s="37">
        <f>IF( ISERROR(IND_andere_gas_kWh/1000),0,IND_andere_gas_kWh/1000)*0.902</f>
        <v>3712.3298300000001</v>
      </c>
      <c r="E9" s="33">
        <f>C31*'E Balans VL '!I19/100/3.6*1000000</f>
        <v>174.79883466502858</v>
      </c>
      <c r="F9" s="33">
        <f>C31*'E Balans VL '!L19/100/3.6*1000000+C31*'E Balans VL '!N19/100/3.6*1000000</f>
        <v>8135.6240955727153</v>
      </c>
      <c r="G9" s="34"/>
      <c r="H9" s="33"/>
      <c r="I9" s="33"/>
      <c r="J9" s="40">
        <f>C31*'E Balans VL '!D19/100/3.6*1000000+C31*'E Balans VL '!E19/100/3.6*1000000</f>
        <v>0.93862232933155409</v>
      </c>
      <c r="K9" s="33"/>
      <c r="L9" s="33"/>
      <c r="M9" s="33"/>
      <c r="N9" s="33">
        <f>C31*'E Balans VL '!Y19/100/3.6*1000000</f>
        <v>771.3279632131547</v>
      </c>
      <c r="O9" s="33"/>
      <c r="P9" s="33"/>
      <c r="R9" s="32"/>
    </row>
    <row r="10" spans="1:18">
      <c r="A10" s="6" t="s">
        <v>40</v>
      </c>
      <c r="B10" s="37">
        <f t="shared" si="0"/>
        <v>4734.3530000000001</v>
      </c>
      <c r="C10" s="33"/>
      <c r="D10" s="37">
        <f>IF( ISERROR(IND_voed_gas_kWh/1000),0,IND_voed_gas_kWh/1000)*0.902</f>
        <v>1239.724134</v>
      </c>
      <c r="E10" s="33">
        <f>C32*'E Balans VL '!I20/100/3.6*1000000</f>
        <v>43.194269411705434</v>
      </c>
      <c r="F10" s="33">
        <f>C32*'E Balans VL '!L20/100/3.6*1000000+C32*'E Balans VL '!N20/100/3.6*1000000</f>
        <v>763.79922079578591</v>
      </c>
      <c r="G10" s="34"/>
      <c r="H10" s="33"/>
      <c r="I10" s="33"/>
      <c r="J10" s="40">
        <f>C32*'E Balans VL '!D20/100/3.6*1000000+C32*'E Balans VL '!E20/100/3.6*1000000</f>
        <v>19.499169646075785</v>
      </c>
      <c r="K10" s="33"/>
      <c r="L10" s="33"/>
      <c r="M10" s="33"/>
      <c r="N10" s="33">
        <f>C32*'E Balans VL '!Y20/100/3.6*1000000</f>
        <v>69.259851247884882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286.04700000000003</v>
      </c>
      <c r="C12" s="33"/>
      <c r="D12" s="37">
        <f>IF( ISERROR(IND_min_gas_kWh/1000),0,IND_min_gas_kWh/1000)*0.902</f>
        <v>0</v>
      </c>
      <c r="E12" s="33">
        <f>C34*'E Balans VL '!I22/100/3.6*1000000</f>
        <v>7.094895552617638</v>
      </c>
      <c r="F12" s="33">
        <f>C34*'E Balans VL '!L22/100/3.6*1000000+C34*'E Balans VL '!N22/100/3.6*1000000</f>
        <v>30.395232648955279</v>
      </c>
      <c r="G12" s="34"/>
      <c r="H12" s="33"/>
      <c r="I12" s="33"/>
      <c r="J12" s="40">
        <f>C34*'E Balans VL '!D22/100/3.6*1000000+C34*'E Balans VL '!E22/100/3.6*1000000</f>
        <v>1.6249148015676371</v>
      </c>
      <c r="K12" s="33"/>
      <c r="L12" s="33"/>
      <c r="M12" s="33"/>
      <c r="N12" s="33">
        <f>C34*'E Balans VL '!Y22/100/3.6*1000000</f>
        <v>0</v>
      </c>
      <c r="O12" s="33"/>
      <c r="P12" s="33"/>
      <c r="R12" s="32"/>
    </row>
    <row r="13" spans="1:18">
      <c r="A13" s="6" t="s">
        <v>38</v>
      </c>
      <c r="B13" s="37">
        <f t="shared" si="0"/>
        <v>124.322</v>
      </c>
      <c r="C13" s="33"/>
      <c r="D13" s="37">
        <f>IF( ISERROR(IND_papier_gas_kWh/1000),0,IND_papier_gas_kWh/1000)*0.902</f>
        <v>0</v>
      </c>
      <c r="E13" s="33">
        <f>C35*'E Balans VL '!I23/100/3.6*1000000</f>
        <v>3.8250634884764652</v>
      </c>
      <c r="F13" s="33">
        <f>C35*'E Balans VL '!L23/100/3.6*1000000+C35*'E Balans VL '!N23/100/3.6*1000000</f>
        <v>26.397905397199008</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377.20299999999997</v>
      </c>
      <c r="C14" s="33"/>
      <c r="D14" s="37">
        <f>IF( ISERROR(IND_chemie_gas_kWh/1000),0,IND_chemie_gas_kWh/1000)*0.902</f>
        <v>0</v>
      </c>
      <c r="E14" s="33">
        <f>C36*'E Balans VL '!I24/100/3.6*1000000</f>
        <v>1.2789779748635961</v>
      </c>
      <c r="F14" s="33">
        <f>C36*'E Balans VL '!L24/100/3.6*1000000+C36*'E Balans VL '!N24/100/3.6*1000000</f>
        <v>1.210535818039679</v>
      </c>
      <c r="G14" s="34"/>
      <c r="H14" s="33"/>
      <c r="I14" s="33"/>
      <c r="J14" s="40">
        <f>C36*'E Balans VL '!D24/100/3.6*1000000+C36*'E Balans VL '!E24/100/3.6*1000000</f>
        <v>0</v>
      </c>
      <c r="K14" s="33"/>
      <c r="L14" s="33"/>
      <c r="M14" s="33"/>
      <c r="N14" s="33">
        <f>C36*'E Balans VL '!Y24/100/3.6*1000000</f>
        <v>1.7636990041681617</v>
      </c>
      <c r="O14" s="33"/>
      <c r="P14" s="33"/>
      <c r="R14" s="32"/>
    </row>
    <row r="15" spans="1:18">
      <c r="A15" s="6" t="s">
        <v>269</v>
      </c>
      <c r="B15" s="37">
        <f t="shared" si="0"/>
        <v>0</v>
      </c>
      <c r="C15" s="33"/>
      <c r="D15" s="37">
        <f>IF( ISERROR(IND_rest_gas_kWh/1000),0,IND_rest_gas_kWh/1000)*0.902</f>
        <v>217.004062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495</v>
      </c>
      <c r="B16" s="248">
        <f>'lokale energieproductie'!N38+'lokale energieproductie'!N30</f>
        <v>0</v>
      </c>
      <c r="C16" s="248">
        <f>'lokale energieproductie'!O38+'lokale energieproductie'!O30</f>
        <v>0</v>
      </c>
      <c r="D16" s="309">
        <f>('lokale energieproductie'!P30+'lokale energieproductie'!P38)*(-1)</f>
        <v>0</v>
      </c>
      <c r="E16" s="249"/>
      <c r="F16" s="309">
        <f>('lokale energieproductie'!S30+'lokale energieproductie'!S38)*(-1)</f>
        <v>0</v>
      </c>
      <c r="G16" s="250"/>
      <c r="H16" s="249"/>
      <c r="I16" s="249"/>
      <c r="J16" s="249"/>
      <c r="K16" s="249"/>
      <c r="L16" s="309">
        <f>('lokale energieproductie'!T30+'lokale energieproductie'!U30+'lokale energieproductie'!T38+'lokale energieproductie'!U38)*(-1)</f>
        <v>0</v>
      </c>
      <c r="M16" s="249"/>
      <c r="N16" s="309">
        <f>('lokale energieproductie'!Q30+'lokale energieproductie'!R30+'lokale energieproductie'!V30+'lokale energieproductie'!Q38+'lokale energieproductie'!R38+'lokale energieproductie'!V38)*(-1)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19727.912</v>
      </c>
      <c r="C18" s="21">
        <f>C5+C16</f>
        <v>0</v>
      </c>
      <c r="D18" s="21">
        <f>MAX((D5+D16),0)</f>
        <v>6606.0856400000002</v>
      </c>
      <c r="E18" s="21">
        <f>MAX((E5+E16),0)</f>
        <v>256.88646670307139</v>
      </c>
      <c r="F18" s="21">
        <f>MAX((F5+F16),0)</f>
        <v>9374.5301329524173</v>
      </c>
      <c r="G18" s="21"/>
      <c r="H18" s="21"/>
      <c r="I18" s="21"/>
      <c r="J18" s="21">
        <f>MAX((J5+J16),0)</f>
        <v>100.44335729548112</v>
      </c>
      <c r="K18" s="21"/>
      <c r="L18" s="21">
        <f>MAX((L5+L16),0)</f>
        <v>0</v>
      </c>
      <c r="M18" s="21"/>
      <c r="N18" s="21">
        <f>MAX((N5+N16),0)</f>
        <v>856.59027415372543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0.20329385533948577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4010.5632882781056</v>
      </c>
      <c r="C22" s="23">
        <f ca="1">C18*C20</f>
        <v>0</v>
      </c>
      <c r="D22" s="23">
        <f>D18*D20</f>
        <v>1334.4292992800001</v>
      </c>
      <c r="E22" s="23">
        <f>E18*E20</f>
        <v>58.313227941597205</v>
      </c>
      <c r="F22" s="23">
        <f>F18*F20</f>
        <v>2502.9995454982954</v>
      </c>
      <c r="G22" s="23"/>
      <c r="H22" s="23"/>
      <c r="I22" s="23"/>
      <c r="J22" s="23">
        <f>J18*J20</f>
        <v>35.556948482600312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3798.9560000000001</v>
      </c>
      <c r="C30" s="39">
        <f>IF(ISERROR(B30*3.6/1000000/'E Balans VL '!Z18*100),0,B30*3.6/1000000/'E Balans VL '!Z18*100)</f>
        <v>0.25289882075693182</v>
      </c>
      <c r="D30" s="238" t="s">
        <v>718</v>
      </c>
    </row>
    <row r="31" spans="1:18">
      <c r="A31" s="6" t="s">
        <v>32</v>
      </c>
      <c r="B31" s="37">
        <f>IF( ISERROR(IND_ander_ele_kWh/1000),0,IND_ander_ele_kWh/1000)</f>
        <v>10407.031000000001</v>
      </c>
      <c r="C31" s="39">
        <f>IF(ISERROR(B31*3.6/1000000/'E Balans VL '!Z19*100),0,B31*3.6/1000000/'E Balans VL '!Z19*100)</f>
        <v>0.4613024417192621</v>
      </c>
      <c r="D31" s="238" t="s">
        <v>718</v>
      </c>
    </row>
    <row r="32" spans="1:18">
      <c r="A32" s="172" t="s">
        <v>40</v>
      </c>
      <c r="B32" s="37">
        <f>IF( ISERROR(IND_voed_ele_kWh/1000),0,IND_voed_ele_kWh/1000)</f>
        <v>4734.3530000000001</v>
      </c>
      <c r="C32" s="39">
        <f>IF(ISERROR(B32*3.6/1000000/'E Balans VL '!Z20*100),0,B32*3.6/1000000/'E Balans VL '!Z20*100)</f>
        <v>0.15814097130101901</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286.04700000000003</v>
      </c>
      <c r="C34" s="39">
        <f>IF(ISERROR(B34*3.6/1000000/'E Balans VL '!Z22*100),0,B34*3.6/1000000/'E Balans VL '!Z22*100)</f>
        <v>5.5632999452309789E-2</v>
      </c>
      <c r="D34" s="238" t="s">
        <v>718</v>
      </c>
    </row>
    <row r="35" spans="1:5">
      <c r="A35" s="172" t="s">
        <v>38</v>
      </c>
      <c r="B35" s="37">
        <f>IF( ISERROR(IND_papier_ele_kWh/1000),0,IND_papier_ele_kWh/1000)</f>
        <v>124.322</v>
      </c>
      <c r="C35" s="39">
        <f>IF(ISERROR(B35*3.6/1000000/'E Balans VL '!Z22*100),0,B35*3.6/1000000/'E Balans VL '!Z22*100)</f>
        <v>2.4179263400455377E-2</v>
      </c>
      <c r="D35" s="238" t="s">
        <v>718</v>
      </c>
    </row>
    <row r="36" spans="1:5">
      <c r="A36" s="172" t="s">
        <v>33</v>
      </c>
      <c r="B36" s="37">
        <f>IF( ISERROR(IND_chemie_ele_kWh/1000),0,IND_chemie_ele_kWh/1000)</f>
        <v>377.20299999999997</v>
      </c>
      <c r="C36" s="39">
        <f>IF(ISERROR(B36*3.6/1000000/'E Balans VL '!Z24*100),0,B36*3.6/1000000/'E Balans VL '!Z24*100)</f>
        <v>8.8577423979544663E-3</v>
      </c>
      <c r="D36" s="238" t="s">
        <v>718</v>
      </c>
    </row>
    <row r="37" spans="1:5">
      <c r="A37" s="172" t="s">
        <v>269</v>
      </c>
      <c r="B37" s="37">
        <f>IF( ISERROR(IND_rest_ele_kWh/1000),0,IND_rest_ele_kWh/1000)</f>
        <v>0</v>
      </c>
      <c r="C37" s="39">
        <f>IF(ISERROR(B37*3.6/1000000/'E Balans VL '!Z15*100),0,B37*3.6/1000000/'E Balans VL '!Z15*100)</f>
        <v>0</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9936.1000909582508</v>
      </c>
      <c r="C5" s="17">
        <f>'Eigen informatie GS &amp; warmtenet'!B60</f>
        <v>0</v>
      </c>
      <c r="D5" s="30">
        <f>IF(ISERROR(SUM(LB_lb_gas_kWh,LB_rest_gas_kWh)/1000),0,SUM(LB_lb_gas_kWh,LB_rest_gas_kWh)/1000)*0.902</f>
        <v>571.71646399999997</v>
      </c>
      <c r="E5" s="17">
        <f>B17*'E Balans VL '!I25/3.6*1000000/100</f>
        <v>104.05299123046403</v>
      </c>
      <c r="F5" s="17">
        <f>B17*('E Balans VL '!L25/3.6*1000000+'E Balans VL '!N25/3.6*1000000)/100</f>
        <v>42534.058221942236</v>
      </c>
      <c r="G5" s="18"/>
      <c r="H5" s="17"/>
      <c r="I5" s="17"/>
      <c r="J5" s="17">
        <f>('E Balans VL '!D25+'E Balans VL '!E25)/3.6*1000000*landbouw!B17/100</f>
        <v>887.3827969069996</v>
      </c>
      <c r="K5" s="17"/>
      <c r="L5" s="17">
        <f>L6*(-1)</f>
        <v>360</v>
      </c>
      <c r="M5" s="17"/>
      <c r="N5" s="17">
        <f>N6*(-1)</f>
        <v>2126.25</v>
      </c>
      <c r="O5" s="17"/>
      <c r="P5" s="17"/>
      <c r="R5" s="32"/>
    </row>
    <row r="6" spans="1:18">
      <c r="A6" s="16" t="s">
        <v>495</v>
      </c>
      <c r="B6" s="17" t="s">
        <v>210</v>
      </c>
      <c r="C6" s="17">
        <f>'lokale energieproductie'!O40+'lokale energieproductie'!O32</f>
        <v>0</v>
      </c>
      <c r="D6" s="309">
        <f>('lokale energieproductie'!P32+'lokale energieproductie'!P40)*(-1)</f>
        <v>0</v>
      </c>
      <c r="E6" s="249"/>
      <c r="F6" s="309">
        <f>('lokale energieproductie'!S32+'lokale energieproductie'!S40)*(-1)</f>
        <v>0</v>
      </c>
      <c r="G6" s="250"/>
      <c r="H6" s="249"/>
      <c r="I6" s="249"/>
      <c r="J6" s="249"/>
      <c r="K6" s="249"/>
      <c r="L6" s="309">
        <f>('lokale energieproductie'!T32+'lokale energieproductie'!U32+'lokale energieproductie'!T40+'lokale energieproductie'!U40)*(-1)</f>
        <v>-360</v>
      </c>
      <c r="M6" s="249"/>
      <c r="N6" s="309">
        <f>('lokale energieproductie'!V32+'lokale energieproductie'!R32+'lokale energieproductie'!Q32+'lokale energieproductie'!Q40+'lokale energieproductie'!R40+'lokale energieproductie'!V40)*(-1)</f>
        <v>-2126.25</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9936.1000909582508</v>
      </c>
      <c r="C8" s="21">
        <f>C5+C6</f>
        <v>0</v>
      </c>
      <c r="D8" s="21">
        <f>MAX((D5+D6),0)</f>
        <v>571.71646399999997</v>
      </c>
      <c r="E8" s="21">
        <f>MAX((E5+E6),0)</f>
        <v>104.05299123046403</v>
      </c>
      <c r="F8" s="21">
        <f>MAX((F5+F6),0)</f>
        <v>42534.058221942236</v>
      </c>
      <c r="G8" s="21"/>
      <c r="H8" s="21"/>
      <c r="I8" s="21"/>
      <c r="J8" s="21">
        <f>MAX((J5+J6),0)</f>
        <v>887.3827969069996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0.20329385533948577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2019.9480945299181</v>
      </c>
      <c r="C12" s="23">
        <f ca="1">C8*C10</f>
        <v>0</v>
      </c>
      <c r="D12" s="23">
        <f>D8*D10</f>
        <v>115.486725728</v>
      </c>
      <c r="E12" s="23">
        <f>E8*E10</f>
        <v>23.620029009315335</v>
      </c>
      <c r="F12" s="23">
        <f>F8*F10</f>
        <v>11356.593545258578</v>
      </c>
      <c r="G12" s="23"/>
      <c r="H12" s="23"/>
      <c r="I12" s="23"/>
      <c r="J12" s="23">
        <f>J8*J10</f>
        <v>314.13351010507785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1.5293576061749727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2159.6609392946261</v>
      </c>
      <c r="C26" s="248">
        <f>B26*'GWP N2O_CH4'!B5</f>
        <v>45352.879725187151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1072.7432584780627</v>
      </c>
      <c r="C27" s="248">
        <f>B27*'GWP N2O_CH4'!B5</f>
        <v>22527.608428039315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29.950619776923183</v>
      </c>
      <c r="C28" s="248">
        <f>B28*'GWP N2O_CH4'!B4</f>
        <v>9284.692130846186</v>
      </c>
      <c r="D28" s="50"/>
    </row>
    <row r="29" spans="1:4">
      <c r="A29" s="41" t="s">
        <v>276</v>
      </c>
      <c r="B29" s="248">
        <f>B34*'ha_N2O bodem landbouw'!B4</f>
        <v>111.67153808441924</v>
      </c>
      <c r="C29" s="248">
        <f>B29*'GWP N2O_CH4'!B4</f>
        <v>34618.176806169962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1.8455188328565394E-2</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3.785693598657945E-6</v>
      </c>
      <c r="C5" s="443" t="s">
        <v>210</v>
      </c>
      <c r="D5" s="428">
        <f>SUM(D6:D11)</f>
        <v>1.9846225294828992E-5</v>
      </c>
      <c r="E5" s="428">
        <f>SUM(E6:E11)</f>
        <v>2.0235221571222079E-3</v>
      </c>
      <c r="F5" s="441" t="s">
        <v>210</v>
      </c>
      <c r="G5" s="428">
        <f>SUM(G6:G11)</f>
        <v>0.39526633886932833</v>
      </c>
      <c r="H5" s="428">
        <f>SUM(H6:H11)</f>
        <v>6.8413739223478778E-2</v>
      </c>
      <c r="I5" s="443" t="s">
        <v>210</v>
      </c>
      <c r="J5" s="443" t="s">
        <v>210</v>
      </c>
      <c r="K5" s="443" t="s">
        <v>210</v>
      </c>
      <c r="L5" s="443" t="s">
        <v>210</v>
      </c>
      <c r="M5" s="428">
        <f>SUM(M6:M11)</f>
        <v>2.017649519640884E-2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3.2098146807225149E-6</v>
      </c>
      <c r="C6" s="429"/>
      <c r="D6" s="429">
        <f>vkm_GW_PW*SUMIFS(TableVerdeelsleutelVkm[CNG],TableVerdeelsleutelVkm[Voertuigtype],"Lichte voertuigen")*SUMIFS(TableECFTransport[EnergieConsumptieFactor (PJ per km)],TableECFTransport[Index],CONCATENATE($A6,"_CNG_CNG"))</f>
        <v>1.5224970316156019E-5</v>
      </c>
      <c r="E6" s="431">
        <f>vkm_GW_PW*SUMIFS(TableVerdeelsleutelVkm[LPG],TableVerdeelsleutelVkm[Voertuigtype],"Lichte voertuigen")*SUMIFS(TableECFTransport[EnergieConsumptieFactor (PJ per km)],TableECFTransport[Index],CONCATENATE($A6,"_LPG_LPG"))</f>
        <v>1.5754668314110914E-3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0.21339314328464193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5.3132505442477523E-2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1.1638228555075455E-2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0.11534015851897138</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3.2032631883166791E-6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4.9689056936228406E-3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5.7587891793542998E-7</v>
      </c>
      <c r="C8" s="429"/>
      <c r="D8" s="431">
        <f>vkm_NGW_PW*SUMIFS(TableVerdeelsleutelVkm[CNG],TableVerdeelsleutelVkm[Voertuigtype],"Lichte voertuigen")*SUMIFS(TableECFTransport[EnergieConsumptieFactor (PJ per km)],TableECFTransport[Index],CONCATENATE($A8,"_CNG_CNG"))</f>
        <v>4.6212549786729737E-6</v>
      </c>
      <c r="E8" s="431">
        <f>vkm_NGW_PW*SUMIFS(TableVerdeelsleutelVkm[LPG],TableVerdeelsleutelVkm[Voertuigtype],"Lichte voertuigen")*SUMIFS(TableECFTransport[EnergieConsumptieFactor (PJ per km)],TableECFTransport[Index],CONCATENATE($A8,"_LPG_LPG"))</f>
        <v>4.4805532571111654E-4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5.8168192722281152E-2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1.5277750802228211E-2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3.2089975247114998E-3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8.3648443434338957E-3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2.7971558472608822E-7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3.6036342299904382E-4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1.0515815551827625</v>
      </c>
      <c r="C14" s="21"/>
      <c r="D14" s="21">
        <f t="shared" ref="D14:M14" si="0">((D5)*10^9/3600)+D12</f>
        <v>5.51284035967472</v>
      </c>
      <c r="E14" s="21">
        <f t="shared" si="0"/>
        <v>562.0894880895022</v>
      </c>
      <c r="F14" s="21"/>
      <c r="G14" s="21">
        <f t="shared" si="0"/>
        <v>109796.20524148009</v>
      </c>
      <c r="H14" s="21">
        <f t="shared" si="0"/>
        <v>19003.816450966329</v>
      </c>
      <c r="I14" s="21"/>
      <c r="J14" s="21"/>
      <c r="K14" s="21"/>
      <c r="L14" s="21"/>
      <c r="M14" s="21">
        <f t="shared" si="0"/>
        <v>5604.5819990024547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0.20329385533948577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0.21378006855699599</v>
      </c>
      <c r="C18" s="23"/>
      <c r="D18" s="23">
        <f t="shared" ref="D18:M18" si="1">D14*D16</f>
        <v>1.1135937526542936</v>
      </c>
      <c r="E18" s="23">
        <f t="shared" si="1"/>
        <v>127.594313796317</v>
      </c>
      <c r="F18" s="23"/>
      <c r="G18" s="23">
        <f t="shared" si="1"/>
        <v>29315.586799475186</v>
      </c>
      <c r="H18" s="23">
        <f t="shared" si="1"/>
        <v>4731.9502962906163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7.8189840981042705E-3</v>
      </c>
      <c r="H50" s="320">
        <f t="shared" si="2"/>
        <v>0</v>
      </c>
      <c r="I50" s="320">
        <f t="shared" si="2"/>
        <v>0</v>
      </c>
      <c r="J50" s="320">
        <f t="shared" si="2"/>
        <v>0</v>
      </c>
      <c r="K50" s="320">
        <f t="shared" si="2"/>
        <v>0</v>
      </c>
      <c r="L50" s="320">
        <f t="shared" si="2"/>
        <v>0</v>
      </c>
      <c r="M50" s="320">
        <f t="shared" si="2"/>
        <v>3.324919538831891E-4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7.8189840981042705E-3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3.324919538831891E-4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2171.9400272511862</v>
      </c>
      <c r="H54" s="21">
        <f t="shared" si="3"/>
        <v>0</v>
      </c>
      <c r="I54" s="21">
        <f t="shared" si="3"/>
        <v>0</v>
      </c>
      <c r="J54" s="21">
        <f t="shared" si="3"/>
        <v>0</v>
      </c>
      <c r="K54" s="21">
        <f t="shared" si="3"/>
        <v>0</v>
      </c>
      <c r="L54" s="21">
        <f t="shared" si="3"/>
        <v>0</v>
      </c>
      <c r="M54" s="21">
        <f t="shared" si="3"/>
        <v>92.358876078663627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0.20329385533948577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579.90798727606671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27362.453000000001</v>
      </c>
      <c r="D10" s="684">
        <f ca="1">tertiair!C16</f>
        <v>0</v>
      </c>
      <c r="E10" s="684">
        <f ca="1">tertiair!D16</f>
        <v>20002.127815999997</v>
      </c>
      <c r="F10" s="684">
        <f>tertiair!E16</f>
        <v>420.90411472210849</v>
      </c>
      <c r="G10" s="684">
        <f ca="1">tertiair!F16</f>
        <v>5605.2619255751824</v>
      </c>
      <c r="H10" s="684">
        <f>tertiair!G16</f>
        <v>0</v>
      </c>
      <c r="I10" s="684">
        <f>tertiair!H16</f>
        <v>0</v>
      </c>
      <c r="J10" s="684">
        <f>tertiair!I16</f>
        <v>0</v>
      </c>
      <c r="K10" s="684">
        <f>tertiair!J16</f>
        <v>0</v>
      </c>
      <c r="L10" s="684">
        <f>tertiair!K16</f>
        <v>0</v>
      </c>
      <c r="M10" s="684">
        <f ca="1">tertiair!L16</f>
        <v>0</v>
      </c>
      <c r="N10" s="684">
        <f>tertiair!M16</f>
        <v>0</v>
      </c>
      <c r="O10" s="684">
        <f ca="1">tertiair!N16</f>
        <v>1808.778894114</v>
      </c>
      <c r="P10" s="684">
        <f>tertiair!O16</f>
        <v>0</v>
      </c>
      <c r="Q10" s="685">
        <f>tertiair!P16</f>
        <v>19.066666666666666</v>
      </c>
      <c r="R10" s="687">
        <f ca="1">SUM(C10:Q10)</f>
        <v>55218.592417077962</v>
      </c>
      <c r="S10" s="67"/>
    </row>
    <row r="11" spans="1:19" s="453" customFormat="1">
      <c r="A11" s="799" t="s">
        <v>224</v>
      </c>
      <c r="B11" s="804"/>
      <c r="C11" s="684">
        <f>huishoudens!B8</f>
        <v>31667.790108007852</v>
      </c>
      <c r="D11" s="684">
        <f>huishoudens!C8</f>
        <v>0</v>
      </c>
      <c r="E11" s="684">
        <f>huishoudens!D8</f>
        <v>60683.704268000001</v>
      </c>
      <c r="F11" s="684">
        <f>huishoudens!E8</f>
        <v>28668.126985923325</v>
      </c>
      <c r="G11" s="684">
        <f>huishoudens!F8</f>
        <v>13846.488841623815</v>
      </c>
      <c r="H11" s="684">
        <f>huishoudens!G8</f>
        <v>0</v>
      </c>
      <c r="I11" s="684">
        <f>huishoudens!H8</f>
        <v>0</v>
      </c>
      <c r="J11" s="684">
        <f>huishoudens!I8</f>
        <v>0</v>
      </c>
      <c r="K11" s="684">
        <f>huishoudens!J8</f>
        <v>3668.1719438421992</v>
      </c>
      <c r="L11" s="684">
        <f>huishoudens!K8</f>
        <v>0</v>
      </c>
      <c r="M11" s="684">
        <f>huishoudens!L8</f>
        <v>0</v>
      </c>
      <c r="N11" s="684">
        <f>huishoudens!M8</f>
        <v>0</v>
      </c>
      <c r="O11" s="684">
        <f>huishoudens!N8</f>
        <v>21777.592073714539</v>
      </c>
      <c r="P11" s="684">
        <f>huishoudens!O8</f>
        <v>71.913333333333341</v>
      </c>
      <c r="Q11" s="685">
        <f>huishoudens!P8</f>
        <v>133.46666666666667</v>
      </c>
      <c r="R11" s="687">
        <f>SUM(C11:Q11)</f>
        <v>160517.25422111174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19727.912</v>
      </c>
      <c r="D13" s="684">
        <f>industrie!C18</f>
        <v>0</v>
      </c>
      <c r="E13" s="684">
        <f>industrie!D18</f>
        <v>6606.0856400000002</v>
      </c>
      <c r="F13" s="684">
        <f>industrie!E18</f>
        <v>256.88646670307139</v>
      </c>
      <c r="G13" s="684">
        <f>industrie!F18</f>
        <v>9374.5301329524173</v>
      </c>
      <c r="H13" s="684">
        <f>industrie!G18</f>
        <v>0</v>
      </c>
      <c r="I13" s="684">
        <f>industrie!H18</f>
        <v>0</v>
      </c>
      <c r="J13" s="684">
        <f>industrie!I18</f>
        <v>0</v>
      </c>
      <c r="K13" s="684">
        <f>industrie!J18</f>
        <v>100.44335729548112</v>
      </c>
      <c r="L13" s="684">
        <f>industrie!K18</f>
        <v>0</v>
      </c>
      <c r="M13" s="684">
        <f>industrie!L18</f>
        <v>0</v>
      </c>
      <c r="N13" s="684">
        <f>industrie!M18</f>
        <v>0</v>
      </c>
      <c r="O13" s="684">
        <f>industrie!N18</f>
        <v>856.59027415372543</v>
      </c>
      <c r="P13" s="684">
        <f>industrie!O18</f>
        <v>0</v>
      </c>
      <c r="Q13" s="685">
        <f>industrie!P18</f>
        <v>0</v>
      </c>
      <c r="R13" s="687">
        <f>SUM(C13:Q13)</f>
        <v>36922.447871104698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78758.15510800785</v>
      </c>
      <c r="D16" s="717">
        <f t="shared" ref="D16:R16" ca="1" si="0">SUM(D9:D15)</f>
        <v>0</v>
      </c>
      <c r="E16" s="717">
        <f t="shared" ca="1" si="0"/>
        <v>87291.917723999999</v>
      </c>
      <c r="F16" s="717">
        <f t="shared" si="0"/>
        <v>29345.917567348504</v>
      </c>
      <c r="G16" s="717">
        <f t="shared" ca="1" si="0"/>
        <v>28826.280900151418</v>
      </c>
      <c r="H16" s="717">
        <f t="shared" si="0"/>
        <v>0</v>
      </c>
      <c r="I16" s="717">
        <f t="shared" si="0"/>
        <v>0</v>
      </c>
      <c r="J16" s="717">
        <f t="shared" si="0"/>
        <v>0</v>
      </c>
      <c r="K16" s="717">
        <f t="shared" si="0"/>
        <v>3768.6153011376805</v>
      </c>
      <c r="L16" s="717">
        <f t="shared" si="0"/>
        <v>0</v>
      </c>
      <c r="M16" s="717">
        <f t="shared" ca="1" si="0"/>
        <v>0</v>
      </c>
      <c r="N16" s="717">
        <f t="shared" si="0"/>
        <v>0</v>
      </c>
      <c r="O16" s="717">
        <f t="shared" ca="1" si="0"/>
        <v>24442.961241982262</v>
      </c>
      <c r="P16" s="717">
        <f t="shared" si="0"/>
        <v>71.913333333333341</v>
      </c>
      <c r="Q16" s="717">
        <f t="shared" si="0"/>
        <v>152.53333333333333</v>
      </c>
      <c r="R16" s="717">
        <f t="shared" ca="1" si="0"/>
        <v>252658.29450929438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2171.9400272511862</v>
      </c>
      <c r="I19" s="684">
        <f>transport!H54</f>
        <v>0</v>
      </c>
      <c r="J19" s="684">
        <f>transport!I54</f>
        <v>0</v>
      </c>
      <c r="K19" s="684">
        <f>transport!J54</f>
        <v>0</v>
      </c>
      <c r="L19" s="684">
        <f>transport!K54</f>
        <v>0</v>
      </c>
      <c r="M19" s="684">
        <f>transport!L54</f>
        <v>0</v>
      </c>
      <c r="N19" s="684">
        <f>transport!M54</f>
        <v>92.358876078663627</v>
      </c>
      <c r="O19" s="684">
        <f>transport!N54</f>
        <v>0</v>
      </c>
      <c r="P19" s="684">
        <f>transport!O54</f>
        <v>0</v>
      </c>
      <c r="Q19" s="685">
        <f>transport!P54</f>
        <v>0</v>
      </c>
      <c r="R19" s="687">
        <f>SUM(C19:Q19)</f>
        <v>2264.29890332985</v>
      </c>
      <c r="S19" s="67"/>
    </row>
    <row r="20" spans="1:19" s="453" customFormat="1">
      <c r="A20" s="799" t="s">
        <v>306</v>
      </c>
      <c r="B20" s="804"/>
      <c r="C20" s="684">
        <f>transport!B14</f>
        <v>1.0515815551827625</v>
      </c>
      <c r="D20" s="684">
        <f>transport!C14</f>
        <v>0</v>
      </c>
      <c r="E20" s="684">
        <f>transport!D14</f>
        <v>5.51284035967472</v>
      </c>
      <c r="F20" s="684">
        <f>transport!E14</f>
        <v>562.0894880895022</v>
      </c>
      <c r="G20" s="684">
        <f>transport!F14</f>
        <v>0</v>
      </c>
      <c r="H20" s="684">
        <f>transport!G14</f>
        <v>109796.20524148009</v>
      </c>
      <c r="I20" s="684">
        <f>transport!H14</f>
        <v>19003.816450966329</v>
      </c>
      <c r="J20" s="684">
        <f>transport!I14</f>
        <v>0</v>
      </c>
      <c r="K20" s="684">
        <f>transport!J14</f>
        <v>0</v>
      </c>
      <c r="L20" s="684">
        <f>transport!K14</f>
        <v>0</v>
      </c>
      <c r="M20" s="684">
        <f>transport!L14</f>
        <v>0</v>
      </c>
      <c r="N20" s="684">
        <f>transport!M14</f>
        <v>5604.5819990024547</v>
      </c>
      <c r="O20" s="684">
        <f>transport!N14</f>
        <v>0</v>
      </c>
      <c r="P20" s="684">
        <f>transport!O14</f>
        <v>0</v>
      </c>
      <c r="Q20" s="685">
        <f>transport!P14</f>
        <v>0</v>
      </c>
      <c r="R20" s="687">
        <f>SUM(C20:Q20)</f>
        <v>134973.25760145322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1.0515815551827625</v>
      </c>
      <c r="D22" s="802">
        <f t="shared" ref="D22:R22" si="1">SUM(D18:D21)</f>
        <v>0</v>
      </c>
      <c r="E22" s="802">
        <f t="shared" si="1"/>
        <v>5.51284035967472</v>
      </c>
      <c r="F22" s="802">
        <f t="shared" si="1"/>
        <v>562.0894880895022</v>
      </c>
      <c r="G22" s="802">
        <f t="shared" si="1"/>
        <v>0</v>
      </c>
      <c r="H22" s="802">
        <f t="shared" si="1"/>
        <v>111968.14526873127</v>
      </c>
      <c r="I22" s="802">
        <f t="shared" si="1"/>
        <v>19003.816450966329</v>
      </c>
      <c r="J22" s="802">
        <f t="shared" si="1"/>
        <v>0</v>
      </c>
      <c r="K22" s="802">
        <f t="shared" si="1"/>
        <v>0</v>
      </c>
      <c r="L22" s="802">
        <f t="shared" si="1"/>
        <v>0</v>
      </c>
      <c r="M22" s="802">
        <f t="shared" si="1"/>
        <v>0</v>
      </c>
      <c r="N22" s="802">
        <f t="shared" si="1"/>
        <v>5696.9408750811181</v>
      </c>
      <c r="O22" s="802">
        <f t="shared" si="1"/>
        <v>0</v>
      </c>
      <c r="P22" s="802">
        <f t="shared" si="1"/>
        <v>0</v>
      </c>
      <c r="Q22" s="802">
        <f t="shared" si="1"/>
        <v>0</v>
      </c>
      <c r="R22" s="802">
        <f t="shared" si="1"/>
        <v>137237.55650478308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9936.1000909582508</v>
      </c>
      <c r="D24" s="684">
        <f>+landbouw!C8</f>
        <v>0</v>
      </c>
      <c r="E24" s="684">
        <f>+landbouw!D8</f>
        <v>571.71646399999997</v>
      </c>
      <c r="F24" s="684">
        <f>+landbouw!E8</f>
        <v>104.05299123046403</v>
      </c>
      <c r="G24" s="684">
        <f>+landbouw!F8</f>
        <v>42534.058221942236</v>
      </c>
      <c r="H24" s="684">
        <f>+landbouw!G8</f>
        <v>0</v>
      </c>
      <c r="I24" s="684">
        <f>+landbouw!H8</f>
        <v>0</v>
      </c>
      <c r="J24" s="684">
        <f>+landbouw!I8</f>
        <v>0</v>
      </c>
      <c r="K24" s="684">
        <f>+landbouw!J8</f>
        <v>887.3827969069996</v>
      </c>
      <c r="L24" s="684">
        <f>+landbouw!K8</f>
        <v>0</v>
      </c>
      <c r="M24" s="684">
        <f>+landbouw!L8</f>
        <v>0</v>
      </c>
      <c r="N24" s="684">
        <f>+landbouw!M8</f>
        <v>0</v>
      </c>
      <c r="O24" s="684">
        <f>+landbouw!N8</f>
        <v>0</v>
      </c>
      <c r="P24" s="684">
        <f>+landbouw!O8</f>
        <v>0</v>
      </c>
      <c r="Q24" s="685">
        <f>+landbouw!P8</f>
        <v>0</v>
      </c>
      <c r="R24" s="687">
        <f>SUM(C24:Q24)</f>
        <v>54033.310565037944</v>
      </c>
      <c r="S24" s="67"/>
    </row>
    <row r="25" spans="1:19" s="453" customFormat="1" ht="15" thickBot="1">
      <c r="A25" s="821" t="s">
        <v>912</v>
      </c>
      <c r="B25" s="978"/>
      <c r="C25" s="979">
        <f>IF(Onbekend_ele_kWh="---",0,Onbekend_ele_kWh)/1000+IF(REST_rest_ele_kWh="---",0,REST_rest_ele_kWh)/1000</f>
        <v>2892.2170000000001</v>
      </c>
      <c r="D25" s="979"/>
      <c r="E25" s="979">
        <f>IF(onbekend_gas_kWh="---",0,onbekend_gas_kWh)/1000+IF(REST_rest_gas_kWh="---",0,REST_rest_gas_kWh)/1000</f>
        <v>1365.453</v>
      </c>
      <c r="F25" s="979"/>
      <c r="G25" s="979"/>
      <c r="H25" s="979"/>
      <c r="I25" s="979"/>
      <c r="J25" s="979"/>
      <c r="K25" s="979"/>
      <c r="L25" s="979"/>
      <c r="M25" s="979"/>
      <c r="N25" s="979"/>
      <c r="O25" s="979"/>
      <c r="P25" s="979"/>
      <c r="Q25" s="980"/>
      <c r="R25" s="687">
        <f>SUM(C25:Q25)</f>
        <v>4257.67</v>
      </c>
      <c r="S25" s="67"/>
    </row>
    <row r="26" spans="1:19" s="453" customFormat="1" ht="15.75" thickBot="1">
      <c r="A26" s="690" t="s">
        <v>913</v>
      </c>
      <c r="B26" s="807"/>
      <c r="C26" s="802">
        <f>SUM(C24:C25)</f>
        <v>12828.317090958251</v>
      </c>
      <c r="D26" s="802">
        <f t="shared" ref="D26:R26" si="2">SUM(D24:D25)</f>
        <v>0</v>
      </c>
      <c r="E26" s="802">
        <f t="shared" si="2"/>
        <v>1937.1694640000001</v>
      </c>
      <c r="F26" s="802">
        <f t="shared" si="2"/>
        <v>104.05299123046403</v>
      </c>
      <c r="G26" s="802">
        <f t="shared" si="2"/>
        <v>42534.058221942236</v>
      </c>
      <c r="H26" s="802">
        <f t="shared" si="2"/>
        <v>0</v>
      </c>
      <c r="I26" s="802">
        <f t="shared" si="2"/>
        <v>0</v>
      </c>
      <c r="J26" s="802">
        <f t="shared" si="2"/>
        <v>0</v>
      </c>
      <c r="K26" s="802">
        <f t="shared" si="2"/>
        <v>887.3827969069996</v>
      </c>
      <c r="L26" s="802">
        <f t="shared" si="2"/>
        <v>0</v>
      </c>
      <c r="M26" s="802">
        <f t="shared" si="2"/>
        <v>0</v>
      </c>
      <c r="N26" s="802">
        <f t="shared" si="2"/>
        <v>0</v>
      </c>
      <c r="O26" s="802">
        <f t="shared" si="2"/>
        <v>0</v>
      </c>
      <c r="P26" s="802">
        <f t="shared" si="2"/>
        <v>0</v>
      </c>
      <c r="Q26" s="802">
        <f t="shared" si="2"/>
        <v>0</v>
      </c>
      <c r="R26" s="802">
        <f t="shared" si="2"/>
        <v>58290.980565037942</v>
      </c>
      <c r="S26" s="67"/>
    </row>
    <row r="27" spans="1:19" s="453" customFormat="1" ht="17.25" thickTop="1" thickBot="1">
      <c r="A27" s="691" t="s">
        <v>115</v>
      </c>
      <c r="B27" s="794"/>
      <c r="C27" s="692">
        <f ca="1">C22+C16+C26</f>
        <v>91587.523780521282</v>
      </c>
      <c r="D27" s="692">
        <f t="shared" ref="D27:R27" ca="1" si="3">D22+D16+D26</f>
        <v>0</v>
      </c>
      <c r="E27" s="692">
        <f t="shared" ca="1" si="3"/>
        <v>89234.60002835968</v>
      </c>
      <c r="F27" s="692">
        <f t="shared" si="3"/>
        <v>30012.06004666847</v>
      </c>
      <c r="G27" s="692">
        <f t="shared" ca="1" si="3"/>
        <v>71360.339122093661</v>
      </c>
      <c r="H27" s="692">
        <f t="shared" si="3"/>
        <v>111968.14526873127</v>
      </c>
      <c r="I27" s="692">
        <f t="shared" si="3"/>
        <v>19003.816450966329</v>
      </c>
      <c r="J27" s="692">
        <f t="shared" si="3"/>
        <v>0</v>
      </c>
      <c r="K27" s="692">
        <f t="shared" si="3"/>
        <v>4655.9980980446799</v>
      </c>
      <c r="L27" s="692">
        <f t="shared" si="3"/>
        <v>0</v>
      </c>
      <c r="M27" s="692">
        <f t="shared" ca="1" si="3"/>
        <v>0</v>
      </c>
      <c r="N27" s="692">
        <f t="shared" si="3"/>
        <v>5696.9408750811181</v>
      </c>
      <c r="O27" s="692">
        <f t="shared" ca="1" si="3"/>
        <v>24442.961241982262</v>
      </c>
      <c r="P27" s="692">
        <f t="shared" si="3"/>
        <v>71.913333333333341</v>
      </c>
      <c r="Q27" s="692">
        <f t="shared" si="3"/>
        <v>152.53333333333333</v>
      </c>
      <c r="R27" s="692">
        <f t="shared" ca="1" si="3"/>
        <v>448186.83157911536</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5562.6185619154785</v>
      </c>
      <c r="D40" s="684">
        <f ca="1">tertiair!C20</f>
        <v>0</v>
      </c>
      <c r="E40" s="684">
        <f ca="1">tertiair!D20</f>
        <v>4040.4298188319995</v>
      </c>
      <c r="F40" s="684">
        <f>tertiair!E20</f>
        <v>95.545234041918633</v>
      </c>
      <c r="G40" s="684">
        <f ca="1">tertiair!F20</f>
        <v>1496.6049341285739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11195.19854891797</v>
      </c>
    </row>
    <row r="41" spans="1:18">
      <c r="A41" s="812" t="s">
        <v>224</v>
      </c>
      <c r="B41" s="819"/>
      <c r="C41" s="684">
        <f ca="1">huishoudens!B12</f>
        <v>6437.8671411385467</v>
      </c>
      <c r="D41" s="684">
        <f ca="1">huishoudens!C12</f>
        <v>0</v>
      </c>
      <c r="E41" s="684">
        <f>huishoudens!D12</f>
        <v>12258.108262136002</v>
      </c>
      <c r="F41" s="684">
        <f>huishoudens!E12</f>
        <v>6507.6648258045952</v>
      </c>
      <c r="G41" s="684">
        <f>huishoudens!F12</f>
        <v>3697.0125207135588</v>
      </c>
      <c r="H41" s="684">
        <f>huishoudens!G12</f>
        <v>0</v>
      </c>
      <c r="I41" s="684">
        <f>huishoudens!H12</f>
        <v>0</v>
      </c>
      <c r="J41" s="684">
        <f>huishoudens!I12</f>
        <v>0</v>
      </c>
      <c r="K41" s="684">
        <f>huishoudens!J12</f>
        <v>1298.5328681201383</v>
      </c>
      <c r="L41" s="684">
        <f>huishoudens!K12</f>
        <v>0</v>
      </c>
      <c r="M41" s="684">
        <f>huishoudens!L12</f>
        <v>0</v>
      </c>
      <c r="N41" s="684">
        <f>huishoudens!M12</f>
        <v>0</v>
      </c>
      <c r="O41" s="684">
        <f>huishoudens!N12</f>
        <v>0</v>
      </c>
      <c r="P41" s="684">
        <f>huishoudens!O12</f>
        <v>0</v>
      </c>
      <c r="Q41" s="759">
        <f>huishoudens!P12</f>
        <v>0</v>
      </c>
      <c r="R41" s="840">
        <f t="shared" ca="1" si="4"/>
        <v>30199.185617912841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4010.5632882781056</v>
      </c>
      <c r="D43" s="684">
        <f ca="1">industrie!C22</f>
        <v>0</v>
      </c>
      <c r="E43" s="684">
        <f>industrie!D22</f>
        <v>1334.4292992800001</v>
      </c>
      <c r="F43" s="684">
        <f>industrie!E22</f>
        <v>58.313227941597205</v>
      </c>
      <c r="G43" s="684">
        <f>industrie!F22</f>
        <v>2502.9995454982954</v>
      </c>
      <c r="H43" s="684">
        <f>industrie!G22</f>
        <v>0</v>
      </c>
      <c r="I43" s="684">
        <f>industrie!H22</f>
        <v>0</v>
      </c>
      <c r="J43" s="684">
        <f>industrie!I22</f>
        <v>0</v>
      </c>
      <c r="K43" s="684">
        <f>industrie!J22</f>
        <v>35.556948482600312</v>
      </c>
      <c r="L43" s="684">
        <f>industrie!K22</f>
        <v>0</v>
      </c>
      <c r="M43" s="684">
        <f>industrie!L22</f>
        <v>0</v>
      </c>
      <c r="N43" s="684">
        <f>industrie!M22</f>
        <v>0</v>
      </c>
      <c r="O43" s="684">
        <f>industrie!N22</f>
        <v>0</v>
      </c>
      <c r="P43" s="684">
        <f>industrie!O22</f>
        <v>0</v>
      </c>
      <c r="Q43" s="759">
        <f>industrie!P22</f>
        <v>0</v>
      </c>
      <c r="R43" s="839">
        <f t="shared" ca="1" si="4"/>
        <v>7941.862309480598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16011.048991332133</v>
      </c>
      <c r="D46" s="717">
        <f t="shared" ref="D46:Q46" ca="1" si="5">SUM(D39:D45)</f>
        <v>0</v>
      </c>
      <c r="E46" s="717">
        <f t="shared" ca="1" si="5"/>
        <v>17632.967380248003</v>
      </c>
      <c r="F46" s="717">
        <f t="shared" si="5"/>
        <v>6661.5232877881108</v>
      </c>
      <c r="G46" s="717">
        <f t="shared" ca="1" si="5"/>
        <v>7696.6170003404286</v>
      </c>
      <c r="H46" s="717">
        <f t="shared" si="5"/>
        <v>0</v>
      </c>
      <c r="I46" s="717">
        <f t="shared" si="5"/>
        <v>0</v>
      </c>
      <c r="J46" s="717">
        <f t="shared" si="5"/>
        <v>0</v>
      </c>
      <c r="K46" s="717">
        <f t="shared" si="5"/>
        <v>1334.0898166027387</v>
      </c>
      <c r="L46" s="717">
        <f t="shared" si="5"/>
        <v>0</v>
      </c>
      <c r="M46" s="717">
        <f t="shared" ca="1" si="5"/>
        <v>0</v>
      </c>
      <c r="N46" s="717">
        <f t="shared" si="5"/>
        <v>0</v>
      </c>
      <c r="O46" s="717">
        <f t="shared" ca="1" si="5"/>
        <v>0</v>
      </c>
      <c r="P46" s="717">
        <f t="shared" si="5"/>
        <v>0</v>
      </c>
      <c r="Q46" s="717">
        <f t="shared" si="5"/>
        <v>0</v>
      </c>
      <c r="R46" s="717">
        <f ca="1">SUM(R39:R45)</f>
        <v>49336.246476311404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579.90798727606671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579.90798727606671</v>
      </c>
    </row>
    <row r="50" spans="1:18">
      <c r="A50" s="815" t="s">
        <v>306</v>
      </c>
      <c r="B50" s="825"/>
      <c r="C50" s="985">
        <f ca="1">transport!B18</f>
        <v>0.21378006855699599</v>
      </c>
      <c r="D50" s="985">
        <f>transport!C18</f>
        <v>0</v>
      </c>
      <c r="E50" s="985">
        <f>transport!D18</f>
        <v>1.1135937526542936</v>
      </c>
      <c r="F50" s="985">
        <f>transport!E18</f>
        <v>127.594313796317</v>
      </c>
      <c r="G50" s="985">
        <f>transport!F18</f>
        <v>0</v>
      </c>
      <c r="H50" s="985">
        <f>transport!G18</f>
        <v>29315.586799475186</v>
      </c>
      <c r="I50" s="985">
        <f>transport!H18</f>
        <v>4731.9502962906163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34176.458783383328</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0.21378006855699599</v>
      </c>
      <c r="D52" s="717">
        <f t="shared" ref="D52:Q52" ca="1" si="6">SUM(D48:D51)</f>
        <v>0</v>
      </c>
      <c r="E52" s="717">
        <f t="shared" si="6"/>
        <v>1.1135937526542936</v>
      </c>
      <c r="F52" s="717">
        <f t="shared" si="6"/>
        <v>127.594313796317</v>
      </c>
      <c r="G52" s="717">
        <f t="shared" si="6"/>
        <v>0</v>
      </c>
      <c r="H52" s="717">
        <f t="shared" si="6"/>
        <v>29895.494786751253</v>
      </c>
      <c r="I52" s="717">
        <f t="shared" si="6"/>
        <v>4731.9502962906163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34756.366770659399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2019.9480945299181</v>
      </c>
      <c r="D54" s="985">
        <f ca="1">+landbouw!C12</f>
        <v>0</v>
      </c>
      <c r="E54" s="985">
        <f>+landbouw!D12</f>
        <v>115.486725728</v>
      </c>
      <c r="F54" s="985">
        <f>+landbouw!E12</f>
        <v>23.620029009315335</v>
      </c>
      <c r="G54" s="985">
        <f>+landbouw!F12</f>
        <v>11356.593545258578</v>
      </c>
      <c r="H54" s="985">
        <f>+landbouw!G12</f>
        <v>0</v>
      </c>
      <c r="I54" s="985">
        <f>+landbouw!H12</f>
        <v>0</v>
      </c>
      <c r="J54" s="985">
        <f>+landbouw!I12</f>
        <v>0</v>
      </c>
      <c r="K54" s="985">
        <f>+landbouw!J12</f>
        <v>314.13351010507785</v>
      </c>
      <c r="L54" s="985">
        <f>+landbouw!K12</f>
        <v>0</v>
      </c>
      <c r="M54" s="985">
        <f>+landbouw!L12</f>
        <v>0</v>
      </c>
      <c r="N54" s="985">
        <f>+landbouw!M12</f>
        <v>0</v>
      </c>
      <c r="O54" s="985">
        <f>+landbouw!N12</f>
        <v>0</v>
      </c>
      <c r="P54" s="985">
        <f>+landbouw!O12</f>
        <v>0</v>
      </c>
      <c r="Q54" s="986">
        <f>+landbouw!P12</f>
        <v>0</v>
      </c>
      <c r="R54" s="716">
        <f ca="1">SUM(C54:Q54)</f>
        <v>13829.781904630889</v>
      </c>
    </row>
    <row r="55" spans="1:18" ht="15" thickBot="1">
      <c r="A55" s="815" t="s">
        <v>912</v>
      </c>
      <c r="B55" s="825"/>
      <c r="C55" s="985">
        <f ca="1">C25*'EF ele_warmte'!B12</f>
        <v>587.96994440840149</v>
      </c>
      <c r="D55" s="985"/>
      <c r="E55" s="985">
        <f>E25*EF_CO2_aardgas</f>
        <v>275.821506</v>
      </c>
      <c r="F55" s="985"/>
      <c r="G55" s="985"/>
      <c r="H55" s="985"/>
      <c r="I55" s="985"/>
      <c r="J55" s="985"/>
      <c r="K55" s="985"/>
      <c r="L55" s="985"/>
      <c r="M55" s="985"/>
      <c r="N55" s="985"/>
      <c r="O55" s="985"/>
      <c r="P55" s="985"/>
      <c r="Q55" s="986"/>
      <c r="R55" s="716">
        <f ca="1">SUM(C55:Q55)</f>
        <v>863.79145040840149</v>
      </c>
    </row>
    <row r="56" spans="1:18" ht="15.75" thickBot="1">
      <c r="A56" s="813" t="s">
        <v>913</v>
      </c>
      <c r="B56" s="826"/>
      <c r="C56" s="717">
        <f ca="1">SUM(C54:C55)</f>
        <v>2607.9180389383196</v>
      </c>
      <c r="D56" s="717">
        <f t="shared" ref="D56:Q56" ca="1" si="7">SUM(D54:D55)</f>
        <v>0</v>
      </c>
      <c r="E56" s="717">
        <f t="shared" si="7"/>
        <v>391.30823172800001</v>
      </c>
      <c r="F56" s="717">
        <f t="shared" si="7"/>
        <v>23.620029009315335</v>
      </c>
      <c r="G56" s="717">
        <f t="shared" si="7"/>
        <v>11356.593545258578</v>
      </c>
      <c r="H56" s="717">
        <f t="shared" si="7"/>
        <v>0</v>
      </c>
      <c r="I56" s="717">
        <f t="shared" si="7"/>
        <v>0</v>
      </c>
      <c r="J56" s="717">
        <f t="shared" si="7"/>
        <v>0</v>
      </c>
      <c r="K56" s="717">
        <f t="shared" si="7"/>
        <v>314.13351010507785</v>
      </c>
      <c r="L56" s="717">
        <f t="shared" si="7"/>
        <v>0</v>
      </c>
      <c r="M56" s="717">
        <f t="shared" si="7"/>
        <v>0</v>
      </c>
      <c r="N56" s="717">
        <f t="shared" si="7"/>
        <v>0</v>
      </c>
      <c r="O56" s="717">
        <f t="shared" si="7"/>
        <v>0</v>
      </c>
      <c r="P56" s="717">
        <f t="shared" si="7"/>
        <v>0</v>
      </c>
      <c r="Q56" s="718">
        <f t="shared" si="7"/>
        <v>0</v>
      </c>
      <c r="R56" s="719">
        <f ca="1">SUM(R54:R55)</f>
        <v>14693.573355039291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18619.18081033901</v>
      </c>
      <c r="D61" s="725">
        <f t="shared" ref="D61:Q61" ca="1" si="8">D46+D52+D56</f>
        <v>0</v>
      </c>
      <c r="E61" s="725">
        <f t="shared" ca="1" si="8"/>
        <v>18025.389205728658</v>
      </c>
      <c r="F61" s="725">
        <f t="shared" si="8"/>
        <v>6812.7376305937432</v>
      </c>
      <c r="G61" s="725">
        <f t="shared" ca="1" si="8"/>
        <v>19053.210545599006</v>
      </c>
      <c r="H61" s="725">
        <f t="shared" si="8"/>
        <v>29895.494786751253</v>
      </c>
      <c r="I61" s="725">
        <f t="shared" si="8"/>
        <v>4731.9502962906163</v>
      </c>
      <c r="J61" s="725">
        <f t="shared" si="8"/>
        <v>0</v>
      </c>
      <c r="K61" s="725">
        <f t="shared" si="8"/>
        <v>1648.2233267078166</v>
      </c>
      <c r="L61" s="725">
        <f t="shared" si="8"/>
        <v>0</v>
      </c>
      <c r="M61" s="725">
        <f t="shared" ca="1" si="8"/>
        <v>0</v>
      </c>
      <c r="N61" s="725">
        <f t="shared" si="8"/>
        <v>0</v>
      </c>
      <c r="O61" s="725">
        <f t="shared" ca="1" si="8"/>
        <v>0</v>
      </c>
      <c r="P61" s="725">
        <f t="shared" si="8"/>
        <v>0</v>
      </c>
      <c r="Q61" s="725">
        <f t="shared" si="8"/>
        <v>0</v>
      </c>
      <c r="R61" s="725">
        <f ca="1">R46+R52+R56</f>
        <v>98786.186602010101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0.20329385533948582</v>
      </c>
      <c r="D63" s="769">
        <f t="shared" ca="1" si="9"/>
        <v>0</v>
      </c>
      <c r="E63" s="987">
        <f t="shared" ca="1" si="9"/>
        <v>0.20200000000000001</v>
      </c>
      <c r="F63" s="769">
        <f t="shared" si="9"/>
        <v>0.22700000000000001</v>
      </c>
      <c r="G63" s="769">
        <f t="shared" ca="1" si="9"/>
        <v>0.26699999999999996</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2642.9898546116724</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3700.3470012987232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994.5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360</v>
      </c>
      <c r="J77" s="998">
        <f>'lokale energieproductie'!J9</f>
        <v>2126.25</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7337.8368559103956</v>
      </c>
      <c r="C78" s="740">
        <f>SUM(C72:C77)</f>
        <v>0</v>
      </c>
      <c r="D78" s="741">
        <f t="shared" ref="D78:H78" si="10">SUM(D76:D77)</f>
        <v>0</v>
      </c>
      <c r="E78" s="741">
        <f t="shared" si="10"/>
        <v>0</v>
      </c>
      <c r="F78" s="741">
        <f t="shared" si="10"/>
        <v>0</v>
      </c>
      <c r="G78" s="741">
        <f t="shared" si="10"/>
        <v>0</v>
      </c>
      <c r="H78" s="741">
        <f t="shared" si="10"/>
        <v>0</v>
      </c>
      <c r="I78" s="741">
        <f>SUM(I76:I77)</f>
        <v>360</v>
      </c>
      <c r="J78" s="741">
        <f>SUM(J76:J77)</f>
        <v>2126.25</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2642.9898546116724</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3700.3470012987232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B49</f>
        <v>0</v>
      </c>
      <c r="D8" s="975"/>
      <c r="E8" s="975">
        <f>E49</f>
        <v>0</v>
      </c>
      <c r="F8" s="976"/>
      <c r="G8" s="555"/>
      <c r="H8" s="975">
        <f>I49</f>
        <v>0</v>
      </c>
      <c r="I8" s="975">
        <f>G49+F49</f>
        <v>0</v>
      </c>
      <c r="J8" s="975">
        <f>H49+D49+C49</f>
        <v>0</v>
      </c>
      <c r="K8" s="975"/>
      <c r="L8" s="975"/>
      <c r="M8" s="975"/>
      <c r="N8" s="556"/>
      <c r="O8" s="557">
        <f>C8*$C$12+D8*$D$12+E8*$E$12+F8*$F$12+G8*$G$12+H8*$H$12+I8*$I$12+J8*$J$12</f>
        <v>0</v>
      </c>
      <c r="P8" s="1236"/>
      <c r="Q8" s="1237"/>
      <c r="S8" s="1008"/>
      <c r="T8" s="1224"/>
      <c r="U8" s="1224"/>
    </row>
    <row r="9" spans="1:21" s="542" customFormat="1" ht="17.45" customHeight="1" thickBot="1">
      <c r="A9" s="558" t="s">
        <v>247</v>
      </c>
      <c r="B9" s="1012">
        <f>N37+'Eigen informatie GS &amp; warmtenet'!B12</f>
        <v>994.5</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360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2126.25</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7337.8368559103956</v>
      </c>
      <c r="C10" s="566">
        <f t="shared" ref="C10:L10" si="0">SUM(C8:C9)</f>
        <v>0</v>
      </c>
      <c r="D10" s="566">
        <f t="shared" si="0"/>
        <v>0</v>
      </c>
      <c r="E10" s="566">
        <f t="shared" si="0"/>
        <v>0</v>
      </c>
      <c r="F10" s="566">
        <f t="shared" si="0"/>
        <v>0</v>
      </c>
      <c r="G10" s="566">
        <f t="shared" si="0"/>
        <v>0</v>
      </c>
      <c r="H10" s="566">
        <f t="shared" si="0"/>
        <v>0</v>
      </c>
      <c r="I10" s="566">
        <f t="shared" si="0"/>
        <v>360</v>
      </c>
      <c r="J10" s="566">
        <f t="shared" si="0"/>
        <v>2126.25</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B50</f>
        <v>0</v>
      </c>
      <c r="D17" s="579"/>
      <c r="E17" s="579">
        <f>E50</f>
        <v>0</v>
      </c>
      <c r="F17" s="580"/>
      <c r="G17" s="581"/>
      <c r="H17" s="578">
        <f>I50</f>
        <v>0</v>
      </c>
      <c r="I17" s="579">
        <f>G50+F50</f>
        <v>0</v>
      </c>
      <c r="J17" s="579">
        <f>H50+D50+C50</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38.25">
      <c r="A35" s="592"/>
      <c r="B35" s="785">
        <v>32003</v>
      </c>
      <c r="C35" s="785">
        <v>8600</v>
      </c>
      <c r="D35" s="640" t="s">
        <v>971</v>
      </c>
      <c r="E35" s="640" t="s">
        <v>972</v>
      </c>
      <c r="F35" s="640" t="s">
        <v>973</v>
      </c>
      <c r="G35" s="640" t="s">
        <v>974</v>
      </c>
      <c r="H35" s="640" t="s">
        <v>975</v>
      </c>
      <c r="I35" s="640" t="s">
        <v>972</v>
      </c>
      <c r="J35" s="784">
        <v>40274</v>
      </c>
      <c r="K35" s="784">
        <v>40274</v>
      </c>
      <c r="L35" s="640" t="s">
        <v>976</v>
      </c>
      <c r="M35" s="640">
        <v>32</v>
      </c>
      <c r="N35" s="640">
        <v>144</v>
      </c>
      <c r="O35" s="640">
        <v>0</v>
      </c>
      <c r="P35" s="640">
        <v>0</v>
      </c>
      <c r="Q35" s="640">
        <v>0</v>
      </c>
      <c r="R35" s="640">
        <v>0</v>
      </c>
      <c r="S35" s="640">
        <v>0</v>
      </c>
      <c r="T35" s="640">
        <v>0</v>
      </c>
      <c r="U35" s="640">
        <v>360</v>
      </c>
      <c r="V35" s="640">
        <v>0</v>
      </c>
      <c r="W35" s="640">
        <v>0</v>
      </c>
      <c r="X35" s="640">
        <v>10</v>
      </c>
      <c r="Y35" s="640" t="s">
        <v>111</v>
      </c>
      <c r="Z35" s="641" t="s">
        <v>111</v>
      </c>
    </row>
    <row r="36" spans="1:27" s="606" customFormat="1" ht="38.25">
      <c r="A36" s="592"/>
      <c r="B36" s="785">
        <v>32003</v>
      </c>
      <c r="C36" s="785">
        <v>8600</v>
      </c>
      <c r="D36" s="640" t="s">
        <v>977</v>
      </c>
      <c r="E36" s="640" t="s">
        <v>978</v>
      </c>
      <c r="F36" s="640" t="s">
        <v>979</v>
      </c>
      <c r="G36" s="640" t="s">
        <v>980</v>
      </c>
      <c r="H36" s="640" t="s">
        <v>981</v>
      </c>
      <c r="I36" s="640" t="s">
        <v>982</v>
      </c>
      <c r="J36" s="784">
        <v>39340</v>
      </c>
      <c r="K36" s="784">
        <v>40704</v>
      </c>
      <c r="L36" s="640" t="s">
        <v>976</v>
      </c>
      <c r="M36" s="640">
        <v>378</v>
      </c>
      <c r="N36" s="640">
        <v>850.5</v>
      </c>
      <c r="O36" s="640">
        <v>0</v>
      </c>
      <c r="P36" s="640">
        <v>0</v>
      </c>
      <c r="Q36" s="640">
        <v>0</v>
      </c>
      <c r="R36" s="640">
        <v>0</v>
      </c>
      <c r="S36" s="640">
        <v>0</v>
      </c>
      <c r="T36" s="640">
        <v>0</v>
      </c>
      <c r="U36" s="640">
        <v>0</v>
      </c>
      <c r="V36" s="640">
        <v>2126.25</v>
      </c>
      <c r="W36" s="640">
        <v>0</v>
      </c>
      <c r="X36" s="640">
        <v>10</v>
      </c>
      <c r="Y36" s="640" t="s">
        <v>111</v>
      </c>
      <c r="Z36" s="641" t="s">
        <v>111</v>
      </c>
    </row>
    <row r="37" spans="1:27" s="573" customFormat="1">
      <c r="A37" s="593" t="s">
        <v>279</v>
      </c>
      <c r="B37" s="594"/>
      <c r="C37" s="594"/>
      <c r="D37" s="594"/>
      <c r="E37" s="594"/>
      <c r="F37" s="594"/>
      <c r="G37" s="594"/>
      <c r="H37" s="594"/>
      <c r="I37" s="594"/>
      <c r="J37" s="594"/>
      <c r="K37" s="594"/>
      <c r="L37" s="595"/>
      <c r="M37" s="595">
        <f>SUM(M35:M36)</f>
        <v>410</v>
      </c>
      <c r="N37" s="595">
        <f>SUM(N35:N36)</f>
        <v>994.5</v>
      </c>
      <c r="O37" s="595">
        <f>SUM(O35:O36)</f>
        <v>0</v>
      </c>
      <c r="P37" s="595">
        <f>SUM(P35:P36)</f>
        <v>0</v>
      </c>
      <c r="Q37" s="595">
        <f>SUM(Q35:Q36)</f>
        <v>0</v>
      </c>
      <c r="R37" s="595">
        <f>SUM(R35:R36)</f>
        <v>0</v>
      </c>
      <c r="S37" s="595">
        <f>SUM(S35:S36)</f>
        <v>0</v>
      </c>
      <c r="T37" s="595">
        <f>SUM(T35:T36)</f>
        <v>0</v>
      </c>
      <c r="U37" s="595">
        <f>SUM(U35:U36)</f>
        <v>360</v>
      </c>
      <c r="V37" s="595">
        <f>SUM(V35:V36)</f>
        <v>2126.25</v>
      </c>
      <c r="W37" s="595">
        <f>SUM(W35:W36)</f>
        <v>0</v>
      </c>
      <c r="X37" s="596"/>
      <c r="Y37" s="596"/>
      <c r="Z37" s="597"/>
    </row>
    <row r="38" spans="1:27" s="573" customFormat="1">
      <c r="A38" s="593" t="s">
        <v>286</v>
      </c>
      <c r="B38" s="594"/>
      <c r="C38" s="594"/>
      <c r="D38" s="594"/>
      <c r="E38" s="594"/>
      <c r="F38" s="594"/>
      <c r="G38" s="594"/>
      <c r="H38" s="594"/>
      <c r="I38" s="594"/>
      <c r="J38" s="594"/>
      <c r="K38" s="594"/>
      <c r="L38" s="595"/>
      <c r="M38" s="595">
        <f>SUMIF($Z$35:$Z$36,"industrie",M35:M36)</f>
        <v>0</v>
      </c>
      <c r="N38" s="595">
        <f>SUMIF($Z$35:$Z$36,"industrie",N35:N36)</f>
        <v>0</v>
      </c>
      <c r="O38" s="595">
        <f>SUMIF($Z$35:$Z$36,"industrie",O35:O36)</f>
        <v>0</v>
      </c>
      <c r="P38" s="595">
        <f>SUMIF($Z$35:$Z$36,"industrie",P35:P36)</f>
        <v>0</v>
      </c>
      <c r="Q38" s="595">
        <f>SUMIF($Z$35:$Z$36,"industrie",Q35:Q36)</f>
        <v>0</v>
      </c>
      <c r="R38" s="595">
        <f>SUMIF($Z$35:$Z$36,"industrie",R35:R36)</f>
        <v>0</v>
      </c>
      <c r="S38" s="595">
        <f>SUMIF($Z$35:$Z$36,"industrie",S35:S36)</f>
        <v>0</v>
      </c>
      <c r="T38" s="595">
        <f>SUMIF($Z$35:$Z$36,"industrie",T35:T36)</f>
        <v>0</v>
      </c>
      <c r="U38" s="595">
        <f>SUMIF($Z$35:$Z$36,"industrie",U35:U36)</f>
        <v>0</v>
      </c>
      <c r="V38" s="595">
        <f>SUMIF($Z$35:$Z$36,"industrie",V35:V36)</f>
        <v>0</v>
      </c>
      <c r="W38" s="595">
        <f>SUMIF($Z$35:$Z$36,"industrie",W35:W36)</f>
        <v>0</v>
      </c>
      <c r="X38" s="596"/>
      <c r="Y38" s="596"/>
      <c r="Z38" s="597"/>
    </row>
    <row r="39" spans="1:27" s="573" customFormat="1">
      <c r="A39" s="593" t="s">
        <v>287</v>
      </c>
      <c r="B39" s="594"/>
      <c r="C39" s="594"/>
      <c r="D39" s="594"/>
      <c r="E39" s="594"/>
      <c r="F39" s="594"/>
      <c r="G39" s="594"/>
      <c r="H39" s="594"/>
      <c r="I39" s="594"/>
      <c r="J39" s="594"/>
      <c r="K39" s="594"/>
      <c r="L39" s="595"/>
      <c r="M39" s="595">
        <f>SUMIF($Z$35:$Z$37,"tertiair",M35:M37)</f>
        <v>0</v>
      </c>
      <c r="N39" s="595">
        <f>SUMIF($Z$35:$Z$37,"tertiair",N35:N37)</f>
        <v>0</v>
      </c>
      <c r="O39" s="595">
        <f>SUMIF($Z$35:$Z$37,"tertiair",O35:O37)</f>
        <v>0</v>
      </c>
      <c r="P39" s="595">
        <f>SUMIF($Z$35:$Z$37,"tertiair",P35:P37)</f>
        <v>0</v>
      </c>
      <c r="Q39" s="595">
        <f>SUMIF($Z$35:$Z$37,"tertiair",Q35:Q37)</f>
        <v>0</v>
      </c>
      <c r="R39" s="595">
        <f>SUMIF($Z$35:$Z$37,"tertiair",R35:R37)</f>
        <v>0</v>
      </c>
      <c r="S39" s="595">
        <f>SUMIF($Z$35:$Z$37,"tertiair",S35:S37)</f>
        <v>0</v>
      </c>
      <c r="T39" s="595">
        <f>SUMIF($Z$35:$Z$37,"tertiair",T35:T37)</f>
        <v>0</v>
      </c>
      <c r="U39" s="595">
        <f>SUMIF($Z$35:$Z$37,"tertiair",U35:U37)</f>
        <v>0</v>
      </c>
      <c r="V39" s="595">
        <f>SUMIF($Z$35:$Z$37,"tertiair",V35:V37)</f>
        <v>0</v>
      </c>
      <c r="W39" s="595">
        <f>SUMIF($Z$35:$Z$37,"tertiair",W35:W37)</f>
        <v>0</v>
      </c>
      <c r="X39" s="596"/>
      <c r="Y39" s="596"/>
      <c r="Z39" s="597"/>
    </row>
    <row r="40" spans="1:27" s="573" customFormat="1" ht="15.75" thickBot="1">
      <c r="A40" s="598" t="s">
        <v>288</v>
      </c>
      <c r="B40" s="599"/>
      <c r="C40" s="599"/>
      <c r="D40" s="599"/>
      <c r="E40" s="599"/>
      <c r="F40" s="599"/>
      <c r="G40" s="599"/>
      <c r="H40" s="599"/>
      <c r="I40" s="599"/>
      <c r="J40" s="599"/>
      <c r="K40" s="599"/>
      <c r="L40" s="600"/>
      <c r="M40" s="600">
        <f>SUMIF($Z$35:$Z$38,"landbouw",M35:M38)</f>
        <v>410</v>
      </c>
      <c r="N40" s="600">
        <f>SUMIF($Z$35:$Z$38,"landbouw",N35:N38)</f>
        <v>994.5</v>
      </c>
      <c r="O40" s="600">
        <f>SUMIF($Z$35:$Z$38,"landbouw",O35:O38)</f>
        <v>0</v>
      </c>
      <c r="P40" s="600">
        <f>SUMIF($Z$35:$Z$38,"landbouw",P35:P38)</f>
        <v>0</v>
      </c>
      <c r="Q40" s="600">
        <f>SUMIF($Z$35:$Z$38,"landbouw",Q35:Q38)</f>
        <v>0</v>
      </c>
      <c r="R40" s="600">
        <f>SUMIF($Z$35:$Z$38,"landbouw",R35:R38)</f>
        <v>0</v>
      </c>
      <c r="S40" s="600">
        <f>SUMIF($Z$35:$Z$38,"landbouw",S35:S38)</f>
        <v>0</v>
      </c>
      <c r="T40" s="600">
        <f>SUMIF($Z$35:$Z$38,"landbouw",T35:T38)</f>
        <v>0</v>
      </c>
      <c r="U40" s="600">
        <f>SUMIF($Z$35:$Z$38,"landbouw",U35:U38)</f>
        <v>360</v>
      </c>
      <c r="V40" s="600">
        <f>SUMIF($Z$35:$Z$38,"landbouw",V35:V38)</f>
        <v>2126.25</v>
      </c>
      <c r="W40" s="600">
        <f>SUMIF($Z$35:$Z$38,"landbouw",W35:W38)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IF(ISERROR(O29/(O29+N29)),0,O29/(O29+N29))</f>
        <v>0</v>
      </c>
      <c r="C46" s="620">
        <f>IF(ISERROR(N29/(O29+N29)),0,N29/(N29+O29))</f>
        <v>0</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545</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$C$46*P29</f>
        <v>0</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$B$46*P29</f>
        <v>0</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31667.790108007852</v>
      </c>
      <c r="C4" s="457">
        <f>huishoudens!C8</f>
        <v>0</v>
      </c>
      <c r="D4" s="457">
        <f>huishoudens!D8</f>
        <v>60683.704268000001</v>
      </c>
      <c r="E4" s="457">
        <f>huishoudens!E8</f>
        <v>28668.126985923325</v>
      </c>
      <c r="F4" s="457">
        <f>huishoudens!F8</f>
        <v>13846.488841623815</v>
      </c>
      <c r="G4" s="457">
        <f>huishoudens!G8</f>
        <v>0</v>
      </c>
      <c r="H4" s="457">
        <f>huishoudens!H8</f>
        <v>0</v>
      </c>
      <c r="I4" s="457">
        <f>huishoudens!I8</f>
        <v>0</v>
      </c>
      <c r="J4" s="457">
        <f>huishoudens!J8</f>
        <v>3668.1719438421992</v>
      </c>
      <c r="K4" s="457">
        <f>huishoudens!K8</f>
        <v>0</v>
      </c>
      <c r="L4" s="457">
        <f>huishoudens!L8</f>
        <v>0</v>
      </c>
      <c r="M4" s="457">
        <f>huishoudens!M8</f>
        <v>0</v>
      </c>
      <c r="N4" s="457">
        <f>huishoudens!N8</f>
        <v>21777.592073714539</v>
      </c>
      <c r="O4" s="457">
        <f>huishoudens!O8</f>
        <v>71.913333333333341</v>
      </c>
      <c r="P4" s="458">
        <f>huishoudens!P8</f>
        <v>133.46666666666667</v>
      </c>
      <c r="Q4" s="459">
        <f>SUM(B4:P4)</f>
        <v>160517.25422111174</v>
      </c>
    </row>
    <row r="5" spans="1:17">
      <c r="A5" s="456" t="s">
        <v>155</v>
      </c>
      <c r="B5" s="457">
        <f ca="1">tertiair!B16</f>
        <v>25990.786</v>
      </c>
      <c r="C5" s="457">
        <f ca="1">tertiair!C16</f>
        <v>0</v>
      </c>
      <c r="D5" s="457">
        <f ca="1">tertiair!D16</f>
        <v>20002.127815999997</v>
      </c>
      <c r="E5" s="457">
        <f>tertiair!E16</f>
        <v>420.90411472210849</v>
      </c>
      <c r="F5" s="457">
        <f ca="1">tertiair!F16</f>
        <v>5605.2619255751824</v>
      </c>
      <c r="G5" s="457">
        <f>tertiair!G16</f>
        <v>0</v>
      </c>
      <c r="H5" s="457">
        <f>tertiair!H16</f>
        <v>0</v>
      </c>
      <c r="I5" s="457">
        <f>tertiair!I16</f>
        <v>0</v>
      </c>
      <c r="J5" s="457">
        <f>tertiair!J16</f>
        <v>0</v>
      </c>
      <c r="K5" s="457">
        <f>tertiair!K16</f>
        <v>0</v>
      </c>
      <c r="L5" s="457">
        <f ca="1">tertiair!L16</f>
        <v>0</v>
      </c>
      <c r="M5" s="457">
        <f>tertiair!M16</f>
        <v>0</v>
      </c>
      <c r="N5" s="457">
        <f ca="1">tertiair!N16</f>
        <v>1808.778894114</v>
      </c>
      <c r="O5" s="457">
        <f>tertiair!O16</f>
        <v>0</v>
      </c>
      <c r="P5" s="458">
        <f>tertiair!P16</f>
        <v>19.066666666666666</v>
      </c>
      <c r="Q5" s="456">
        <f t="shared" ref="Q5:Q14" ca="1" si="0">SUM(B5:P5)</f>
        <v>53846.92541707796</v>
      </c>
    </row>
    <row r="6" spans="1:17">
      <c r="A6" s="456" t="s">
        <v>193</v>
      </c>
      <c r="B6" s="457">
        <f>'openbare verlichting'!B8</f>
        <v>1371.6669999999999</v>
      </c>
      <c r="C6" s="457"/>
      <c r="D6" s="457"/>
      <c r="E6" s="457"/>
      <c r="F6" s="457"/>
      <c r="G6" s="457"/>
      <c r="H6" s="457"/>
      <c r="I6" s="457"/>
      <c r="J6" s="457"/>
      <c r="K6" s="457"/>
      <c r="L6" s="457"/>
      <c r="M6" s="457"/>
      <c r="N6" s="457"/>
      <c r="O6" s="457"/>
      <c r="P6" s="458"/>
      <c r="Q6" s="456">
        <f t="shared" si="0"/>
        <v>1371.6669999999999</v>
      </c>
    </row>
    <row r="7" spans="1:17">
      <c r="A7" s="456" t="s">
        <v>111</v>
      </c>
      <c r="B7" s="457">
        <f>landbouw!B8</f>
        <v>9936.1000909582508</v>
      </c>
      <c r="C7" s="457">
        <f>landbouw!C8</f>
        <v>0</v>
      </c>
      <c r="D7" s="457">
        <f>landbouw!D8</f>
        <v>571.71646399999997</v>
      </c>
      <c r="E7" s="457">
        <f>landbouw!E8</f>
        <v>104.05299123046403</v>
      </c>
      <c r="F7" s="457">
        <f>landbouw!F8</f>
        <v>42534.058221942236</v>
      </c>
      <c r="G7" s="457">
        <f>landbouw!G8</f>
        <v>0</v>
      </c>
      <c r="H7" s="457">
        <f>landbouw!H8</f>
        <v>0</v>
      </c>
      <c r="I7" s="457">
        <f>landbouw!I8</f>
        <v>0</v>
      </c>
      <c r="J7" s="457">
        <f>landbouw!J8</f>
        <v>887.3827969069996</v>
      </c>
      <c r="K7" s="457">
        <f>landbouw!K8</f>
        <v>0</v>
      </c>
      <c r="L7" s="457">
        <f>landbouw!L8</f>
        <v>0</v>
      </c>
      <c r="M7" s="457">
        <f>landbouw!M8</f>
        <v>0</v>
      </c>
      <c r="N7" s="457">
        <f>landbouw!N8</f>
        <v>0</v>
      </c>
      <c r="O7" s="457">
        <f>landbouw!O8</f>
        <v>0</v>
      </c>
      <c r="P7" s="458">
        <f>landbouw!P8</f>
        <v>0</v>
      </c>
      <c r="Q7" s="456">
        <f t="shared" si="0"/>
        <v>54033.310565037944</v>
      </c>
    </row>
    <row r="8" spans="1:17">
      <c r="A8" s="456" t="s">
        <v>654</v>
      </c>
      <c r="B8" s="457">
        <f>industrie!B18</f>
        <v>19727.912</v>
      </c>
      <c r="C8" s="457">
        <f>industrie!C18</f>
        <v>0</v>
      </c>
      <c r="D8" s="457">
        <f>industrie!D18</f>
        <v>6606.0856400000002</v>
      </c>
      <c r="E8" s="457">
        <f>industrie!E18</f>
        <v>256.88646670307139</v>
      </c>
      <c r="F8" s="457">
        <f>industrie!F18</f>
        <v>9374.5301329524173</v>
      </c>
      <c r="G8" s="457">
        <f>industrie!G18</f>
        <v>0</v>
      </c>
      <c r="H8" s="457">
        <f>industrie!H18</f>
        <v>0</v>
      </c>
      <c r="I8" s="457">
        <f>industrie!I18</f>
        <v>0</v>
      </c>
      <c r="J8" s="457">
        <f>industrie!J18</f>
        <v>100.44335729548112</v>
      </c>
      <c r="K8" s="457">
        <f>industrie!K18</f>
        <v>0</v>
      </c>
      <c r="L8" s="457">
        <f>industrie!L18</f>
        <v>0</v>
      </c>
      <c r="M8" s="457">
        <f>industrie!M18</f>
        <v>0</v>
      </c>
      <c r="N8" s="457">
        <f>industrie!N18</f>
        <v>856.59027415372543</v>
      </c>
      <c r="O8" s="457">
        <f>industrie!O18</f>
        <v>0</v>
      </c>
      <c r="P8" s="458">
        <f>industrie!P18</f>
        <v>0</v>
      </c>
      <c r="Q8" s="456">
        <f t="shared" si="0"/>
        <v>36922.447871104698</v>
      </c>
    </row>
    <row r="9" spans="1:17" s="462" customFormat="1">
      <c r="A9" s="460" t="s">
        <v>572</v>
      </c>
      <c r="B9" s="461">
        <f>transport!B14</f>
        <v>1.0515815551827625</v>
      </c>
      <c r="C9" s="461">
        <f>transport!C14</f>
        <v>0</v>
      </c>
      <c r="D9" s="461">
        <f>transport!D14</f>
        <v>5.51284035967472</v>
      </c>
      <c r="E9" s="461">
        <f>transport!E14</f>
        <v>562.0894880895022</v>
      </c>
      <c r="F9" s="461">
        <f>transport!F14</f>
        <v>0</v>
      </c>
      <c r="G9" s="461">
        <f>transport!G14</f>
        <v>109796.20524148009</v>
      </c>
      <c r="H9" s="461">
        <f>transport!H14</f>
        <v>19003.816450966329</v>
      </c>
      <c r="I9" s="461">
        <f>transport!I14</f>
        <v>0</v>
      </c>
      <c r="J9" s="461">
        <f>transport!J14</f>
        <v>0</v>
      </c>
      <c r="K9" s="461">
        <f>transport!K14</f>
        <v>0</v>
      </c>
      <c r="L9" s="461">
        <f>transport!L14</f>
        <v>0</v>
      </c>
      <c r="M9" s="461">
        <f>transport!M14</f>
        <v>5604.5819990024547</v>
      </c>
      <c r="N9" s="461">
        <f>transport!N14</f>
        <v>0</v>
      </c>
      <c r="O9" s="461">
        <f>transport!O14</f>
        <v>0</v>
      </c>
      <c r="P9" s="461">
        <f>transport!P14</f>
        <v>0</v>
      </c>
      <c r="Q9" s="460">
        <f>SUM(B9:P9)</f>
        <v>134973.25760145322</v>
      </c>
    </row>
    <row r="10" spans="1:17">
      <c r="A10" s="456" t="s">
        <v>562</v>
      </c>
      <c r="B10" s="457">
        <f>transport!B54</f>
        <v>0</v>
      </c>
      <c r="C10" s="457">
        <f>transport!C54</f>
        <v>0</v>
      </c>
      <c r="D10" s="457">
        <f>transport!D54</f>
        <v>0</v>
      </c>
      <c r="E10" s="457">
        <f>transport!E54</f>
        <v>0</v>
      </c>
      <c r="F10" s="457">
        <f>transport!F54</f>
        <v>0</v>
      </c>
      <c r="G10" s="457">
        <f>transport!G54</f>
        <v>2171.9400272511862</v>
      </c>
      <c r="H10" s="457">
        <f>transport!H54</f>
        <v>0</v>
      </c>
      <c r="I10" s="457">
        <f>transport!I54</f>
        <v>0</v>
      </c>
      <c r="J10" s="457">
        <f>transport!J54</f>
        <v>0</v>
      </c>
      <c r="K10" s="457">
        <f>transport!K54</f>
        <v>0</v>
      </c>
      <c r="L10" s="457">
        <f>transport!L54</f>
        <v>0</v>
      </c>
      <c r="M10" s="457">
        <f>transport!M54</f>
        <v>92.358876078663627</v>
      </c>
      <c r="N10" s="457">
        <f>transport!N54</f>
        <v>0</v>
      </c>
      <c r="O10" s="457">
        <f>transport!O54</f>
        <v>0</v>
      </c>
      <c r="P10" s="458">
        <f>transport!P54</f>
        <v>0</v>
      </c>
      <c r="Q10" s="456">
        <f t="shared" si="0"/>
        <v>2264.29890332985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2892.2170000000001</v>
      </c>
      <c r="C14" s="464"/>
      <c r="D14" s="464">
        <f>'SEAP template'!E25</f>
        <v>1365.453</v>
      </c>
      <c r="E14" s="464"/>
      <c r="F14" s="464"/>
      <c r="G14" s="464"/>
      <c r="H14" s="464"/>
      <c r="I14" s="464"/>
      <c r="J14" s="464"/>
      <c r="K14" s="464"/>
      <c r="L14" s="464"/>
      <c r="M14" s="464"/>
      <c r="N14" s="464"/>
      <c r="O14" s="464"/>
      <c r="P14" s="465"/>
      <c r="Q14" s="456">
        <f t="shared" si="0"/>
        <v>4257.67</v>
      </c>
    </row>
    <row r="15" spans="1:17" s="469" customFormat="1">
      <c r="A15" s="466" t="s">
        <v>566</v>
      </c>
      <c r="B15" s="467">
        <f ca="1">SUM(B4:B14)</f>
        <v>91587.523780521282</v>
      </c>
      <c r="C15" s="467">
        <f t="shared" ref="C15:Q15" ca="1" si="1">SUM(C4:C14)</f>
        <v>0</v>
      </c>
      <c r="D15" s="467">
        <f t="shared" ca="1" si="1"/>
        <v>89234.600028359666</v>
      </c>
      <c r="E15" s="467">
        <f t="shared" si="1"/>
        <v>30012.06004666847</v>
      </c>
      <c r="F15" s="467">
        <f t="shared" ca="1" si="1"/>
        <v>71360.339122093661</v>
      </c>
      <c r="G15" s="467">
        <f t="shared" si="1"/>
        <v>111968.14526873127</v>
      </c>
      <c r="H15" s="467">
        <f t="shared" si="1"/>
        <v>19003.816450966329</v>
      </c>
      <c r="I15" s="467">
        <f t="shared" si="1"/>
        <v>0</v>
      </c>
      <c r="J15" s="467">
        <f t="shared" si="1"/>
        <v>4655.9980980446799</v>
      </c>
      <c r="K15" s="467">
        <f t="shared" si="1"/>
        <v>0</v>
      </c>
      <c r="L15" s="467">
        <f t="shared" ca="1" si="1"/>
        <v>0</v>
      </c>
      <c r="M15" s="467">
        <f t="shared" si="1"/>
        <v>5696.9408750811181</v>
      </c>
      <c r="N15" s="467">
        <f t="shared" ca="1" si="1"/>
        <v>24442.961241982262</v>
      </c>
      <c r="O15" s="467">
        <f t="shared" si="1"/>
        <v>71.913333333333341</v>
      </c>
      <c r="P15" s="467">
        <f t="shared" si="1"/>
        <v>152.53333333333333</v>
      </c>
      <c r="Q15" s="467">
        <f t="shared" ca="1" si="1"/>
        <v>448186.83157911536</v>
      </c>
    </row>
    <row r="17" spans="1:17">
      <c r="A17" s="470" t="s">
        <v>567</v>
      </c>
      <c r="B17" s="774">
        <f ca="1">huishoudens!B10</f>
        <v>0.20329385533948577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6437.8671411385467</v>
      </c>
      <c r="C22" s="457">
        <f t="shared" ref="C22:C32" ca="1" si="3">C4*$C$17</f>
        <v>0</v>
      </c>
      <c r="D22" s="457">
        <f t="shared" ref="D22:D32" si="4">D4*$D$17</f>
        <v>12258.108262136002</v>
      </c>
      <c r="E22" s="457">
        <f t="shared" ref="E22:E32" si="5">E4*$E$17</f>
        <v>6507.6648258045952</v>
      </c>
      <c r="F22" s="457">
        <f t="shared" ref="F22:F32" si="6">F4*$F$17</f>
        <v>3697.0125207135588</v>
      </c>
      <c r="G22" s="457">
        <f t="shared" ref="G22:G32" si="7">G4*$G$17</f>
        <v>0</v>
      </c>
      <c r="H22" s="457">
        <f t="shared" ref="H22:H32" si="8">H4*$H$17</f>
        <v>0</v>
      </c>
      <c r="I22" s="457">
        <f t="shared" ref="I22:I32" si="9">I4*$I$17</f>
        <v>0</v>
      </c>
      <c r="J22" s="457">
        <f t="shared" ref="J22:J32" si="10">J4*$J$17</f>
        <v>1298.5328681201383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30199.185617912841</v>
      </c>
    </row>
    <row r="23" spans="1:17">
      <c r="A23" s="456" t="s">
        <v>155</v>
      </c>
      <c r="B23" s="457">
        <f t="shared" ca="1" si="2"/>
        <v>5283.7670892435317</v>
      </c>
      <c r="C23" s="457">
        <f t="shared" ca="1" si="3"/>
        <v>0</v>
      </c>
      <c r="D23" s="457">
        <f t="shared" ca="1" si="4"/>
        <v>4040.4298188319995</v>
      </c>
      <c r="E23" s="457">
        <f t="shared" si="5"/>
        <v>95.545234041918633</v>
      </c>
      <c r="F23" s="457">
        <f t="shared" ca="1" si="6"/>
        <v>1496.6049341285739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10916.347076246024</v>
      </c>
    </row>
    <row r="24" spans="1:17">
      <c r="A24" s="456" t="s">
        <v>193</v>
      </c>
      <c r="B24" s="457">
        <f t="shared" ca="1" si="2"/>
        <v>278.8514726719464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278.8514726719464</v>
      </c>
    </row>
    <row r="25" spans="1:17">
      <c r="A25" s="456" t="s">
        <v>111</v>
      </c>
      <c r="B25" s="457">
        <f t="shared" ca="1" si="2"/>
        <v>2019.9480945299181</v>
      </c>
      <c r="C25" s="457">
        <f t="shared" ca="1" si="3"/>
        <v>0</v>
      </c>
      <c r="D25" s="457">
        <f t="shared" si="4"/>
        <v>115.486725728</v>
      </c>
      <c r="E25" s="457">
        <f t="shared" si="5"/>
        <v>23.620029009315335</v>
      </c>
      <c r="F25" s="457">
        <f t="shared" si="6"/>
        <v>11356.593545258578</v>
      </c>
      <c r="G25" s="457">
        <f t="shared" si="7"/>
        <v>0</v>
      </c>
      <c r="H25" s="457">
        <f t="shared" si="8"/>
        <v>0</v>
      </c>
      <c r="I25" s="457">
        <f t="shared" si="9"/>
        <v>0</v>
      </c>
      <c r="J25" s="457">
        <f t="shared" si="10"/>
        <v>314.13351010507785</v>
      </c>
      <c r="K25" s="457">
        <f t="shared" si="11"/>
        <v>0</v>
      </c>
      <c r="L25" s="457">
        <f t="shared" si="12"/>
        <v>0</v>
      </c>
      <c r="M25" s="457">
        <f t="shared" si="13"/>
        <v>0</v>
      </c>
      <c r="N25" s="457">
        <f t="shared" si="14"/>
        <v>0</v>
      </c>
      <c r="O25" s="457">
        <f t="shared" si="15"/>
        <v>0</v>
      </c>
      <c r="P25" s="458">
        <f t="shared" si="16"/>
        <v>0</v>
      </c>
      <c r="Q25" s="456">
        <f t="shared" ca="1" si="17"/>
        <v>13829.781904630889</v>
      </c>
    </row>
    <row r="26" spans="1:17">
      <c r="A26" s="456" t="s">
        <v>654</v>
      </c>
      <c r="B26" s="457">
        <f t="shared" ca="1" si="2"/>
        <v>4010.5632882781056</v>
      </c>
      <c r="C26" s="457">
        <f t="shared" ca="1" si="3"/>
        <v>0</v>
      </c>
      <c r="D26" s="457">
        <f t="shared" si="4"/>
        <v>1334.4292992800001</v>
      </c>
      <c r="E26" s="457">
        <f t="shared" si="5"/>
        <v>58.313227941597205</v>
      </c>
      <c r="F26" s="457">
        <f t="shared" si="6"/>
        <v>2502.9995454982954</v>
      </c>
      <c r="G26" s="457">
        <f t="shared" si="7"/>
        <v>0</v>
      </c>
      <c r="H26" s="457">
        <f t="shared" si="8"/>
        <v>0</v>
      </c>
      <c r="I26" s="457">
        <f t="shared" si="9"/>
        <v>0</v>
      </c>
      <c r="J26" s="457">
        <f t="shared" si="10"/>
        <v>35.556948482600312</v>
      </c>
      <c r="K26" s="457">
        <f t="shared" si="11"/>
        <v>0</v>
      </c>
      <c r="L26" s="457">
        <f t="shared" si="12"/>
        <v>0</v>
      </c>
      <c r="M26" s="457">
        <f t="shared" si="13"/>
        <v>0</v>
      </c>
      <c r="N26" s="457">
        <f t="shared" si="14"/>
        <v>0</v>
      </c>
      <c r="O26" s="457">
        <f t="shared" si="15"/>
        <v>0</v>
      </c>
      <c r="P26" s="458">
        <f t="shared" si="16"/>
        <v>0</v>
      </c>
      <c r="Q26" s="456">
        <f t="shared" ca="1" si="17"/>
        <v>7941.862309480598</v>
      </c>
    </row>
    <row r="27" spans="1:17" s="462" customFormat="1">
      <c r="A27" s="460" t="s">
        <v>572</v>
      </c>
      <c r="B27" s="768">
        <f t="shared" ca="1" si="2"/>
        <v>0.21378006855699599</v>
      </c>
      <c r="C27" s="461">
        <f t="shared" ca="1" si="3"/>
        <v>0</v>
      </c>
      <c r="D27" s="461">
        <f t="shared" si="4"/>
        <v>1.1135937526542936</v>
      </c>
      <c r="E27" s="461">
        <f t="shared" si="5"/>
        <v>127.594313796317</v>
      </c>
      <c r="F27" s="461">
        <f t="shared" si="6"/>
        <v>0</v>
      </c>
      <c r="G27" s="461">
        <f t="shared" si="7"/>
        <v>29315.586799475186</v>
      </c>
      <c r="H27" s="461">
        <f t="shared" si="8"/>
        <v>4731.9502962906163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34176.458783383328</v>
      </c>
    </row>
    <row r="28" spans="1:17">
      <c r="A28" s="456" t="s">
        <v>562</v>
      </c>
      <c r="B28" s="457">
        <f t="shared" ca="1" si="2"/>
        <v>0</v>
      </c>
      <c r="C28" s="457">
        <f t="shared" ca="1" si="3"/>
        <v>0</v>
      </c>
      <c r="D28" s="457">
        <f t="shared" si="4"/>
        <v>0</v>
      </c>
      <c r="E28" s="457">
        <f t="shared" si="5"/>
        <v>0</v>
      </c>
      <c r="F28" s="457">
        <f t="shared" si="6"/>
        <v>0</v>
      </c>
      <c r="G28" s="457">
        <f t="shared" si="7"/>
        <v>579.90798727606671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579.90798727606671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587.96994440840149</v>
      </c>
      <c r="C32" s="457">
        <f t="shared" ca="1" si="3"/>
        <v>0</v>
      </c>
      <c r="D32" s="457">
        <f t="shared" si="4"/>
        <v>275.821506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863.79145040840149</v>
      </c>
    </row>
    <row r="33" spans="1:17" s="469" customFormat="1">
      <c r="A33" s="466" t="s">
        <v>566</v>
      </c>
      <c r="B33" s="467">
        <f ca="1">SUM(B22:B32)</f>
        <v>18619.180810339003</v>
      </c>
      <c r="C33" s="467">
        <f t="shared" ref="C33:Q33" ca="1" si="19">SUM(C22:C32)</f>
        <v>0</v>
      </c>
      <c r="D33" s="467">
        <f t="shared" ca="1" si="19"/>
        <v>18025.389205728658</v>
      </c>
      <c r="E33" s="467">
        <f t="shared" si="19"/>
        <v>6812.7376305937432</v>
      </c>
      <c r="F33" s="467">
        <f t="shared" ca="1" si="19"/>
        <v>19053.210545599006</v>
      </c>
      <c r="G33" s="467">
        <f t="shared" si="19"/>
        <v>29895.494786751253</v>
      </c>
      <c r="H33" s="467">
        <f t="shared" si="19"/>
        <v>4731.9502962906163</v>
      </c>
      <c r="I33" s="467">
        <f t="shared" si="19"/>
        <v>0</v>
      </c>
      <c r="J33" s="467">
        <f t="shared" si="19"/>
        <v>1648.2233267078166</v>
      </c>
      <c r="K33" s="467">
        <f t="shared" si="19"/>
        <v>0</v>
      </c>
      <c r="L33" s="467">
        <f t="shared" ca="1" si="19"/>
        <v>0</v>
      </c>
      <c r="M33" s="467">
        <f t="shared" si="19"/>
        <v>0</v>
      </c>
      <c r="N33" s="467">
        <f t="shared" ca="1" si="19"/>
        <v>0</v>
      </c>
      <c r="O33" s="467">
        <f t="shared" si="19"/>
        <v>0</v>
      </c>
      <c r="P33" s="467">
        <f t="shared" si="19"/>
        <v>0</v>
      </c>
      <c r="Q33" s="467">
        <f t="shared" ca="1" si="19"/>
        <v>98786.186602010086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2642.9898546116724</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3700.3470012987232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994.5</v>
      </c>
      <c r="C9" s="1018">
        <f>'SEAP template'!C77</f>
        <v>0</v>
      </c>
      <c r="D9" s="1018">
        <f>'SEAP template'!D77</f>
        <v>0</v>
      </c>
      <c r="E9" s="1018">
        <f>'SEAP template'!E77</f>
        <v>0</v>
      </c>
      <c r="F9" s="1018">
        <f>'SEAP template'!F77</f>
        <v>0</v>
      </c>
      <c r="G9" s="1018">
        <f>'SEAP template'!G77</f>
        <v>0</v>
      </c>
      <c r="H9" s="1018">
        <f>'SEAP template'!H77</f>
        <v>0</v>
      </c>
      <c r="I9" s="1018">
        <f>'SEAP template'!I77</f>
        <v>360</v>
      </c>
      <c r="J9" s="1018">
        <f>'SEAP template'!J77</f>
        <v>2126.25</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7337.8368559103956</v>
      </c>
      <c r="C10" s="1022">
        <f>SUM(C4:C9)</f>
        <v>0</v>
      </c>
      <c r="D10" s="1022">
        <f t="shared" ref="D10:H10" si="0">SUM(D8:D9)</f>
        <v>0</v>
      </c>
      <c r="E10" s="1022">
        <f t="shared" si="0"/>
        <v>0</v>
      </c>
      <c r="F10" s="1022">
        <f t="shared" si="0"/>
        <v>0</v>
      </c>
      <c r="G10" s="1022">
        <f t="shared" si="0"/>
        <v>0</v>
      </c>
      <c r="H10" s="1022">
        <f t="shared" si="0"/>
        <v>0</v>
      </c>
      <c r="I10" s="1022">
        <f>SUM(I8:I9)</f>
        <v>360</v>
      </c>
      <c r="J10" s="1022">
        <f>SUM(J8:J9)</f>
        <v>2126.25</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0.20329385533948577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0.20329385533948577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2020-06-20T16:40:02Z</dcterms:modified>
</cp:coreProperties>
</file>