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1\"/>
    </mc:Choice>
  </mc:AlternateContent>
  <bookViews>
    <workbookView xWindow="-15" yWindow="6060" windowWidth="30750" windowHeight="6105" tabRatio="598"/>
  </bookViews>
  <sheets>
    <sheet name="LEGENDE" sheetId="31" r:id="rId1"/>
    <sheet name="OUTPUT--&gt;" sheetId="53" r:id="rId2"/>
    <sheet name="SEAP template" sheetId="14" r:id="rId3"/>
    <sheet name="Nulmeting 2011" sheetId="48" r:id="rId4"/>
    <sheet name="betrouwbaarheid inventaris" sheetId="54" r:id="rId5"/>
    <sheet name="Lokale energieproductie 2011" sheetId="55" r:id="rId6"/>
    <sheet name="betrouwbaarheid productie" sheetId="56"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E42" i="22" l="1"/>
  <c r="E78" i="22"/>
  <c r="E34" i="50"/>
  <c r="E32" i="50"/>
  <c r="E30" i="50"/>
  <c r="E28" i="50"/>
  <c r="Z25" i="5" l="1"/>
  <c r="AC25" i="5"/>
  <c r="AB25" i="5"/>
  <c r="AA25" i="5"/>
  <c r="Y25" i="5"/>
  <c r="X25" i="5"/>
  <c r="W25" i="5"/>
  <c r="V25" i="5"/>
  <c r="T25" i="5"/>
  <c r="U25" i="5"/>
  <c r="S25" i="5"/>
  <c r="R25" i="5"/>
  <c r="F25" i="5"/>
  <c r="H25" i="5"/>
  <c r="I25" i="5"/>
  <c r="J25" i="5"/>
  <c r="K25" i="5"/>
  <c r="L25" i="5"/>
  <c r="M25" i="5"/>
  <c r="N25" i="5"/>
  <c r="O25" i="5"/>
  <c r="P25" i="5"/>
  <c r="Q25" i="5"/>
  <c r="G25" i="5"/>
  <c r="E25" i="5"/>
  <c r="D25" i="5"/>
  <c r="C25" i="5"/>
  <c r="P7" i="55" l="1"/>
  <c r="P6" i="55"/>
  <c r="P5" i="55"/>
  <c r="P4" i="55"/>
  <c r="K22" i="18" l="1"/>
  <c r="J22" i="18"/>
  <c r="I22" i="18"/>
  <c r="H22" i="18"/>
  <c r="K12" i="18"/>
  <c r="J12" i="18"/>
  <c r="I12" i="18"/>
  <c r="H12" i="18"/>
  <c r="L19" i="18"/>
  <c r="K19" i="18"/>
  <c r="J19" i="18"/>
  <c r="I19" i="18"/>
  <c r="H19" i="18"/>
  <c r="G19" i="18"/>
  <c r="F19" i="18"/>
  <c r="E19" i="18"/>
  <c r="D19" i="18"/>
  <c r="C19" i="18"/>
  <c r="B19" i="18"/>
  <c r="N18" i="18"/>
  <c r="M18" i="18"/>
  <c r="L18" i="18"/>
  <c r="K18" i="18"/>
  <c r="J18" i="18"/>
  <c r="I18" i="18"/>
  <c r="H18" i="18"/>
  <c r="G18" i="18"/>
  <c r="F18" i="18"/>
  <c r="E18" i="18"/>
  <c r="D18" i="18"/>
  <c r="C18" i="18"/>
  <c r="B18" i="18"/>
  <c r="L9" i="18"/>
  <c r="K9" i="18"/>
  <c r="G9" i="18"/>
  <c r="F9" i="18"/>
  <c r="F10" i="18" s="1"/>
  <c r="D9" i="18"/>
  <c r="W39" i="18"/>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V36" i="18"/>
  <c r="U36" i="18"/>
  <c r="T36" i="18"/>
  <c r="I9" i="18" s="1"/>
  <c r="S36" i="18"/>
  <c r="E9" i="18" s="1"/>
  <c r="R36" i="18"/>
  <c r="Q36" i="18"/>
  <c r="P36" i="18"/>
  <c r="C9" i="18" s="1"/>
  <c r="O36" i="18"/>
  <c r="N36" i="18"/>
  <c r="B9" i="18" s="1"/>
  <c r="M36" i="18"/>
  <c r="W32" i="18"/>
  <c r="V32" i="18"/>
  <c r="U32" i="18"/>
  <c r="T32" i="18"/>
  <c r="S32" i="18"/>
  <c r="R32" i="18"/>
  <c r="Q32" i="18"/>
  <c r="P32" i="18"/>
  <c r="O32" i="18"/>
  <c r="N32" i="18"/>
  <c r="M32" i="18"/>
  <c r="W31" i="18"/>
  <c r="V31" i="18"/>
  <c r="U31" i="18"/>
  <c r="T31" i="18"/>
  <c r="S31" i="18"/>
  <c r="R31" i="18"/>
  <c r="Q31" i="18"/>
  <c r="P31" i="18"/>
  <c r="O31" i="18"/>
  <c r="N31" i="18"/>
  <c r="M31" i="18"/>
  <c r="W30" i="18"/>
  <c r="V30" i="18"/>
  <c r="U30" i="18"/>
  <c r="T30" i="18"/>
  <c r="S30" i="18"/>
  <c r="R30" i="18"/>
  <c r="Q30" i="18"/>
  <c r="P30" i="18"/>
  <c r="O30" i="18"/>
  <c r="N30" i="18"/>
  <c r="M30" i="18"/>
  <c r="W29" i="18"/>
  <c r="V29" i="18"/>
  <c r="U29" i="18"/>
  <c r="T29" i="18"/>
  <c r="S29" i="18"/>
  <c r="R29" i="18"/>
  <c r="Q29" i="18"/>
  <c r="P29" i="18"/>
  <c r="O29" i="18"/>
  <c r="N29" i="18"/>
  <c r="B8" i="18" s="1"/>
  <c r="M29" i="18"/>
  <c r="G22" i="18"/>
  <c r="F22" i="18"/>
  <c r="E22" i="18"/>
  <c r="D22" i="18"/>
  <c r="C22" i="18"/>
  <c r="D20" i="18"/>
  <c r="G12" i="18"/>
  <c r="F12" i="18"/>
  <c r="E12" i="18"/>
  <c r="D12" i="18"/>
  <c r="C12" i="18"/>
  <c r="L10" i="18"/>
  <c r="K10" i="18"/>
  <c r="G10" i="18"/>
  <c r="D10" i="18"/>
  <c r="B6" i="18"/>
  <c r="B5" i="18"/>
  <c r="B4" i="18"/>
  <c r="F20" i="18" l="1"/>
  <c r="G20" i="18"/>
  <c r="K20" i="18"/>
  <c r="B45" i="18"/>
  <c r="I49" i="18" s="1"/>
  <c r="H17" i="18" s="1"/>
  <c r="J9" i="18"/>
  <c r="O9" i="18" s="1"/>
  <c r="B17" i="18"/>
  <c r="B20" i="18" s="1"/>
  <c r="C45" i="18"/>
  <c r="H48" i="18" s="1"/>
  <c r="O19" i="18"/>
  <c r="O18" i="18"/>
  <c r="L20" i="18"/>
  <c r="B10" i="18"/>
  <c r="D49" i="18"/>
  <c r="I15" i="48"/>
  <c r="K15" i="48"/>
  <c r="I33" i="48"/>
  <c r="K33" i="48"/>
  <c r="E32" i="48"/>
  <c r="F32" i="48"/>
  <c r="G32" i="48"/>
  <c r="H32" i="48"/>
  <c r="I32" i="48"/>
  <c r="J32" i="48"/>
  <c r="K32" i="48"/>
  <c r="L32" i="48"/>
  <c r="M32" i="48"/>
  <c r="N32" i="48"/>
  <c r="O32" i="48"/>
  <c r="P32" i="48"/>
  <c r="P7" i="48"/>
  <c r="O7" i="48"/>
  <c r="O25" i="48" s="1"/>
  <c r="M7" i="48"/>
  <c r="K7" i="48"/>
  <c r="K25" i="48" s="1"/>
  <c r="I7" i="48"/>
  <c r="H7" i="48"/>
  <c r="H25" i="48" s="1"/>
  <c r="G7" i="48"/>
  <c r="P10" i="48"/>
  <c r="O10" i="48"/>
  <c r="O28" i="48" s="1"/>
  <c r="N10" i="48"/>
  <c r="L10" i="48"/>
  <c r="K10" i="48"/>
  <c r="J10" i="48"/>
  <c r="I10" i="48"/>
  <c r="H10" i="48"/>
  <c r="F10" i="48"/>
  <c r="E10" i="48"/>
  <c r="D10" i="48"/>
  <c r="C10" i="48"/>
  <c r="P9" i="48"/>
  <c r="O9" i="48"/>
  <c r="N9" i="48"/>
  <c r="L9" i="48"/>
  <c r="K9" i="48"/>
  <c r="J9" i="48"/>
  <c r="I9" i="48"/>
  <c r="F9" i="48"/>
  <c r="C9" i="48"/>
  <c r="P13" i="48"/>
  <c r="P31" i="48" s="1"/>
  <c r="O13" i="48"/>
  <c r="N13" i="48"/>
  <c r="L13" i="48"/>
  <c r="L31" i="48" s="1"/>
  <c r="K13" i="48"/>
  <c r="J13" i="48"/>
  <c r="I13" i="48"/>
  <c r="F13" i="48"/>
  <c r="E13" i="48"/>
  <c r="E31" i="48" s="1"/>
  <c r="D13" i="48"/>
  <c r="D31" i="48" s="1"/>
  <c r="C13" i="48"/>
  <c r="B13" i="48"/>
  <c r="M8" i="48"/>
  <c r="K8" i="48"/>
  <c r="K26" i="48" s="1"/>
  <c r="I8" i="48"/>
  <c r="H8" i="48"/>
  <c r="G8" i="48"/>
  <c r="G26" i="48" s="1"/>
  <c r="B12" i="48"/>
  <c r="P17" i="48"/>
  <c r="P30" i="48" s="1"/>
  <c r="O17" i="48"/>
  <c r="O24" i="48" s="1"/>
  <c r="N17" i="48"/>
  <c r="M17" i="48"/>
  <c r="L17" i="48"/>
  <c r="K17" i="48"/>
  <c r="K30" i="48" s="1"/>
  <c r="J17" i="48"/>
  <c r="I17" i="48"/>
  <c r="H17" i="48"/>
  <c r="H30" i="48" s="1"/>
  <c r="G17" i="48"/>
  <c r="G30" i="48" s="1"/>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K31" i="48"/>
  <c r="M30" i="48"/>
  <c r="L30" i="48"/>
  <c r="I30" i="48"/>
  <c r="E30" i="48"/>
  <c r="D30" i="48"/>
  <c r="L29" i="48"/>
  <c r="K29" i="48"/>
  <c r="D29" i="48"/>
  <c r="L28" i="48"/>
  <c r="I28" i="48"/>
  <c r="E28" i="48"/>
  <c r="D28" i="48"/>
  <c r="L27" i="48"/>
  <c r="I27" i="48"/>
  <c r="M26" i="48"/>
  <c r="I26" i="48"/>
  <c r="H26" i="48"/>
  <c r="P25" i="48"/>
  <c r="M25" i="48"/>
  <c r="I25" i="48"/>
  <c r="P24" i="48"/>
  <c r="M24" i="48"/>
  <c r="L24" i="48"/>
  <c r="I24" i="48"/>
  <c r="E24" i="48"/>
  <c r="D24" i="48"/>
  <c r="L22" i="48"/>
  <c r="G23" i="48"/>
  <c r="I31" i="48"/>
  <c r="O29" i="48"/>
  <c r="M23" i="48"/>
  <c r="I23" i="48"/>
  <c r="H23" i="48"/>
  <c r="B19" i="6"/>
  <c r="B18" i="6"/>
  <c r="B5" i="6"/>
  <c r="B6" i="6"/>
  <c r="C64" i="14" s="1"/>
  <c r="O89" i="14"/>
  <c r="O19" i="55" s="1"/>
  <c r="N89" i="14"/>
  <c r="N19" i="55" s="1"/>
  <c r="M89" i="14"/>
  <c r="M19" i="55" s="1"/>
  <c r="L89" i="14"/>
  <c r="L19" i="55" s="1"/>
  <c r="K89" i="14"/>
  <c r="K19" i="55" s="1"/>
  <c r="J89" i="14"/>
  <c r="J19" i="55" s="1"/>
  <c r="I89" i="14"/>
  <c r="I19" i="55" s="1"/>
  <c r="H89" i="14"/>
  <c r="H19" i="55" s="1"/>
  <c r="G89" i="14"/>
  <c r="G19" i="55" s="1"/>
  <c r="F89" i="14"/>
  <c r="F19" i="55" s="1"/>
  <c r="E89" i="14"/>
  <c r="E19" i="55" s="1"/>
  <c r="D89" i="14"/>
  <c r="D19" i="55" s="1"/>
  <c r="O88" i="14"/>
  <c r="O18" i="55" s="1"/>
  <c r="N88" i="14"/>
  <c r="M88" i="14"/>
  <c r="M18" i="55" s="1"/>
  <c r="L88" i="14"/>
  <c r="L18" i="55" s="1"/>
  <c r="K88" i="14"/>
  <c r="K18" i="55" s="1"/>
  <c r="J88" i="14"/>
  <c r="J18" i="55" s="1"/>
  <c r="I88" i="14"/>
  <c r="I18" i="55" s="1"/>
  <c r="H88" i="14"/>
  <c r="H18" i="55" s="1"/>
  <c r="G88" i="14"/>
  <c r="G18" i="55" s="1"/>
  <c r="F88" i="14"/>
  <c r="E88" i="14"/>
  <c r="D88" i="14"/>
  <c r="D18" i="55" s="1"/>
  <c r="O87" i="14"/>
  <c r="O17" i="55" s="1"/>
  <c r="N87" i="14"/>
  <c r="N17" i="55" s="1"/>
  <c r="L87" i="14"/>
  <c r="L17" i="55" s="1"/>
  <c r="K87" i="14"/>
  <c r="K17" i="55" s="1"/>
  <c r="H87" i="14"/>
  <c r="H17" i="55" s="1"/>
  <c r="G87" i="14"/>
  <c r="G17" i="55" s="1"/>
  <c r="E87" i="14"/>
  <c r="E17" i="55" s="1"/>
  <c r="O77" i="14"/>
  <c r="N77" i="14"/>
  <c r="M77" i="14"/>
  <c r="M9" i="55" s="1"/>
  <c r="L77" i="14"/>
  <c r="L9" i="55" s="1"/>
  <c r="K77" i="14"/>
  <c r="K9" i="55" s="1"/>
  <c r="I77" i="14"/>
  <c r="I9" i="55" s="1"/>
  <c r="H77" i="14"/>
  <c r="H9" i="55" s="1"/>
  <c r="G77" i="14"/>
  <c r="F77" i="14"/>
  <c r="E77" i="14"/>
  <c r="E9" i="55" s="1"/>
  <c r="D77" i="14"/>
  <c r="D9" i="55" s="1"/>
  <c r="O76" i="14"/>
  <c r="O8" i="55" s="1"/>
  <c r="N76" i="14"/>
  <c r="N8" i="55" s="1"/>
  <c r="L76" i="14"/>
  <c r="K76" i="14"/>
  <c r="K8" i="55" s="1"/>
  <c r="H76" i="14"/>
  <c r="H8" i="55" s="1"/>
  <c r="G76" i="14"/>
  <c r="G8" i="55" s="1"/>
  <c r="E76" i="14"/>
  <c r="E8" i="55" s="1"/>
  <c r="B75" i="14"/>
  <c r="B7" i="55" s="1"/>
  <c r="B74" i="14"/>
  <c r="B6" i="55" s="1"/>
  <c r="B73" i="14"/>
  <c r="B5" i="55" s="1"/>
  <c r="B72" i="14"/>
  <c r="B4" i="55" s="1"/>
  <c r="C29" i="14"/>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Q52" i="14" s="1"/>
  <c r="P49" i="14"/>
  <c r="O49" i="14"/>
  <c r="M49" i="14"/>
  <c r="M52" i="14" s="1"/>
  <c r="L49" i="14"/>
  <c r="K49" i="14"/>
  <c r="J49" i="14"/>
  <c r="I49" i="14"/>
  <c r="G49" i="14"/>
  <c r="F49" i="14"/>
  <c r="E49" i="14"/>
  <c r="Q20" i="14"/>
  <c r="P20" i="14"/>
  <c r="P22" i="14" s="1"/>
  <c r="O20" i="14"/>
  <c r="M20" i="14"/>
  <c r="L20" i="14"/>
  <c r="L22" i="14" s="1"/>
  <c r="K20" i="14"/>
  <c r="J20" i="14"/>
  <c r="G20" i="14"/>
  <c r="D20" i="14"/>
  <c r="D22" i="14" s="1"/>
  <c r="Q19" i="14"/>
  <c r="P19" i="14"/>
  <c r="O19" i="14"/>
  <c r="O22" i="14" s="1"/>
  <c r="M19" i="14"/>
  <c r="L19" i="14"/>
  <c r="K19" i="14"/>
  <c r="K22" i="14" s="1"/>
  <c r="J19" i="14"/>
  <c r="I19" i="14"/>
  <c r="G19" i="14"/>
  <c r="G22" i="14" s="1"/>
  <c r="F19" i="14"/>
  <c r="E19" i="14"/>
  <c r="D19" i="14"/>
  <c r="Q48" i="14"/>
  <c r="P48" i="14"/>
  <c r="O48" i="14"/>
  <c r="M48" i="14"/>
  <c r="L48" i="14"/>
  <c r="K48" i="14"/>
  <c r="J48" i="14"/>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N46" i="14" s="1"/>
  <c r="L40" i="14"/>
  <c r="J40" i="14"/>
  <c r="J46" i="14" s="1"/>
  <c r="J61" i="14" s="1"/>
  <c r="I40" i="14"/>
  <c r="H40" i="14"/>
  <c r="N10" i="14"/>
  <c r="L10" i="14"/>
  <c r="J10" i="14"/>
  <c r="I10" i="14"/>
  <c r="I16" i="14" s="1"/>
  <c r="H10" i="14"/>
  <c r="Q39" i="14"/>
  <c r="P39" i="14"/>
  <c r="O39" i="14"/>
  <c r="N39" i="14"/>
  <c r="M39" i="14"/>
  <c r="L39" i="14"/>
  <c r="L46" i="14" s="1"/>
  <c r="L61" i="14" s="1"/>
  <c r="K39" i="14"/>
  <c r="J39" i="14"/>
  <c r="I39" i="14"/>
  <c r="H39" i="14"/>
  <c r="G39" i="14"/>
  <c r="F39" i="14"/>
  <c r="E39" i="14"/>
  <c r="Q9" i="14"/>
  <c r="P9" i="14"/>
  <c r="O9" i="14"/>
  <c r="N9" i="14"/>
  <c r="M9" i="14"/>
  <c r="L9" i="14"/>
  <c r="K9" i="14"/>
  <c r="J9" i="14"/>
  <c r="I9" i="14"/>
  <c r="H9" i="14"/>
  <c r="G9" i="14"/>
  <c r="F9" i="14"/>
  <c r="E9" i="14"/>
  <c r="D9" i="14"/>
  <c r="C9" i="14"/>
  <c r="R9" i="14" s="1"/>
  <c r="C25" i="14"/>
  <c r="B14" i="48" s="1"/>
  <c r="R90" i="14"/>
  <c r="R78" i="14"/>
  <c r="N56" i="14"/>
  <c r="J56" i="14"/>
  <c r="Q56" i="14"/>
  <c r="P56" i="14"/>
  <c r="I56" i="14"/>
  <c r="P52" i="14"/>
  <c r="O52" i="14"/>
  <c r="L52" i="14"/>
  <c r="K52" i="14"/>
  <c r="J52" i="14"/>
  <c r="G52" i="14"/>
  <c r="H46" i="14"/>
  <c r="R44" i="14"/>
  <c r="I46" i="14"/>
  <c r="P26" i="14"/>
  <c r="L26" i="14"/>
  <c r="H26" i="14"/>
  <c r="E25" i="14"/>
  <c r="D14" i="48" s="1"/>
  <c r="D32" i="48" s="1"/>
  <c r="Q26" i="14"/>
  <c r="N26" i="14"/>
  <c r="J26" i="14"/>
  <c r="I26" i="14"/>
  <c r="J22" i="14"/>
  <c r="N16" i="14"/>
  <c r="J16" i="14"/>
  <c r="R12" i="14"/>
  <c r="L16" i="14"/>
  <c r="H16" i="14"/>
  <c r="D5" i="17"/>
  <c r="Q14" i="48" l="1"/>
  <c r="R25" i="14"/>
  <c r="E55" i="14"/>
  <c r="B49" i="18"/>
  <c r="C17" i="18" s="1"/>
  <c r="D87" i="14" s="1"/>
  <c r="D17" i="55" s="1"/>
  <c r="D20" i="55" s="1"/>
  <c r="L20" i="55"/>
  <c r="F49" i="18"/>
  <c r="J77" i="14"/>
  <c r="J9" i="55" s="1"/>
  <c r="H49" i="18"/>
  <c r="H20" i="18"/>
  <c r="M87" i="14"/>
  <c r="M17" i="55" s="1"/>
  <c r="M20" i="55" s="1"/>
  <c r="C49" i="18"/>
  <c r="E49" i="18"/>
  <c r="E17" i="18" s="1"/>
  <c r="G49" i="18"/>
  <c r="I17" i="18" s="1"/>
  <c r="K10" i="55"/>
  <c r="C48" i="18"/>
  <c r="E48" i="18"/>
  <c r="E8" i="18" s="1"/>
  <c r="G48" i="18"/>
  <c r="I48" i="18"/>
  <c r="H8" i="18" s="1"/>
  <c r="B48" i="18"/>
  <c r="C8" i="18" s="1"/>
  <c r="D76" i="14" s="1"/>
  <c r="D8" i="55" s="1"/>
  <c r="D10" i="55" s="1"/>
  <c r="D48" i="18"/>
  <c r="F48" i="18"/>
  <c r="F9" i="55"/>
  <c r="N78" i="14"/>
  <c r="N9" i="55"/>
  <c r="N10" i="55" s="1"/>
  <c r="E90" i="14"/>
  <c r="E18" i="55"/>
  <c r="E20" i="55" s="1"/>
  <c r="H90" i="14"/>
  <c r="E10" i="55"/>
  <c r="G78" i="14"/>
  <c r="G9" i="55"/>
  <c r="G10" i="55" s="1"/>
  <c r="O78" i="14"/>
  <c r="O9" i="55"/>
  <c r="O10" i="55" s="1"/>
  <c r="H20" i="55"/>
  <c r="F18" i="55"/>
  <c r="N90" i="14"/>
  <c r="N18" i="55"/>
  <c r="N20" i="55" s="1"/>
  <c r="L90" i="14"/>
  <c r="L78" i="14"/>
  <c r="L8" i="55"/>
  <c r="L10" i="55" s="1"/>
  <c r="H10" i="55"/>
  <c r="G20" i="55"/>
  <c r="K20" i="55"/>
  <c r="O20" i="55"/>
  <c r="H78" i="14"/>
  <c r="C88" i="14"/>
  <c r="C18" i="55" s="1"/>
  <c r="C20" i="18"/>
  <c r="E78" i="14"/>
  <c r="G90" i="14"/>
  <c r="O90" i="14"/>
  <c r="Q88" i="14"/>
  <c r="P18" i="55" s="1"/>
  <c r="Q89" i="14"/>
  <c r="P19" i="55" s="1"/>
  <c r="K78" i="14"/>
  <c r="B88" i="14"/>
  <c r="B18" i="55" s="1"/>
  <c r="C89" i="14"/>
  <c r="C19" i="55" s="1"/>
  <c r="B89" i="14"/>
  <c r="B19" i="55" s="1"/>
  <c r="K27" i="48"/>
  <c r="O27" i="48"/>
  <c r="O31" i="48"/>
  <c r="H28" i="48"/>
  <c r="H29" i="48"/>
  <c r="H24" i="48"/>
  <c r="P27" i="48"/>
  <c r="P28" i="48"/>
  <c r="P29" i="48"/>
  <c r="J30" i="48"/>
  <c r="J24" i="48"/>
  <c r="Q11" i="48"/>
  <c r="F29" i="48"/>
  <c r="N29" i="48"/>
  <c r="Q12" i="48"/>
  <c r="K24" i="48"/>
  <c r="G25" i="48"/>
  <c r="K28" i="48"/>
  <c r="G29" i="48"/>
  <c r="F28" i="48"/>
  <c r="J28" i="48"/>
  <c r="N28" i="48"/>
  <c r="F31" i="48"/>
  <c r="J31" i="48"/>
  <c r="N31" i="48"/>
  <c r="H22" i="48"/>
  <c r="G24" i="48"/>
  <c r="O30" i="48"/>
  <c r="F30" i="48"/>
  <c r="F24" i="48"/>
  <c r="N30" i="48"/>
  <c r="N24" i="48"/>
  <c r="J29" i="48"/>
  <c r="G22" i="48"/>
  <c r="I22" i="48"/>
  <c r="M22" i="48"/>
  <c r="F27" i="48"/>
  <c r="J27" i="48"/>
  <c r="N27" i="48"/>
  <c r="K22" i="48"/>
  <c r="K23" i="48"/>
  <c r="Q77" i="14"/>
  <c r="L27" i="14"/>
  <c r="L63" i="14"/>
  <c r="J27" i="14"/>
  <c r="J63" i="14" s="1"/>
  <c r="D78" i="14"/>
  <c r="K90" i="14"/>
  <c r="M90" i="14" l="1"/>
  <c r="B77" i="14"/>
  <c r="B9" i="55" s="1"/>
  <c r="C77" i="14"/>
  <c r="C9" i="55" s="1"/>
  <c r="C10" i="18"/>
  <c r="J8" i="18"/>
  <c r="J76" i="14" s="1"/>
  <c r="J17" i="18"/>
  <c r="J20" i="18" s="1"/>
  <c r="E20" i="18"/>
  <c r="F87" i="14"/>
  <c r="I8" i="18"/>
  <c r="I10" i="18" s="1"/>
  <c r="H10" i="18"/>
  <c r="M76" i="14"/>
  <c r="E10" i="18"/>
  <c r="F76" i="14"/>
  <c r="O17" i="18"/>
  <c r="O20" i="18" s="1"/>
  <c r="P9" i="55"/>
  <c r="I76" i="14"/>
  <c r="I8" i="55" s="1"/>
  <c r="I10" i="55" s="1"/>
  <c r="I20" i="18"/>
  <c r="I87" i="14"/>
  <c r="I17" i="55" s="1"/>
  <c r="I20" i="55" s="1"/>
  <c r="O8" i="18"/>
  <c r="O10" i="18" s="1"/>
  <c r="J10" i="18"/>
  <c r="Q87" i="14"/>
  <c r="D90" i="14"/>
  <c r="J87" i="14" l="1"/>
  <c r="F17" i="55"/>
  <c r="F20" i="55" s="1"/>
  <c r="F90" i="14"/>
  <c r="M8" i="55"/>
  <c r="M10" i="55" s="1"/>
  <c r="M78" i="14"/>
  <c r="F8" i="55"/>
  <c r="F10" i="55" s="1"/>
  <c r="Q76" i="14"/>
  <c r="F78" i="14"/>
  <c r="J90" i="14"/>
  <c r="J17" i="55"/>
  <c r="J20" i="55" s="1"/>
  <c r="J78" i="14"/>
  <c r="J8" i="55"/>
  <c r="J10" i="55" s="1"/>
  <c r="Q90" i="14"/>
  <c r="B17" i="6" s="1"/>
  <c r="P17" i="55"/>
  <c r="P20" i="55" s="1"/>
  <c r="I78" i="14"/>
  <c r="C76" i="14"/>
  <c r="B76" i="14"/>
  <c r="I90" i="14"/>
  <c r="B87" i="14"/>
  <c r="C87" i="14"/>
  <c r="H14" i="15"/>
  <c r="H16" i="15" s="1"/>
  <c r="G14" i="15"/>
  <c r="G16" i="15" s="1"/>
  <c r="P8" i="55" l="1"/>
  <c r="P10" i="55" s="1"/>
  <c r="Q78" i="14"/>
  <c r="B9" i="6" s="1"/>
  <c r="C90" i="14"/>
  <c r="C17" i="55"/>
  <c r="C20" i="55" s="1"/>
  <c r="B90" i="14"/>
  <c r="B17" i="55"/>
  <c r="B20" i="55" s="1"/>
  <c r="C78" i="14"/>
  <c r="C8" i="55"/>
  <c r="C10" i="55" s="1"/>
  <c r="B78" i="14"/>
  <c r="B8" i="55"/>
  <c r="B10" i="55" s="1"/>
  <c r="N25" i="22"/>
  <c r="N24" i="22"/>
  <c r="B4" i="6" l="1"/>
  <c r="A6" i="23"/>
  <c r="A5" i="23"/>
  <c r="A3" i="23"/>
  <c r="A4"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2" i="23"/>
  <c r="D11" i="22" l="1"/>
  <c r="D9" i="22"/>
  <c r="D7" i="22"/>
  <c r="D8" i="22"/>
  <c r="E11" i="22"/>
  <c r="B10" i="22"/>
  <c r="E7" i="22"/>
  <c r="B6" i="22"/>
  <c r="B11" i="22"/>
  <c r="E10" i="22"/>
  <c r="B9" i="22"/>
  <c r="E8" i="22"/>
  <c r="B7" i="22"/>
  <c r="E6" i="22"/>
  <c r="D10" i="22"/>
  <c r="D6" i="22"/>
  <c r="E9" i="22"/>
  <c r="B8" i="22"/>
  <c r="B52" i="22"/>
  <c r="O15" i="19" l="1"/>
  <c r="O19" i="19"/>
  <c r="P15" i="19"/>
  <c r="E35" i="50" l="1"/>
  <c r="E33" i="50"/>
  <c r="E31" i="50"/>
  <c r="E29" i="50"/>
  <c r="H10" i="22" l="1"/>
  <c r="H11" i="22"/>
  <c r="H8" i="22"/>
  <c r="H6" i="22"/>
  <c r="H7" i="22"/>
  <c r="H9" i="22"/>
  <c r="B28" i="17"/>
  <c r="B27" i="17"/>
  <c r="B26" i="17"/>
  <c r="B31" i="19" l="1"/>
  <c r="B24" i="19"/>
  <c r="B69" i="13" l="1"/>
  <c r="B35" i="19" l="1"/>
  <c r="B27" i="19"/>
  <c r="B26" i="19"/>
  <c r="B6" i="13" l="1"/>
  <c r="B17" i="17" l="1"/>
  <c r="B34" i="17" l="1"/>
  <c r="B18" i="13" l="1"/>
  <c r="B19" i="13"/>
  <c r="B20" i="13"/>
  <c r="B21" i="13"/>
  <c r="B6" i="16" l="1"/>
  <c r="F6" i="17" l="1"/>
  <c r="D6" i="17"/>
  <c r="F13" i="15"/>
  <c r="D13" i="15"/>
  <c r="C13" i="15"/>
  <c r="B13" i="15"/>
  <c r="F16" i="16"/>
  <c r="D16" i="16"/>
  <c r="A78" i="22"/>
  <c r="A77" i="22"/>
  <c r="A76" i="22"/>
  <c r="A75" i="22"/>
  <c r="A74" i="22"/>
  <c r="B64" i="22"/>
  <c r="B67" i="22" s="1"/>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H5" i="22"/>
  <c r="B29" i="17"/>
  <c r="C29" i="17" s="1"/>
  <c r="C28" i="17"/>
  <c r="C27" i="17"/>
  <c r="C26" i="17"/>
  <c r="J5" i="17"/>
  <c r="N10" i="17"/>
  <c r="M10" i="17"/>
  <c r="M12" i="17" s="1"/>
  <c r="L10" i="17"/>
  <c r="K10" i="17"/>
  <c r="J10" i="17"/>
  <c r="I10" i="17"/>
  <c r="H10" i="17"/>
  <c r="G10" i="17"/>
  <c r="F10" i="17"/>
  <c r="E10" i="17"/>
  <c r="D10" i="17"/>
  <c r="C6"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C16" i="16"/>
  <c r="J15"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H27" i="20" s="1"/>
  <c r="G26" i="20"/>
  <c r="E26" i="20"/>
  <c r="E27" i="20" s="1"/>
  <c r="D26" i="20"/>
  <c r="D27" i="20" s="1"/>
  <c r="B26" i="20"/>
  <c r="B27" i="20" s="1"/>
  <c r="N17" i="49"/>
  <c r="M17" i="49"/>
  <c r="L17" i="49"/>
  <c r="K17" i="49"/>
  <c r="J17" i="49"/>
  <c r="I17" i="49"/>
  <c r="F17" i="49"/>
  <c r="E17" i="49"/>
  <c r="D17" i="49"/>
  <c r="B15" i="49"/>
  <c r="B6" i="9" s="1"/>
  <c r="N17" i="19"/>
  <c r="N19" i="19" s="1"/>
  <c r="M17" i="19"/>
  <c r="L17" i="19"/>
  <c r="K17" i="19"/>
  <c r="J17" i="19"/>
  <c r="J19" i="19" s="1"/>
  <c r="I17" i="19"/>
  <c r="F17" i="19"/>
  <c r="E17" i="19"/>
  <c r="D17" i="19"/>
  <c r="P19" i="19"/>
  <c r="N15" i="19"/>
  <c r="N14" i="15" s="1"/>
  <c r="M15" i="19"/>
  <c r="M14" i="15" s="1"/>
  <c r="M16" i="15" s="1"/>
  <c r="L15" i="19"/>
  <c r="L14" i="15" s="1"/>
  <c r="K15" i="19"/>
  <c r="K14" i="15" s="1"/>
  <c r="K16" i="15" s="1"/>
  <c r="J15" i="19"/>
  <c r="J14" i="15" s="1"/>
  <c r="I15" i="19"/>
  <c r="I14" i="15" s="1"/>
  <c r="I16" i="15" s="1"/>
  <c r="F15" i="19"/>
  <c r="F14" i="15" s="1"/>
  <c r="E15" i="19"/>
  <c r="E14" i="15" s="1"/>
  <c r="D15" i="19"/>
  <c r="C15" i="19"/>
  <c r="C14" i="15" s="1"/>
  <c r="B15" i="19"/>
  <c r="B14" i="15" s="1"/>
  <c r="A7" i="31"/>
  <c r="A6" i="31"/>
  <c r="B7" i="48" l="1"/>
  <c r="C24" i="14"/>
  <c r="C26" i="14" s="1"/>
  <c r="B4" i="48"/>
  <c r="C11" i="14"/>
  <c r="B11" i="16"/>
  <c r="C18" i="16"/>
  <c r="C8" i="48" s="1"/>
  <c r="D4" i="48"/>
  <c r="D22" i="48" s="1"/>
  <c r="E11" i="14"/>
  <c r="O4" i="48"/>
  <c r="O22" i="48" s="1"/>
  <c r="P11" i="14"/>
  <c r="B8" i="9"/>
  <c r="B6" i="48" s="1"/>
  <c r="Q6" i="48" s="1"/>
  <c r="P4" i="48"/>
  <c r="P22" i="48" s="1"/>
  <c r="Q11" i="14"/>
  <c r="Q10" i="14"/>
  <c r="P5" i="48"/>
  <c r="C19" i="14"/>
  <c r="B10" i="48"/>
  <c r="H12" i="22"/>
  <c r="I18" i="14"/>
  <c r="H13" i="48"/>
  <c r="H31" i="48" s="1"/>
  <c r="D13" i="14"/>
  <c r="B16" i="16"/>
  <c r="D8" i="17"/>
  <c r="E8" i="16"/>
  <c r="F19" i="19"/>
  <c r="L19" i="19"/>
  <c r="L12" i="13"/>
  <c r="M12" i="13"/>
  <c r="N16" i="16"/>
  <c r="D12" i="22"/>
  <c r="D31" i="20"/>
  <c r="E12" i="22"/>
  <c r="B12" i="22"/>
  <c r="B13" i="16"/>
  <c r="C35" i="16"/>
  <c r="D14" i="15"/>
  <c r="K19" i="19"/>
  <c r="I19" i="19"/>
  <c r="P18" i="16"/>
  <c r="J8" i="17"/>
  <c r="L16" i="16"/>
  <c r="L18" i="16" s="1"/>
  <c r="N6" i="17"/>
  <c r="E31" i="20"/>
  <c r="H14" i="22"/>
  <c r="F8" i="17"/>
  <c r="M19" i="19"/>
  <c r="J7" i="15"/>
  <c r="O5" i="16"/>
  <c r="C16" i="15"/>
  <c r="L6" i="17"/>
  <c r="N13" i="15"/>
  <c r="L13" i="15"/>
  <c r="L16" i="15" s="1"/>
  <c r="K20" i="15"/>
  <c r="G27" i="20"/>
  <c r="G7" i="22"/>
  <c r="G10" i="22"/>
  <c r="G6" i="22"/>
  <c r="G9" i="22"/>
  <c r="G11" i="22"/>
  <c r="G8" i="22"/>
  <c r="M7" i="22"/>
  <c r="M10" i="22"/>
  <c r="M8" i="22"/>
  <c r="M11" i="22"/>
  <c r="M9" i="22"/>
  <c r="M6" i="22"/>
  <c r="M27" i="20"/>
  <c r="J11" i="15"/>
  <c r="N7" i="15"/>
  <c r="B11" i="15"/>
  <c r="N11" i="15"/>
  <c r="F11" i="15"/>
  <c r="B38" i="13"/>
  <c r="B50" i="13" s="1"/>
  <c r="B7" i="15"/>
  <c r="E58" i="22"/>
  <c r="J58" i="22"/>
  <c r="L58" i="22"/>
  <c r="N58" i="22"/>
  <c r="O58" i="22"/>
  <c r="H58" i="22"/>
  <c r="I58" i="22"/>
  <c r="K58" i="22"/>
  <c r="P58" i="22"/>
  <c r="D58" i="22"/>
  <c r="F58" i="22"/>
  <c r="H31" i="20"/>
  <c r="I48" i="14" s="1"/>
  <c r="G31" i="20"/>
  <c r="H48" i="14" s="1"/>
  <c r="C78" i="22"/>
  <c r="E7" i="15"/>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D5" i="22"/>
  <c r="B5" i="22"/>
  <c r="B39" i="13"/>
  <c r="B51" i="13" s="1"/>
  <c r="F5" i="13" s="1"/>
  <c r="F8" i="13" s="1"/>
  <c r="P12" i="13"/>
  <c r="Q41" i="14" s="1"/>
  <c r="D12" i="13"/>
  <c r="E41" i="14" s="1"/>
  <c r="C22" i="13"/>
  <c r="C21" i="13"/>
  <c r="C20" i="13"/>
  <c r="O12" i="13"/>
  <c r="P41" i="14" s="1"/>
  <c r="J12" i="17"/>
  <c r="K54" i="14" s="1"/>
  <c r="K56" i="14" s="1"/>
  <c r="E5" i="17"/>
  <c r="C8" i="17"/>
  <c r="P22" i="16" l="1"/>
  <c r="Q43" i="14" s="1"/>
  <c r="P8" i="48"/>
  <c r="P26" i="48" s="1"/>
  <c r="Q13" i="14"/>
  <c r="Q16" i="14" s="1"/>
  <c r="Q27" i="14" s="1"/>
  <c r="P15" i="48"/>
  <c r="P23" i="48"/>
  <c r="P33" i="48" s="1"/>
  <c r="O5" i="48"/>
  <c r="P10" i="14"/>
  <c r="G11" i="14"/>
  <c r="F4" i="48"/>
  <c r="F22" i="48" s="1"/>
  <c r="M13" i="48"/>
  <c r="M31" i="48" s="1"/>
  <c r="N18" i="14"/>
  <c r="G12" i="22"/>
  <c r="G13" i="48"/>
  <c r="H18" i="14"/>
  <c r="H9" i="48"/>
  <c r="I20" i="14"/>
  <c r="I22" i="14" s="1"/>
  <c r="I27" i="14" s="1"/>
  <c r="J7" i="48"/>
  <c r="J25" i="48" s="1"/>
  <c r="K24" i="14"/>
  <c r="K26" i="14" s="1"/>
  <c r="C7" i="48"/>
  <c r="D24" i="14"/>
  <c r="E24" i="14"/>
  <c r="E26" i="14" s="1"/>
  <c r="D7" i="48"/>
  <c r="D25" i="48" s="1"/>
  <c r="M13" i="14"/>
  <c r="L8" i="48"/>
  <c r="L26" i="48" s="1"/>
  <c r="G24" i="14"/>
  <c r="G26" i="14" s="1"/>
  <c r="F7" i="48"/>
  <c r="F25" i="48" s="1"/>
  <c r="D12" i="17"/>
  <c r="E54" i="14" s="1"/>
  <c r="E56" i="14" s="1"/>
  <c r="M10" i="14"/>
  <c r="L5" i="48"/>
  <c r="D10" i="14"/>
  <c r="C5" i="48"/>
  <c r="C15" i="48" s="1"/>
  <c r="E10" i="14"/>
  <c r="D5" i="48"/>
  <c r="F12" i="17"/>
  <c r="G54" i="14" s="1"/>
  <c r="G56" i="14" s="1"/>
  <c r="L5" i="17"/>
  <c r="L8" i="17" s="1"/>
  <c r="B35" i="13"/>
  <c r="N5" i="17"/>
  <c r="N8" i="17" s="1"/>
  <c r="M31" i="20"/>
  <c r="N48" i="14" s="1"/>
  <c r="M12" i="22"/>
  <c r="O18" i="16"/>
  <c r="B34" i="13"/>
  <c r="B46" i="13" s="1"/>
  <c r="E5" i="13" s="1"/>
  <c r="E8" i="13" s="1"/>
  <c r="L22" i="16"/>
  <c r="M43" i="14" s="1"/>
  <c r="B36" i="13"/>
  <c r="E8" i="17"/>
  <c r="D18" i="16"/>
  <c r="B14" i="22"/>
  <c r="E14" i="22"/>
  <c r="D14" i="22"/>
  <c r="M51" i="22"/>
  <c r="M50" i="22" s="1"/>
  <c r="M54" i="22" s="1"/>
  <c r="G51" i="22"/>
  <c r="G50" i="22" s="1"/>
  <c r="G54" i="22" s="1"/>
  <c r="H18" i="22"/>
  <c r="I50" i="14" s="1"/>
  <c r="I52" i="14" s="1"/>
  <c r="I61" i="14" s="1"/>
  <c r="M5" i="22"/>
  <c r="G5" i="22"/>
  <c r="G14" i="22" s="1"/>
  <c r="E5" i="15"/>
  <c r="O20" i="15"/>
  <c r="P40" i="14" s="1"/>
  <c r="P20" i="15"/>
  <c r="Q40" i="14" s="1"/>
  <c r="Q46" i="14" s="1"/>
  <c r="Q61" i="14" s="1"/>
  <c r="J5" i="15"/>
  <c r="D20" i="15"/>
  <c r="E40" i="14" s="1"/>
  <c r="F5" i="15"/>
  <c r="F16" i="15" s="1"/>
  <c r="B5" i="15"/>
  <c r="B16" i="15" s="1"/>
  <c r="B5" i="16"/>
  <c r="B18" i="16" s="1"/>
  <c r="N5" i="15"/>
  <c r="N16" i="15" s="1"/>
  <c r="F12" i="13"/>
  <c r="G41" i="14" s="1"/>
  <c r="F13" i="16"/>
  <c r="E13" i="16"/>
  <c r="N13" i="16"/>
  <c r="J13" i="16"/>
  <c r="B47" i="13"/>
  <c r="N12" i="16"/>
  <c r="J12" i="16"/>
  <c r="F12" i="16"/>
  <c r="E12" i="16"/>
  <c r="B48" i="13"/>
  <c r="C48" i="13" s="1"/>
  <c r="N5" i="13" s="1"/>
  <c r="N8" i="13" s="1"/>
  <c r="C50" i="13"/>
  <c r="J5" i="13" s="1"/>
  <c r="J8" i="13" s="1"/>
  <c r="Q63" i="14" l="1"/>
  <c r="O8" i="48"/>
  <c r="O26" i="48" s="1"/>
  <c r="P13" i="14"/>
  <c r="P16" i="14" s="1"/>
  <c r="P27" i="14" s="1"/>
  <c r="O15" i="48"/>
  <c r="O23" i="48"/>
  <c r="O33" i="48" s="1"/>
  <c r="K11" i="14"/>
  <c r="J4" i="48"/>
  <c r="J22" i="48" s="1"/>
  <c r="O11" i="14"/>
  <c r="N4" i="48"/>
  <c r="N22" i="48" s="1"/>
  <c r="E12" i="13"/>
  <c r="F41" i="14" s="1"/>
  <c r="F11" i="14"/>
  <c r="E4" i="48"/>
  <c r="R18" i="14"/>
  <c r="I63" i="14"/>
  <c r="M10" i="48"/>
  <c r="M28" i="48" s="1"/>
  <c r="N19" i="14"/>
  <c r="G31" i="48"/>
  <c r="Q13" i="48"/>
  <c r="H19" i="14"/>
  <c r="R19" i="14" s="1"/>
  <c r="G10" i="48"/>
  <c r="B9" i="48"/>
  <c r="C20" i="14"/>
  <c r="H20" i="14"/>
  <c r="G9" i="48"/>
  <c r="D9" i="48"/>
  <c r="D27" i="48" s="1"/>
  <c r="E20" i="14"/>
  <c r="E22" i="14" s="1"/>
  <c r="E9" i="48"/>
  <c r="E27" i="48" s="1"/>
  <c r="F20" i="14"/>
  <c r="F22" i="14" s="1"/>
  <c r="H15" i="48"/>
  <c r="H27" i="48"/>
  <c r="H33" i="48" s="1"/>
  <c r="E7" i="48"/>
  <c r="E25" i="48" s="1"/>
  <c r="F24" i="14"/>
  <c r="F26" i="14" s="1"/>
  <c r="E12" i="17"/>
  <c r="F54" i="14" s="1"/>
  <c r="F56" i="14" s="1"/>
  <c r="B8" i="48"/>
  <c r="C13" i="14"/>
  <c r="D22" i="16"/>
  <c r="E43" i="14" s="1"/>
  <c r="E13" i="14"/>
  <c r="D8" i="48"/>
  <c r="D26" i="48" s="1"/>
  <c r="D26" i="14"/>
  <c r="O24" i="14"/>
  <c r="O26" i="14" s="1"/>
  <c r="N7" i="48"/>
  <c r="N25" i="48" s="1"/>
  <c r="L7" i="48"/>
  <c r="L25" i="48" s="1"/>
  <c r="M24" i="14"/>
  <c r="M26" i="14" s="1"/>
  <c r="C10" i="14"/>
  <c r="B5" i="48"/>
  <c r="G10" i="14"/>
  <c r="F5" i="48"/>
  <c r="O10" i="14"/>
  <c r="N5" i="48"/>
  <c r="L12" i="17"/>
  <c r="M54" i="14" s="1"/>
  <c r="M56" i="14" s="1"/>
  <c r="N12" i="17"/>
  <c r="O54" i="14" s="1"/>
  <c r="O56" i="14" s="1"/>
  <c r="E16" i="15"/>
  <c r="J16" i="15"/>
  <c r="J20" i="15" s="1"/>
  <c r="K40" i="14" s="1"/>
  <c r="M14" i="22"/>
  <c r="O22" i="16"/>
  <c r="P43" i="14" s="1"/>
  <c r="P46" i="14" s="1"/>
  <c r="P61" i="14" s="1"/>
  <c r="P63" i="14" s="1"/>
  <c r="D18" i="22"/>
  <c r="E50" i="14" s="1"/>
  <c r="E52" i="14" s="1"/>
  <c r="E18" i="22"/>
  <c r="F50" i="14" s="1"/>
  <c r="F52" i="14" s="1"/>
  <c r="M58" i="22"/>
  <c r="N49" i="14" s="1"/>
  <c r="G18" i="22"/>
  <c r="H50" i="14" s="1"/>
  <c r="G58" i="22"/>
  <c r="H49" i="14" s="1"/>
  <c r="N20" i="15"/>
  <c r="O40" i="14" s="1"/>
  <c r="F20" i="15"/>
  <c r="G40" i="14" s="1"/>
  <c r="N5" i="16"/>
  <c r="E5" i="16"/>
  <c r="J5" i="16"/>
  <c r="C35" i="13"/>
  <c r="F5" i="16"/>
  <c r="C36" i="13"/>
  <c r="N12" i="13"/>
  <c r="O41" i="14" s="1"/>
  <c r="C38" i="13"/>
  <c r="C39" i="13"/>
  <c r="C32" i="13"/>
  <c r="C34" i="13"/>
  <c r="J12" i="13"/>
  <c r="K41" i="14" s="1"/>
  <c r="L20" i="15"/>
  <c r="M40" i="14" s="1"/>
  <c r="R11" i="14" l="1"/>
  <c r="H22" i="14"/>
  <c r="H27" i="14" s="1"/>
  <c r="E22" i="48"/>
  <c r="Q4" i="48"/>
  <c r="H52" i="14"/>
  <c r="H61" i="14" s="1"/>
  <c r="H63" i="14" s="1"/>
  <c r="G28" i="48"/>
  <c r="Q10" i="48"/>
  <c r="M18" i="22"/>
  <c r="N50" i="14" s="1"/>
  <c r="N52" i="14" s="1"/>
  <c r="N61" i="14" s="1"/>
  <c r="M9" i="48"/>
  <c r="Q9" i="48" s="1"/>
  <c r="N20" i="14"/>
  <c r="N22" i="14" s="1"/>
  <c r="N27" i="14" s="1"/>
  <c r="C22" i="14"/>
  <c r="G27" i="48"/>
  <c r="G15" i="48"/>
  <c r="B15" i="48"/>
  <c r="D15" i="48"/>
  <c r="J5" i="48"/>
  <c r="K10" i="14"/>
  <c r="E20" i="15"/>
  <c r="F40" i="14" s="1"/>
  <c r="E5" i="48"/>
  <c r="F10" i="14"/>
  <c r="L15" i="48"/>
  <c r="Q7" i="48"/>
  <c r="R24" i="14"/>
  <c r="R26" i="14" s="1"/>
  <c r="J18" i="16"/>
  <c r="N18" i="16"/>
  <c r="E18" i="16"/>
  <c r="F18" i="16"/>
  <c r="F22" i="16" s="1"/>
  <c r="G43" i="14" s="1"/>
  <c r="G33" i="48" l="1"/>
  <c r="N63" i="14"/>
  <c r="M27" i="48"/>
  <c r="M33" i="48" s="1"/>
  <c r="M15" i="48"/>
  <c r="R20" i="14"/>
  <c r="R22" i="14" s="1"/>
  <c r="E22" i="16"/>
  <c r="F43" i="14" s="1"/>
  <c r="F46" i="14" s="1"/>
  <c r="F61" i="14" s="1"/>
  <c r="E8" i="48"/>
  <c r="E26" i="48" s="1"/>
  <c r="F13" i="14"/>
  <c r="F16" i="14" s="1"/>
  <c r="F27" i="14" s="1"/>
  <c r="K13" i="14"/>
  <c r="K16" i="14" s="1"/>
  <c r="K27" i="14" s="1"/>
  <c r="J8" i="48"/>
  <c r="J26" i="48" s="1"/>
  <c r="J23" i="48"/>
  <c r="E23" i="48"/>
  <c r="F8" i="48"/>
  <c r="G13" i="14"/>
  <c r="N8" i="48"/>
  <c r="O13" i="14"/>
  <c r="N22" i="16"/>
  <c r="O43" i="14" s="1"/>
  <c r="J22" i="16"/>
  <c r="K43" i="14" s="1"/>
  <c r="K46" i="14" s="1"/>
  <c r="K61" i="14" s="1"/>
  <c r="E15" i="48" l="1"/>
  <c r="E33" i="48"/>
  <c r="K63" i="14"/>
  <c r="F63" i="14"/>
  <c r="J33" i="48"/>
  <c r="J15" i="48"/>
  <c r="N26" i="48"/>
  <c r="N15" i="48"/>
  <c r="R13" i="14"/>
  <c r="F26" i="48"/>
  <c r="F15" i="48"/>
  <c r="Q8" i="48"/>
  <c r="M16" i="14"/>
  <c r="M27" i="14" s="1"/>
  <c r="D16" i="14"/>
  <c r="D27" i="14" s="1"/>
  <c r="B20" i="6" s="1"/>
  <c r="Q5" i="48" l="1"/>
  <c r="Q15" i="48" s="1"/>
  <c r="O16" i="14"/>
  <c r="O27" i="14" s="1"/>
  <c r="E16" i="14"/>
  <c r="E27" i="14" s="1"/>
  <c r="L23" i="48"/>
  <c r="L33" i="48" s="1"/>
  <c r="G16" i="14"/>
  <c r="G27" i="14" s="1"/>
  <c r="R10" i="14"/>
  <c r="R16" i="14" s="1"/>
  <c r="R27" i="14" s="1"/>
  <c r="C16" i="14"/>
  <c r="C27" i="14" s="1"/>
  <c r="B3" i="6" s="1"/>
  <c r="E46" i="14"/>
  <c r="E61" i="14" s="1"/>
  <c r="O46" i="14"/>
  <c r="O61" i="14" s="1"/>
  <c r="G46" i="14"/>
  <c r="G61" i="14" s="1"/>
  <c r="M46" i="14"/>
  <c r="M61" i="14" s="1"/>
  <c r="M63" i="14" s="1"/>
  <c r="O63" i="14" l="1"/>
  <c r="N23" i="48"/>
  <c r="N33" i="48" s="1"/>
  <c r="G63" i="14"/>
  <c r="E63" i="14"/>
  <c r="F23" i="48"/>
  <c r="F33" i="48" s="1"/>
  <c r="D23" i="48"/>
  <c r="D33" i="48" s="1"/>
  <c r="B22" i="6"/>
  <c r="C22" i="55" s="1"/>
  <c r="B12" i="6"/>
  <c r="C12" i="55" s="1"/>
  <c r="C10" i="13" l="1"/>
  <c r="C17" i="48" s="1"/>
  <c r="C32" i="48" s="1"/>
  <c r="C29" i="20"/>
  <c r="C17" i="49"/>
  <c r="C17" i="19"/>
  <c r="C19" i="19" s="1"/>
  <c r="D39" i="14" s="1"/>
  <c r="C18" i="15"/>
  <c r="C20" i="15" s="1"/>
  <c r="D40" i="14" s="1"/>
  <c r="C16" i="22"/>
  <c r="C10" i="17"/>
  <c r="C12" i="17" s="1"/>
  <c r="D54" i="14" s="1"/>
  <c r="D56" i="14" s="1"/>
  <c r="C20" i="16"/>
  <c r="C22" i="16" s="1"/>
  <c r="D43" i="14" s="1"/>
  <c r="C56" i="22"/>
  <c r="C58" i="22" s="1"/>
  <c r="D49" i="14" s="1"/>
  <c r="D52" i="14" s="1"/>
  <c r="C55" i="14"/>
  <c r="R55" i="14" s="1"/>
  <c r="B20" i="16"/>
  <c r="B22" i="16" s="1"/>
  <c r="C43" i="14" s="1"/>
  <c r="B17" i="49"/>
  <c r="B19" i="49" s="1"/>
  <c r="C42" i="14" s="1"/>
  <c r="B10" i="13"/>
  <c r="B17" i="48" s="1"/>
  <c r="B32" i="48" s="1"/>
  <c r="B10" i="9"/>
  <c r="B12" i="9" s="1"/>
  <c r="B17" i="19"/>
  <c r="B19" i="19" s="1"/>
  <c r="C39" i="14" s="1"/>
  <c r="B56" i="22"/>
  <c r="B58" i="22" s="1"/>
  <c r="C49" i="14" s="1"/>
  <c r="B29" i="20"/>
  <c r="B31" i="20" s="1"/>
  <c r="C48" i="14" s="1"/>
  <c r="B16" i="22"/>
  <c r="B18" i="22" s="1"/>
  <c r="C50" i="14" s="1"/>
  <c r="B18" i="15"/>
  <c r="B20" i="15" s="1"/>
  <c r="B10" i="17"/>
  <c r="B12" i="17" s="1"/>
  <c r="C54" i="14" s="1"/>
  <c r="Q32" i="48" l="1"/>
  <c r="C24" i="48"/>
  <c r="C22" i="48"/>
  <c r="C30" i="48"/>
  <c r="C31" i="48"/>
  <c r="C26" i="48"/>
  <c r="C29" i="48"/>
  <c r="C25" i="48"/>
  <c r="C28" i="48"/>
  <c r="C27" i="48"/>
  <c r="C23" i="48"/>
  <c r="C40" i="14"/>
  <c r="B12" i="13"/>
  <c r="C41" i="14" s="1"/>
  <c r="C12" i="13"/>
  <c r="D41" i="14" s="1"/>
  <c r="D46" i="14" s="1"/>
  <c r="D61" i="14" s="1"/>
  <c r="D63" i="14" s="1"/>
  <c r="C33" i="48" l="1"/>
  <c r="R49" i="14" l="1"/>
  <c r="R50" i="14"/>
  <c r="R43" i="14"/>
  <c r="R42" i="14"/>
  <c r="B24" i="48" l="1"/>
  <c r="Q24" i="48" s="1"/>
  <c r="B29" i="48"/>
  <c r="Q29" i="48" s="1"/>
  <c r="B30" i="48"/>
  <c r="Q30" i="48" s="1"/>
  <c r="B27" i="48"/>
  <c r="Q27" i="48" s="1"/>
  <c r="B26" i="48"/>
  <c r="Q26" i="48" s="1"/>
  <c r="B28" i="48"/>
  <c r="Q28" i="48" s="1"/>
  <c r="B22" i="48"/>
  <c r="B25" i="48"/>
  <c r="Q25" i="48" s="1"/>
  <c r="B31" i="48"/>
  <c r="Q31" i="48" s="1"/>
  <c r="B23" i="48"/>
  <c r="Q23" i="48" s="1"/>
  <c r="C52" i="14"/>
  <c r="R48" i="14"/>
  <c r="R52" i="14" s="1"/>
  <c r="R39" i="14"/>
  <c r="R54" i="14"/>
  <c r="R56" i="14" s="1"/>
  <c r="C56" i="14"/>
  <c r="R40" i="14"/>
  <c r="R41" i="14"/>
  <c r="B33" i="48" l="1"/>
  <c r="Q22" i="48"/>
  <c r="Q33" i="48" s="1"/>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<sst xmlns="http://schemas.openxmlformats.org/spreadsheetml/2006/main" count="2513" uniqueCount="971">
  <si>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</si>
  <si>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</si>
  <si>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</si>
  <si>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</si>
  <si>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</si>
  <si>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</si>
  <si>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</si>
  <si>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</si>
  <si>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</si>
  <si>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</si>
  <si>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</si>
  <si>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</si>
  <si>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</si>
  <si>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</si>
  <si>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</si>
  <si>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</si>
  <si>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</si>
  <si>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</si>
  <si>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</si>
  <si>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</si>
  <si>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</si>
  <si>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</si>
  <si>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</si>
  <si>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</si>
  <si>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</si>
  <si>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</si>
  <si>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</si>
  <si>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</si>
  <si>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</si>
  <si>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</si>
  <si>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</si>
  <si>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</si>
  <si>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</si>
  <si>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</si>
  <si>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</si>
  <si>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</si>
  <si>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</si>
  <si>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</si>
  <si>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</si>
  <si>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</si>
  <si>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</si>
  <si>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</si>
  <si>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</si>
  <si>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</si>
  <si>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</si>
  <si>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</si>
  <si>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</si>
  <si>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</si>
  <si>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</si>
  <si>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</si>
  <si>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</si>
  <si>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</si>
  <si>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</si>
  <si>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</si>
  <si>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</si>
  <si>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</si>
  <si>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</si>
  <si>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</si>
  <si>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</si>
  <si>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</si>
  <si>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</si>
  <si>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</si>
  <si>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</si>
  <si>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</si>
  <si>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</si>
  <si>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</si>
  <si>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</si>
  <si>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</si>
  <si>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</si>
  <si>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</si>
  <si>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</si>
  <si>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</si>
  <si>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</si>
  <si>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</si>
  <si>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</si>
  <si>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</si>
  <si>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</si>
  <si>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</si>
  <si>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</si>
  <si>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</si>
  <si>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</si>
  <si>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</si>
  <si>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</si>
  <si>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</si>
  <si>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</si>
  <si>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</si>
  <si>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</si>
  <si>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</si>
  <si>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</si>
  <si>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</si>
  <si>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</si>
  <si>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</si>
  <si>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</si>
  <si>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</si>
  <si>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</si>
  <si>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</si>
  <si>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</si>
  <si>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</si>
  <si>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</si>
  <si>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</si>
  <si>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</si>
  <si>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</si>
  <si>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</si>
  <si>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</si>
  <si>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</si>
  <si>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</si>
  <si>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</si>
  <si>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</si>
  <si>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</si>
  <si>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</si>
  <si>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</si>
  <si>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</si>
  <si>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</si>
  <si>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</si>
  <si>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</si>
  <si>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</si>
  <si>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</si>
  <si>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</si>
  <si>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</si>
  <si>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</si>
  <si>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</si>
  <si>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</si>
  <si>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</si>
  <si>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</si>
  <si>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</si>
  <si>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</si>
  <si>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</si>
  <si>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</si>
  <si>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</si>
  <si>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</si>
  <si>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</si>
  <si>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</si>
  <si>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</si>
  <si>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</si>
  <si>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</si>
  <si>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</si>
  <si>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</si>
  <si>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</si>
  <si>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</si>
  <si>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</si>
  <si>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</si>
  <si>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</si>
  <si>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</si>
  <si>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</si>
  <si>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</si>
  <si>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</si>
  <si>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</si>
  <si>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</si>
  <si>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</si>
  <si>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</si>
  <si>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</si>
  <si>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</si>
  <si>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</si>
  <si>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</si>
  <si>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</si>
  <si>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</si>
  <si>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</si>
  <si>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</si>
  <si>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</si>
  <si>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</si>
  <si>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</si>
  <si>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</si>
  <si>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</si>
  <si>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</si>
  <si>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</si>
  <si>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</si>
  <si>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</si>
  <si>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</si>
  <si>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</si>
  <si>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</si>
  <si>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</si>
  <si>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</si>
  <si>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</si>
  <si>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</si>
  <si>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</si>
  <si>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</si>
  <si>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</si>
  <si>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</si>
  <si>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</si>
  <si>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</si>
  <si>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</si>
  <si>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</si>
  <si>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</si>
  <si>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</si>
  <si>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</si>
  <si>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</si>
  <si>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</si>
  <si>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</si>
  <si>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</si>
  <si>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</si>
  <si>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</si>
  <si>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</si>
  <si>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</si>
  <si>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</si>
  <si>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</si>
  <si>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</si>
  <si>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</si>
  <si>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</si>
  <si>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</si>
  <si>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</si>
  <si>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</si>
  <si>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</si>
  <si>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</si>
  <si>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</si>
  <si>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</si>
  <si>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</si>
  <si>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</si>
  <si>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</si>
  <si>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</si>
  <si>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</si>
  <si>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</si>
  <si>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</si>
  <si>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</si>
  <si>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</si>
  <si>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</si>
  <si>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</si>
  <si>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</si>
  <si>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</si>
  <si>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</si>
  <si>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</si>
  <si>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</si>
  <si>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</si>
  <si>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</si>
  <si>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</si>
  <si>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</si>
  <si>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</si>
  <si>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</si>
  <si>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</si>
  <si>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</si>
  <si>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</si>
  <si>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</si>
  <si>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</si>
  <si>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</si>
  <si>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</si>
  <si>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</si>
  <si>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</si>
  <si>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</si>
  <si>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</si>
  <si>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</si>
  <si>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</si>
  <si>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</si>
  <si>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</si>
  <si>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</si>
  <si>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</si>
  <si>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</si>
  <si>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</si>
  <si>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</si>
  <si>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</si>
  <si>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</si>
  <si>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</si>
  <si>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</si>
  <si>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</si>
  <si>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</si>
  <si>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</si>
  <si>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</si>
  <si>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</si>
  <si>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</si>
  <si>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</si>
  <si>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</si>
  <si>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</si>
  <si>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</si>
  <si>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</si>
  <si>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</si>
  <si>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</si>
  <si>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</si>
  <si>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</si>
  <si>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</si>
  <si>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</si>
  <si>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</si>
  <si>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</si>
  <si>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</si>
  <si>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</si>
  <si>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</si>
  <si>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</si>
  <si>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</si>
  <si>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</si>
  <si>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</si>
  <si>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</si>
  <si>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</si>
  <si>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</si>
  <si>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</si>
  <si>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</si>
  <si>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</si>
  <si>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</si>
  <si>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</si>
  <si>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</si>
  <si>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</si>
  <si>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</si>
  <si>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</si>
  <si>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</si>
  <si>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</si>
  <si>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</si>
  <si>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</si>
  <si>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</si>
  <si>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</si>
  <si>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</si>
  <si>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</si>
  <si>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</si>
  <si>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</si>
  <si>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</si>
  <si>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</si>
  <si>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</si>
  <si>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</si>
  <si>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</si>
  <si>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</si>
  <si>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</si>
  <si>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</si>
  <si>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</si>
  <si>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</si>
  <si>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</si>
  <si>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</si>
  <si>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</si>
  <si>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</si>
  <si>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</si>
  <si>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</si>
  <si>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</si>
  <si>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</si>
  <si>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</si>
  <si>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</si>
  <si>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</si>
  <si>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</si>
  <si>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</si>
  <si>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</si>
  <si>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</si>
  <si>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</si>
  <si>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</si>
  <si>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</si>
  <si>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</si>
  <si>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</si>
  <si>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</si>
  <si>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</si>
  <si>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</si>
  <si>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</si>
  <si>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</si>
  <si>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</si>
  <si>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</si>
  <si>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</si>
  <si>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</si>
  <si>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</si>
  <si>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</si>
  <si>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</si>
  <si>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</si>
  <si>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</si>
  <si>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</si>
  <si>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</si>
  <si>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</si>
  <si>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</si>
  <si>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</si>
  <si>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</si>
  <si>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</si>
  <si>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</si>
  <si>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</si>
  <si>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</si>
  <si>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</si>
  <si>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</si>
  <si>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</si>
  <si>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</si>
  <si>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</si>
  <si>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</si>
  <si>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</si>
  <si>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</si>
  <si>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</si>
  <si>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</si>
  <si>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</si>
  <si>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</si>
  <si>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</si>
  <si>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</si>
  <si>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</si>
  <si>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</si>
  <si>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</si>
  <si>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</si>
  <si>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</si>
  <si>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</si>
  <si>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</si>
  <si>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</si>
  <si>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</si>
  <si>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</si>
  <si>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</si>
  <si>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</si>
  <si>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</si>
  <si>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</si>
  <si>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</si>
  <si>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</si>
  <si>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</si>
  <si>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</si>
  <si>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</si>
  <si>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</si>
  <si>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</si>
  <si>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</si>
  <si>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</si>
  <si>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</si>
  <si>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</si>
  <si>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</si>
  <si>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</si>
  <si>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</si>
  <si>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</si>
  <si>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</si>
  <si>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</si>
  <si>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</si>
  <si>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</si>
  <si>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</si>
  <si>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</si>
  <si>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</si>
  <si>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</si>
  <si>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</si>
  <si>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</si>
  <si>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</si>
  <si>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</si>
  <si>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</si>
  <si>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</si>
  <si>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VEA (juni 2013)</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</si>
  <si>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</si>
  <si>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</si>
  <si>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</si>
  <si>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</si>
  <si>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</si>
  <si>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</si>
  <si>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</si>
  <si>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</si>
  <si>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</si>
  <si>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</si>
  <si>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</si>
  <si>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</si>
  <si>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</si>
  <si>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</si>
  <si>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</si>
  <si>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</si>
  <si>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</si>
  <si>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</si>
  <si>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</si>
  <si>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</si>
  <si>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</si>
  <si>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</si>
  <si>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</si>
  <si>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</si>
  <si>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</si>
  <si>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</si>
  <si>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</si>
  <si>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</si>
  <si>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</si>
  <si>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</si>
  <si>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</si>
  <si>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</si>
  <si>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</si>
  <si>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</si>
  <si>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</si>
  <si>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</si>
  <si>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</si>
  <si>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</si>
  <si>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</si>
  <si>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</si>
  <si>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</si>
  <si>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</si>
  <si>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</si>
  <si>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</si>
  <si>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</si>
  <si>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</si>
  <si>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</si>
  <si>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</si>
  <si>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</si>
  <si>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</si>
  <si>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</si>
  <si>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</si>
  <si>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</si>
  <si>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</si>
  <si>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</si>
  <si>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</si>
  <si>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</si>
  <si>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</si>
  <si>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</si>
  <si>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</si>
  <si>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</si>
  <si>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</si>
  <si>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</si>
  <si>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</si>
  <si>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</si>
  <si>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</si>
  <si>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</si>
  <si>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</si>
  <si>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</si>
  <si>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</si>
  <si>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</si>
  <si>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</si>
  <si>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</si>
  <si>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</si>
  <si>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</si>
  <si>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</si>
  <si>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</si>
  <si>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</si>
  <si>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</si>
  <si>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</si>
  <si>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</si>
  <si>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</si>
  <si>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</si>
  <si>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</si>
  <si>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</si>
  <si>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</si>
  <si>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</si>
  <si>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</si>
  <si>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</si>
  <si>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</si>
  <si>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</si>
  <si>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</si>
  <si>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</si>
  <si>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</si>
  <si>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</si>
  <si>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</si>
  <si>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</si>
  <si>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</si>
  <si>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</si>
  <si>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</si>
  <si>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</si>
  <si>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</si>
  <si>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</si>
  <si>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</si>
  <si>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</si>
  <si>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</si>
  <si>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</si>
  <si>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</si>
  <si>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</si>
  <si>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</si>
  <si>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</si>
  <si>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</si>
  <si>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</si>
  <si>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</si>
  <si>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</si>
  <si>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</si>
  <si>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</si>
  <si>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</si>
  <si>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</si>
  <si>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</si>
  <si>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</si>
  <si>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</si>
  <si>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</si>
  <si>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</si>
  <si>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</si>
  <si>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</si>
  <si>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</si>
  <si>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</si>
  <si>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</si>
  <si>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</si>
  <si>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</si>
  <si>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</si>
  <si>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</si>
  <si>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</si>
  <si>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</si>
  <si>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</si>
  <si>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</si>
  <si>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</si>
  <si>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</si>
  <si>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</si>
  <si>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</si>
  <si>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</si>
  <si>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</si>
  <si>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</si>
  <si>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</si>
  <si>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</si>
  <si>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</si>
  <si>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</si>
  <si>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</si>
  <si>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</si>
  <si>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</si>
  <si>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</si>
  <si>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</si>
  <si>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</si>
  <si>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</si>
  <si>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</si>
  <si>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</si>
  <si>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</si>
  <si>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</si>
  <si>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</si>
  <si>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</si>
  <si>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</si>
  <si>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</si>
  <si>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</si>
  <si>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</si>
  <si>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</si>
  <si>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</si>
  <si>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</si>
  <si>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</si>
  <si>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</si>
  <si>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</si>
  <si>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</si>
  <si>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</si>
  <si>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</si>
  <si>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</si>
  <si>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</si>
  <si>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</si>
  <si>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</si>
  <si>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</si>
  <si>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</si>
  <si>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</si>
  <si>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</si>
  <si>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</si>
  <si>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</si>
  <si>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</si>
  <si>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</si>
  <si>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</si>
  <si>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</si>
  <si>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</si>
  <si>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</si>
  <si>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</si>
  <si>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</si>
  <si>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</si>
  <si>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</si>
  <si>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</si>
  <si>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</si>
  <si>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</si>
  <si>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</si>
  <si>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</si>
  <si>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</si>
  <si>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</si>
  <si>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</si>
  <si>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</si>
  <si>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</si>
  <si>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</si>
  <si>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</si>
  <si>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</si>
  <si>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</si>
  <si>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</si>
  <si>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</si>
  <si>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</si>
  <si>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</si>
  <si>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</si>
  <si>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</si>
  <si>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</si>
  <si>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</si>
  <si>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</si>
  <si>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</si>
  <si>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</si>
  <si>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</si>
  <si>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</si>
  <si>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</si>
  <si>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</si>
  <si>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</si>
  <si>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</si>
  <si>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</si>
  <si>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</si>
  <si>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</si>
  <si>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</si>
  <si>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VLM</t>
  </si>
  <si>
    <t>gemeentestatistieken gegevens mestbank</t>
  </si>
  <si>
    <t>kopie van cel B35 of eigen gegevens</t>
  </si>
  <si>
    <t>kopie van cel B27 of eigen gegevens</t>
  </si>
  <si>
    <t>data!A29</t>
  </si>
  <si>
    <t>uitbreiding formule niet-energie gerelateerde emissies landbouw met diercategorie "paarden&amp;pony's" en "ezels"</t>
  </si>
  <si>
    <t>toevoeging diercategorie "paarden&amp;pony's" en "ezels"</t>
  </si>
  <si>
    <t>landbouw!B26</t>
  </si>
  <si>
    <t>De Lijn (2012)</t>
  </si>
  <si>
    <t>Aantal voertuigkm per gemeente en per weg voor 2012 en 2020</t>
  </si>
  <si>
    <t>Landbouw, bosbouw, visserij</t>
  </si>
  <si>
    <t>OVERIGE NIET-ENERGIEGERELATEERD</t>
  </si>
  <si>
    <t>extra rij voor landbouw (niet meer meegerekend bij tertiaire sector!) en extra kolom voor % hernieuwbare energieproductie</t>
  </si>
  <si>
    <t>SEAP template'!A1</t>
  </si>
  <si>
    <t>industrie (niet-ETS)</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</si>
  <si>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</si>
  <si>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</si>
  <si>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</si>
  <si>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</si>
  <si>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</si>
  <si>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</si>
  <si>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</si>
  <si>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</si>
  <si>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</si>
  <si>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</si>
  <si>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</si>
  <si>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</si>
  <si>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Eigen Warmte Pomp en Zonneboilers Bestaande Bouw</t>
  </si>
  <si>
    <t>ZB</t>
  </si>
  <si>
    <t>WP</t>
  </si>
  <si>
    <t>Eigen gebouwen'!B24</t>
  </si>
  <si>
    <t>verwijzing naar aantal eigen zonneboilers en warmtepompen bestaande gebouwen in rekenblad "data" - deze cijfers mogen overschreven worden!</t>
  </si>
  <si>
    <t>2011_01</t>
  </si>
  <si>
    <t>aanpassing energieconsumptiefactor trams (: 1000)</t>
  </si>
  <si>
    <t>ECF transport '!F66</t>
  </si>
  <si>
    <t>2011_02</t>
  </si>
  <si>
    <r>
      <t>aanpassing formule N57/(N57+O</t>
    </r>
    <r>
      <rPr>
        <strike/>
        <sz val="11"/>
        <color rgb="FFFF0000"/>
        <rFont val="Calibri"/>
        <family val="2"/>
        <scheme val="minor"/>
      </rPr>
      <t>N</t>
    </r>
    <r>
      <rPr>
        <sz val="11"/>
        <color theme="1"/>
        <rFont val="Calibri"/>
        <family val="2"/>
        <scheme val="minor"/>
      </rPr>
      <t>57) =&gt; N57/(N57+O57)</t>
    </r>
  </si>
  <si>
    <t>lokale energieproductie'!C97</t>
  </si>
  <si>
    <t>2011_03</t>
  </si>
  <si>
    <r>
      <t>aantal geïnstalleerd = aantalZB_NB_wonen+aantalZB_NB_wonen_met_kantoor+</t>
    </r>
    <r>
      <rPr>
        <b/>
        <sz val="11"/>
        <color theme="1"/>
        <rFont val="Calibri"/>
        <family val="2"/>
        <scheme val="minor"/>
      </rPr>
      <t>data!B125</t>
    </r>
    <r>
      <rPr>
        <sz val="11"/>
        <color theme="1"/>
        <rFont val="Calibri"/>
        <family val="2"/>
        <scheme val="minor"/>
      </rPr>
      <t xml:space="preserve"> in plaats van data!B119</t>
    </r>
  </si>
  <si>
    <t>huishoudens!B68</t>
  </si>
  <si>
    <r>
      <t>aantal geïnstalleerd=aantalWP_NB_ander+antalWP_NB_ander_met_kantoor+aantalWP_NB_kantoor+aantalWP_NB_school+data!B127</t>
    </r>
    <r>
      <rPr>
        <b/>
        <sz val="11"/>
        <color rgb="FFFF0000"/>
        <rFont val="Calibri"/>
        <family val="2"/>
        <scheme val="minor"/>
      </rPr>
      <t xml:space="preserve"> in plaats van data!B121</t>
    </r>
  </si>
  <si>
    <t>tertiair!B46</t>
  </si>
  <si>
    <r>
      <t xml:space="preserve">61254838 </t>
    </r>
    <r>
      <rPr>
        <u val="singleAccounting"/>
        <sz val="11"/>
        <color theme="1"/>
        <rFont val="Calibri"/>
        <family val="2"/>
        <scheme val="minor"/>
      </rPr>
      <t>are</t>
    </r>
    <r>
      <rPr>
        <sz val="11"/>
        <color theme="1"/>
        <rFont val="Calibri"/>
        <family val="2"/>
        <scheme val="minor"/>
      </rPr>
      <t xml:space="preserve"> cultuurgrond in Vlaanderen in plaats van 133675845 are in België</t>
    </r>
  </si>
  <si>
    <t>are_N2O bodem landbouw'!B5</t>
  </si>
  <si>
    <t>2011_04</t>
  </si>
  <si>
    <t xml:space="preserve">correctie elektriciteitverbruik huishoudens voor PV (aanname: terugdraaiende teller; alle PV &lt;= 10 kWp toegekend aan sector huishoudens) </t>
  </si>
  <si>
    <t>huishoudens!B6</t>
  </si>
  <si>
    <t>bijkomende formule toegevoegd voor berekening warmte productie zonneboilers en warmtepompen sector "eigen gebouwen" (rij B27 en rij B35)</t>
  </si>
  <si>
    <t>Eigen gebouwen'!B27</t>
  </si>
  <si>
    <t>gegevens landbouw Mestbank (februari 2014) in plaats van Statbel</t>
  </si>
  <si>
    <t>data!A1</t>
  </si>
  <si>
    <t>2011_05</t>
  </si>
  <si>
    <t>formaat cellen met NIS-code, post-code en datum aangepast</t>
  </si>
  <si>
    <t>lokale energieproductie'!A1</t>
  </si>
  <si>
    <t>voorbeeld cijfers voor eigen gebouwen verwijderd want zorgt voor verwarring (geeft indruk dat dit gemeente specifieke cijfers zijn)</t>
  </si>
  <si>
    <t>Eigen gebouwen'!A1</t>
  </si>
  <si>
    <t>2011_06</t>
  </si>
  <si>
    <t>rij 14 en rij 15 verwijderd (kopie van rij 12 en 13)</t>
  </si>
  <si>
    <t>INPUT--&gt;'!A14</t>
  </si>
  <si>
    <t>oranje markering in cel B40 verwijderd (warmte/stoom net gekoppeld aan verbranding afval moet gerapporteerd worden onder afvalverbranding)</t>
  </si>
  <si>
    <t>Eigen informatie GS &amp; warmtenet'!B40</t>
  </si>
  <si>
    <t>conversiefactoren transport brandstoffen kg =&gt; MWh toegevoegd</t>
  </si>
  <si>
    <t>Conversiefactoren!A1</t>
  </si>
  <si>
    <t>2011_07</t>
  </si>
  <si>
    <t>VMM (2013)</t>
  </si>
  <si>
    <r>
      <t>sheet met resultaten inventaris voor</t>
    </r>
    <r>
      <rPr>
        <b/>
        <sz val="11"/>
        <color rgb="FF009999"/>
        <rFont val="Calibri"/>
        <family val="2"/>
        <scheme val="minor"/>
      </rPr>
      <t xml:space="preserve"> 2011</t>
    </r>
    <r>
      <rPr>
        <sz val="11"/>
        <color theme="1"/>
        <rFont val="Calibri"/>
        <family val="2"/>
        <scheme val="minor"/>
      </rPr>
      <t>, weergegeven in SEAP template</t>
    </r>
  </si>
  <si>
    <t>Nulmeting 2011</t>
  </si>
  <si>
    <t>SEAP template met inventaris voor 2011</t>
  </si>
  <si>
    <t>Energiebalans Vlaanderen voor 2011 voor sector huishoudens, tertiair, industrie (niet-ETS) en landbouw</t>
  </si>
  <si>
    <t>Bron: N2O-model (VMM, 2013)</t>
  </si>
  <si>
    <t>aantal huishoudens 2011</t>
  </si>
  <si>
    <t>aantal afnemers aardgas 2011</t>
  </si>
  <si>
    <t>aantallen 2011 voor hoofdverwarming</t>
  </si>
  <si>
    <t>aantallen 2011 voor bijverwarming</t>
  </si>
  <si>
    <t>MWh hoofdverw/hh (2011)</t>
  </si>
  <si>
    <t>MWh bijverwarming/hh (2011)</t>
  </si>
  <si>
    <t>inschatting type energiedrager 2011</t>
  </si>
  <si>
    <t>VITO Energiebalans Vlaanderen (juni, 2013)</t>
  </si>
  <si>
    <t>Verbruik aardgas en elektriciteit per gemeente en NACE-code voor 2011</t>
  </si>
  <si>
    <t>Verbruik aardgas en elektriciteit per gemeente en NACE-code  voor 2011</t>
  </si>
  <si>
    <t>maart 2013</t>
  </si>
  <si>
    <r>
      <t xml:space="preserve">Deze tool werd ontwikkeld door VITO in opdracht van de Vlaamse Overheid, Departement  Leefmilieu, Natuur en Energie  (Afdeling Milieu-, Natuur- en Energiebeleid). Deze tool moet steden en gemeenten in Vlaanderen ondersteunen bij de opmaak van een “baseline emission inventory” (BEI) en "monitoring emission inventory" (MEI) zoals gedefinieerd onder het Covenant of Mayors (CoM). Het referentiejaar in deze tool is het </t>
    </r>
    <r>
      <rPr>
        <b/>
        <sz val="11"/>
        <color rgb="FF009999"/>
        <rFont val="Calibri"/>
        <family val="2"/>
        <scheme val="minor"/>
      </rPr>
      <t>jaar 2011</t>
    </r>
    <r>
      <rPr>
        <sz val="11"/>
        <color theme="1"/>
        <rFont val="Calibri"/>
        <family val="2"/>
        <scheme val="minor"/>
      </rPr>
      <t xml:space="preserve">.
</t>
    </r>
  </si>
  <si>
    <t xml:space="preserve">Tool Ondersteuning Burgemeestersconvenant - Deel 1: Emission Inventory </t>
  </si>
  <si>
    <t>transport!C38</t>
  </si>
  <si>
    <t>transport!C81</t>
  </si>
  <si>
    <t>transport!D35</t>
  </si>
  <si>
    <t>transport!D78</t>
  </si>
  <si>
    <t>transport!K26</t>
  </si>
  <si>
    <t>E85</t>
  </si>
  <si>
    <t xml:space="preserve"> aanpassing gegevens biobrandstoffen voor 2011 voor particulier vervoer: nu gegevens in kg% ipv l%; dichtheden gewist: A32:E47</t>
  </si>
  <si>
    <t>aanpassing gegevens biobrandstoffen voor 2011 voor openbaar vervoer: nu gegevens in kg% ipv l%; dichtheden gewist: A77:E82</t>
  </si>
  <si>
    <t xml:space="preserve"> aanpassing omzettingsfactoren kg/J naar COPERT-omzettingsfactoren: voor particulier vervoer: D35:36 en D42:D43</t>
  </si>
  <si>
    <t xml:space="preserve"> aanpassing omzettingsfactoren kg/J naar COPERT-omzettingsfactoren: voor openbaar vervoer: D78:D79</t>
  </si>
  <si>
    <t>transport!H6</t>
  </si>
  <si>
    <t xml:space="preserve"> toevoeging brandstoftechnologie E85 aan berekeningen energieverbruik: 15% benzine + 85% bioethanol: H6:H14 en M6:M14 - enkel personenwagens</t>
  </si>
  <si>
    <t>transport!B27</t>
  </si>
  <si>
    <t xml:space="preserve"> update formule zwaar vrachtvervoer: ook benzine nu!: H8, H11, H14</t>
  </si>
  <si>
    <t>transport!H8</t>
  </si>
  <si>
    <t xml:space="preserve"> toevoeging brandstoftechnologie petrol voor zware vrachtwagens aan ECF transport: A70:F72</t>
  </si>
  <si>
    <t>transport!A70</t>
  </si>
  <si>
    <t xml:space="preserve"> toevoeging brandstoftechnologie E85 voor personenwagens aan ECF transport: A67:F69</t>
  </si>
  <si>
    <t xml:space="preserve"> update ECF naar ECF COPERT 2011</t>
  </si>
  <si>
    <t>ECF transport '!A1</t>
  </si>
  <si>
    <t>ECF transport '!A67</t>
  </si>
  <si>
    <t xml:space="preserve"> toevoeging brandstoftechnologie E85 aan verdeelsleutel voertuigkm over brandstoftechnologieën</t>
  </si>
  <si>
    <t xml:space="preserve"> update verdeelsleutel voertuigkm over brandstoftechnologieën B27:K29</t>
  </si>
  <si>
    <t>COPERT</t>
  </si>
  <si>
    <t xml:space="preserve"> Update conversiefactoren transport</t>
  </si>
  <si>
    <t>Conversiefactoren!E28</t>
  </si>
  <si>
    <t>informatie over eigen organisatie zelf invullen; default waardes zonneboilers en warmtepompen kunnen vervangen worden door eigen waardes</t>
  </si>
  <si>
    <t>aanpassing formules die verwijzen naar tabel C en tabel D SEAP template</t>
  </si>
  <si>
    <t>EF ele_warmte'!B4</t>
  </si>
  <si>
    <t>2011_08</t>
  </si>
  <si>
    <t>aanpassing emissiefactoren per diercategorie</t>
  </si>
  <si>
    <t>aanpassing emissies bodem</t>
  </si>
  <si>
    <t>zeevisserij uit Energiebalans Vlaanderen</t>
  </si>
  <si>
    <t>aanpassing ECF bussen (ruraal in plaats van stedelijk)</t>
  </si>
  <si>
    <t>ECF transport '!F64</t>
  </si>
  <si>
    <t>EF N2O_CH4 landbouw'!A1</t>
  </si>
  <si>
    <t>ha_N2O bodem landbouw'!A1</t>
  </si>
  <si>
    <t>E Balans VL '!A1</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</si>
  <si>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</si>
  <si>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</si>
  <si>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</si>
  <si>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</si>
  <si>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</si>
  <si>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</si>
  <si>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transport!A1</t>
  </si>
  <si>
    <t>2011_09</t>
  </si>
  <si>
    <t>Index</t>
  </si>
  <si>
    <t>Lichte voertuigen</t>
  </si>
  <si>
    <t>Lichte voertuigen_Genummerde wegen</t>
  </si>
  <si>
    <t>Zware voertuigen</t>
  </si>
  <si>
    <t>Zware voertuigen_Genummerde wegen</t>
  </si>
  <si>
    <t>Lichte voertuigen_Niet-genummerde wegen</t>
  </si>
  <si>
    <t>Zware voertuigen_Niet-genummerde wegen</t>
  </si>
  <si>
    <t>Lichte voertuigen_Snelwegen</t>
  </si>
  <si>
    <t>Zware voertuigen_Snelwegen</t>
  </si>
  <si>
    <t>BUS</t>
  </si>
  <si>
    <t>snelwegen</t>
  </si>
  <si>
    <t>Petrol Hybrid</t>
  </si>
  <si>
    <t>DIESEL</t>
  </si>
  <si>
    <t>DIESEL HYBRID CS</t>
  </si>
  <si>
    <t>DIESEL HYBRID PHEV</t>
  </si>
  <si>
    <t>ELECTRIC</t>
  </si>
  <si>
    <t>FUEL CELL H2</t>
  </si>
  <si>
    <t>PETROL</t>
  </si>
  <si>
    <t>PETROL HYBRID CS</t>
  </si>
  <si>
    <t>PETROL HYBRID PHEV</t>
  </si>
  <si>
    <t>Bron: CH4 vee-model  (VMM, 2015)</t>
  </si>
  <si>
    <t>2011_10</t>
  </si>
  <si>
    <t>Cultuurgrond (ha)</t>
  </si>
  <si>
    <t>2011_11</t>
  </si>
  <si>
    <t>transport!A21</t>
  </si>
  <si>
    <t>transport!A28</t>
  </si>
  <si>
    <t>MOW</t>
  </si>
  <si>
    <t>november 2016</t>
  </si>
  <si>
    <t>departement Mobiliteit en Openbare Werken</t>
  </si>
  <si>
    <t>Veerle Mertens</t>
  </si>
  <si>
    <t>Katrijn Vos</t>
  </si>
  <si>
    <t>Kaat Jespers</t>
  </si>
  <si>
    <t>014 / 33 58 48</t>
  </si>
  <si>
    <t>kaat.jespers@vito.be</t>
  </si>
  <si>
    <t>Ynte Vanderhoydonc</t>
  </si>
  <si>
    <t>03 / 224 96 16</t>
  </si>
  <si>
    <t>ynte.vanderhoydonc@mow.vlaanderen.be</t>
  </si>
  <si>
    <t>016 / 62 98 52</t>
  </si>
  <si>
    <t>veerle.mertens@infrax.be</t>
  </si>
  <si>
    <t xml:space="preserve">02 / 543 73 34 </t>
  </si>
  <si>
    <t>katrijn.vos@vlm.be</t>
  </si>
  <si>
    <t>Caroline De Bosscher</t>
  </si>
  <si>
    <t xml:space="preserve">053 / 72 66 55 </t>
  </si>
  <si>
    <t xml:space="preserve">c.debosscher@vmm.be </t>
  </si>
  <si>
    <t>Wilfrid Degroot</t>
  </si>
  <si>
    <t>015 / 408 791</t>
  </si>
  <si>
    <t>Wilfrid.degroot@delijn.be</t>
  </si>
  <si>
    <t>standaardwaardes in COPERT-tool</t>
  </si>
  <si>
    <t>referentietaak LNE</t>
  </si>
  <si>
    <t>doorrekeningen openbaar vervoer door VITO in kader van referentietaak LNE</t>
  </si>
  <si>
    <t>Marlies Vanhulsel</t>
  </si>
  <si>
    <t>014 / 33 59 52</t>
  </si>
  <si>
    <t>marlies.vanhulsel@vito.be</t>
  </si>
  <si>
    <t>Jaarverslag De Lijn</t>
  </si>
  <si>
    <t>Jaarverslag van De Lijn</t>
  </si>
  <si>
    <t>https://www.vlaanderen.be/nl/publicaties/detail/jaarverslag-de-lijn</t>
  </si>
  <si>
    <t>2011_12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</si>
  <si>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</si>
  <si>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</si>
  <si>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</si>
  <si>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</si>
  <si>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</si>
  <si>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</si>
  <si>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</si>
  <si>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</si>
  <si>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</si>
  <si>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</si>
  <si>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</si>
  <si>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2017</t>
  </si>
  <si>
    <t>JRC (2017)</t>
  </si>
  <si>
    <t>Covenant of Mayors for Climate and Energy: default emission factors for local emission inventories (2017)-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</si>
  <si>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</si>
  <si>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</si>
  <si>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</si>
  <si>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</si>
  <si>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</si>
  <si>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Aantal zonnecollectoren en warmtepompen per gemeente, indienjaar en functie op basis van EPB aangifte</t>
  </si>
  <si>
    <t>maart 2018</t>
  </si>
  <si>
    <t>Vermogen PV, windturbine en waterkracht per gemeente en per jaar</t>
  </si>
  <si>
    <t>K. Jespers</t>
  </si>
  <si>
    <t>totale netto-elektriciteitsproductie PV en windturbines in Vlaanderen</t>
  </si>
  <si>
    <t>VREG</t>
  </si>
  <si>
    <t>Aantal productie-installaties en geïnstalleerd vermogen per technologie en per gemeente dat in aanmerking komt voor warmtekrachtcertificaten</t>
  </si>
  <si>
    <t>http://www.vreg.be/nl/warmte-krachtkoppeling</t>
  </si>
  <si>
    <t>Aantal productie-installaties en geïnstalleerd vermogen per technologie en per gemeente dat in aanmerking komt voor groenestroomcertificaten</t>
  </si>
  <si>
    <t>http://www.vreg.be/statistieken-groene-stroom</t>
  </si>
  <si>
    <t>2012</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</si>
  <si>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</si>
  <si>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</si>
  <si>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</si>
  <si>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</si>
  <si>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</si>
  <si>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</si>
  <si>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</si>
  <si>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</si>
  <si>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</si>
  <si>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</si>
  <si>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</si>
  <si>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</si>
  <si>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L6 en N6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</si>
  <si>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</si>
  <si>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</si>
  <si>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</si>
  <si>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</si>
  <si>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</si>
  <si>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</si>
  <si>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</si>
  <si>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</si>
  <si>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</si>
  <si>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</si>
  <si>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</si>
  <si>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</si>
  <si>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</si>
  <si>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</si>
  <si>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</si>
  <si>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</si>
  <si>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</si>
  <si>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</si>
  <si>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</si>
  <si>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</si>
  <si>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</si>
  <si>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</si>
  <si>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</si>
  <si>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</si>
  <si>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</si>
  <si>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</si>
  <si>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</si>
  <si>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</si>
  <si>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</si>
  <si>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</si>
  <si>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</si>
  <si>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</si>
  <si>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</si>
  <si>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</si>
  <si>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2011_13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</si>
  <si>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</si>
  <si>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</si>
  <si>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Geothermische energie</t>
  </si>
  <si>
    <t>zonnethermische energie</t>
  </si>
  <si>
    <t>geothermische energie</t>
  </si>
  <si>
    <t>Gebouwen, installaties/voorzieningen niet toegekend</t>
  </si>
  <si>
    <t>Vervoer niet toegekend</t>
  </si>
  <si>
    <t>Overige niet toegekend</t>
  </si>
  <si>
    <t>Subtotaal overige</t>
  </si>
  <si>
    <t>waarvan niet-hernieuwbaar</t>
  </si>
  <si>
    <t>verbruik aangeleverd door netbeheerders</t>
  </si>
  <si>
    <t>niet toegekend</t>
  </si>
  <si>
    <t>2011_14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</si>
  <si>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</si>
  <si>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</si>
  <si>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</si>
  <si>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</si>
  <si>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</si>
  <si>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</si>
  <si>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</si>
  <si>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</si>
  <si>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</si>
  <si>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</si>
  <si>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</si>
  <si>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</si>
  <si>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</si>
  <si>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</si>
  <si>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</si>
  <si>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</si>
  <si>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</si>
  <si>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</si>
  <si>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</si>
  <si>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</si>
  <si>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</si>
  <si>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</si>
  <si>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</si>
  <si>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2011_15</t>
  </si>
  <si>
    <t>2011_16</t>
  </si>
  <si>
    <t>verwijderen cijfers voor 2020 in tabblad data</t>
  </si>
  <si>
    <t>aanpassing namen cellen in rekenblad data zodat er geen verwijzing is naar het jaar 2011</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</si>
  <si>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</si>
  <si>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</si>
  <si>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</si>
  <si>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</si>
  <si>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</si>
  <si>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</si>
  <si>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</si>
  <si>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</si>
  <si>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</si>
  <si>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</si>
  <si>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</si>
  <si>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</si>
  <si>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</si>
  <si>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</si>
  <si>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</si>
  <si>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 huishoudens (hoofdverwarming, bijverwarming)</t>
  </si>
  <si>
    <t>huishoudens!B54</t>
  </si>
  <si>
    <t>versie: 2011_16</t>
  </si>
  <si>
    <t>NIET RESIDENTIEEL EPN</t>
  </si>
  <si>
    <t>31043</t>
  </si>
  <si>
    <t>KNOKKE-HEIST</t>
  </si>
  <si>
    <t>Paarden&amp;pony's 200 - 600 kg</t>
  </si>
  <si>
    <t>Paarden&amp;pony's &lt; 200 kg</t>
  </si>
  <si>
    <t>Fluvius</t>
  </si>
  <si>
    <t xml:space="preserve">Bron: </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</si>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</sst>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
    <numFmt numFmtId="179" formatCode="_-* #,##0_-;\-* #,##0_-;_-* &quot;-&quot;??_-;_-@_-"/>
  </numFmts>
  <fonts count="130">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trike/>
      <sz val="11"/>
      <color rgb="FFFF0000"/>
      <name val="Calibri"/>
      <family val="2"/>
      <scheme val="minor"/>
    </font>
    <font>
      <u val="singleAccounting"/>
      <sz val="11"/>
      <color theme="1"/>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u/>
      <sz val="11"/>
      <name val="Calibri"/>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17">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style="thin">
        <color indexed="8"/>
      </bottom>
      <diagonal/>
    </border>
    <border>
      <left/>
      <right style="thin">
        <color indexed="64"/>
      </right>
      <top style="thin">
        <color theme="0"/>
      </top>
      <bottom style="thin">
        <color theme="0"/>
      </bottom>
      <diagonal/>
    </border>
    <border>
      <left/>
      <right style="thin">
        <color theme="0"/>
      </right>
      <top/>
      <bottom/>
      <diagonal/>
    </border>
    <border>
      <left/>
      <right style="thin">
        <color theme="0"/>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407">
    <xf numFmtId="170" fontId="0" fillId="0" borderId="0"/>
    <xf numFmtId="170" fontId="3" fillId="0" borderId="0" applyNumberFormat="0" applyFill="0" applyBorder="0" applyAlignment="0" applyProtection="0"/>
    <xf numFmtId="170" fontId="4" fillId="0" borderId="0"/>
    <xf numFmtId="170" fontId="9" fillId="0" borderId="0"/>
    <xf numFmtId="170" fontId="9" fillId="0" borderId="0"/>
    <xf numFmtId="170" fontId="15" fillId="0" borderId="0"/>
    <xf numFmtId="4" fontId="25" fillId="5" borderId="20">
      <alignment horizontal="right" vertical="center"/>
    </xf>
    <xf numFmtId="170" fontId="16" fillId="6" borderId="21" applyFont="0" applyBorder="0">
      <alignment vertical="center"/>
    </xf>
    <xf numFmtId="170" fontId="26" fillId="7" borderId="0" applyNumberFormat="0" applyBorder="0" applyAlignment="0" applyProtection="0"/>
    <xf numFmtId="170" fontId="27" fillId="0" borderId="0" applyNumberFormat="0" applyAlignment="0" applyProtection="0"/>
    <xf numFmtId="168" fontId="16" fillId="0" borderId="15">
      <alignment vertical="center"/>
    </xf>
    <xf numFmtId="168" fontId="16" fillId="0" borderId="15">
      <alignment vertical="center"/>
    </xf>
    <xf numFmtId="168" fontId="16" fillId="0" borderId="15">
      <alignment vertical="center"/>
    </xf>
    <xf numFmtId="164" fontId="4" fillId="0" borderId="0" applyFont="0" applyFill="0" applyBorder="0" applyAlignment="0" applyProtection="0"/>
    <xf numFmtId="170" fontId="9" fillId="8" borderId="0" applyNumberFormat="0" applyBorder="0" applyAlignment="0">
      <protection hidden="1"/>
    </xf>
    <xf numFmtId="170" fontId="28" fillId="0" borderId="0" applyNumberFormat="0" applyFont="0" applyAlignment="0"/>
    <xf numFmtId="41" fontId="9" fillId="0" borderId="0" applyFont="0" applyFill="0" applyBorder="0" applyAlignment="0" applyProtection="0"/>
    <xf numFmtId="43" fontId="9" fillId="0" borderId="0" applyFont="0" applyFill="0" applyBorder="0" applyAlignment="0" applyProtection="0"/>
    <xf numFmtId="170" fontId="9" fillId="0" borderId="0" applyFont="0" applyFill="0" applyBorder="0" applyAlignment="0" applyProtection="0"/>
    <xf numFmtId="170" fontId="29" fillId="0" borderId="0" applyNumberFormat="0" applyFill="0" applyBorder="0" applyAlignment="0" applyProtection="0">
      <alignment vertical="top"/>
      <protection locked="0"/>
    </xf>
    <xf numFmtId="171" fontId="22" fillId="8" borderId="15">
      <alignment horizontal="right" vertical="center"/>
    </xf>
    <xf numFmtId="171" fontId="22" fillId="8" borderId="15">
      <alignment horizontal="right" vertical="center"/>
    </xf>
    <xf numFmtId="171" fontId="22" fillId="8" borderId="15">
      <alignment horizontal="right" vertical="center"/>
    </xf>
    <xf numFmtId="171" fontId="30" fillId="9" borderId="15">
      <alignment horizontal="right" vertical="center"/>
    </xf>
    <xf numFmtId="171" fontId="30" fillId="9" borderId="15">
      <alignment horizontal="right" vertical="center"/>
    </xf>
    <xf numFmtId="171" fontId="30" fillId="9" borderId="15">
      <alignment horizontal="right" vertical="center"/>
    </xf>
    <xf numFmtId="167" fontId="9" fillId="0" borderId="0" applyFont="0" applyFill="0" applyBorder="0" applyAlignment="0" applyProtection="0"/>
    <xf numFmtId="170" fontId="9" fillId="10" borderId="0" applyNumberFormat="0" applyFont="0" applyBorder="0" applyAlignment="0"/>
    <xf numFmtId="41" fontId="31" fillId="0" borderId="0" applyFont="0" applyFill="0" applyBorder="0" applyAlignment="0" applyProtection="0"/>
    <xf numFmtId="43" fontId="31" fillId="0" borderId="0" applyFont="0" applyFill="0" applyBorder="0" applyAlignment="0" applyProtection="0"/>
    <xf numFmtId="165" fontId="31" fillId="0" borderId="0" applyFont="0" applyFill="0" applyBorder="0" applyAlignment="0" applyProtection="0"/>
    <xf numFmtId="166" fontId="31" fillId="0" borderId="0" applyFont="0" applyFill="0" applyBorder="0" applyAlignment="0" applyProtection="0"/>
    <xf numFmtId="170" fontId="32" fillId="0" borderId="0"/>
    <xf numFmtId="170" fontId="9" fillId="0" borderId="0"/>
    <xf numFmtId="170" fontId="32" fillId="0" borderId="0"/>
    <xf numFmtId="170" fontId="15" fillId="0" borderId="0"/>
    <xf numFmtId="170" fontId="9" fillId="0" borderId="0"/>
    <xf numFmtId="4" fontId="25" fillId="0" borderId="15" applyFill="0" applyBorder="0" applyProtection="0">
      <alignment horizontal="right" vertical="center"/>
    </xf>
    <xf numFmtId="170"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0" fontId="9" fillId="0" borderId="0"/>
    <xf numFmtId="170" fontId="33" fillId="1" borderId="23" applyNumberFormat="0" applyProtection="0">
      <alignment horizontal="left" vertical="top"/>
    </xf>
    <xf numFmtId="170" fontId="34" fillId="0" borderId="0"/>
    <xf numFmtId="165"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70" fontId="35" fillId="0" borderId="24">
      <alignment horizontal="left"/>
    </xf>
    <xf numFmtId="9" fontId="4" fillId="0" borderId="0" applyFont="0" applyFill="0" applyBorder="0" applyAlignment="0" applyProtection="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50" fillId="0" borderId="0"/>
    <xf numFmtId="170" fontId="50" fillId="0" borderId="0"/>
    <xf numFmtId="170" fontId="4"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9" fillId="0" borderId="0"/>
    <xf numFmtId="170" fontId="4" fillId="0" borderId="0"/>
    <xf numFmtId="170" fontId="4" fillId="0" borderId="0"/>
    <xf numFmtId="170" fontId="9" fillId="0" borderId="0"/>
    <xf numFmtId="170" fontId="9" fillId="0" borderId="0"/>
    <xf numFmtId="170" fontId="50" fillId="0" borderId="0"/>
    <xf numFmtId="170" fontId="9" fillId="0" borderId="0"/>
    <xf numFmtId="170" fontId="9" fillId="0" borderId="0"/>
    <xf numFmtId="170" fontId="50" fillId="0" borderId="0"/>
    <xf numFmtId="170" fontId="50" fillId="0" borderId="0"/>
    <xf numFmtId="170" fontId="9" fillId="0" borderId="0"/>
    <xf numFmtId="170" fontId="9" fillId="0" borderId="0"/>
    <xf numFmtId="170" fontId="9" fillId="0" borderId="0"/>
    <xf numFmtId="170" fontId="9" fillId="0" borderId="0"/>
    <xf numFmtId="170" fontId="50" fillId="0" borderId="0"/>
    <xf numFmtId="170" fontId="70" fillId="0" borderId="0" applyNumberFormat="0" applyFill="0" applyBorder="0" applyAlignment="0" applyProtection="0">
      <alignment vertical="top"/>
      <protection locked="0"/>
    </xf>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0" fontId="4" fillId="0" borderId="0"/>
    <xf numFmtId="167" fontId="4" fillId="0" borderId="0" applyFont="0" applyFill="0" applyBorder="0" applyAlignment="0" applyProtection="0"/>
    <xf numFmtId="0" fontId="4" fillId="0" borderId="0"/>
    <xf numFmtId="170" fontId="4" fillId="0" borderId="0"/>
    <xf numFmtId="0" fontId="105" fillId="0" borderId="176" applyNumberFormat="0" applyFill="0" applyAlignment="0" applyProtection="0"/>
    <xf numFmtId="0" fontId="106" fillId="26" borderId="0" applyNumberFormat="0" applyBorder="0" applyAlignment="0" applyProtection="0"/>
    <xf numFmtId="0" fontId="107" fillId="27" borderId="0" applyNumberFormat="0" applyBorder="0" applyAlignment="0" applyProtection="0"/>
    <xf numFmtId="0" fontId="108" fillId="28" borderId="0" applyNumberFormat="0" applyBorder="0" applyAlignment="0" applyProtection="0"/>
    <xf numFmtId="0" fontId="109" fillId="29" borderId="177" applyNumberFormat="0" applyAlignment="0" applyProtection="0"/>
    <xf numFmtId="0" fontId="110" fillId="30" borderId="178" applyNumberFormat="0" applyAlignment="0" applyProtection="0"/>
    <xf numFmtId="0" fontId="111" fillId="30" borderId="177" applyNumberFormat="0" applyAlignment="0" applyProtection="0"/>
    <xf numFmtId="0" fontId="112" fillId="0" borderId="179" applyNumberFormat="0" applyFill="0" applyAlignment="0" applyProtection="0"/>
    <xf numFmtId="0" fontId="38"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3" fillId="0" borderId="0" applyNumberFormat="0" applyFill="0" applyBorder="0" applyAlignment="0" applyProtection="0"/>
    <xf numFmtId="0" fontId="6" fillId="0" borderId="182" applyNumberFormat="0" applyFill="0" applyAlignment="0" applyProtection="0"/>
    <xf numFmtId="0" fontId="45"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5" fillId="56" borderId="0" applyNumberFormat="0" applyBorder="0" applyAlignment="0" applyProtection="0"/>
    <xf numFmtId="0" fontId="4" fillId="0" borderId="0"/>
    <xf numFmtId="170" fontId="4" fillId="0" borderId="0"/>
    <xf numFmtId="170" fontId="1" fillId="0" borderId="0" applyNumberFormat="0" applyFill="0" applyBorder="0" applyAlignment="0" applyProtection="0"/>
    <xf numFmtId="170" fontId="2" fillId="0" borderId="1" applyNumberFormat="0" applyFill="0" applyAlignment="0" applyProtection="0"/>
    <xf numFmtId="170" fontId="3" fillId="0" borderId="2" applyNumberFormat="0" applyFill="0" applyAlignment="0" applyProtection="0"/>
    <xf numFmtId="170" fontId="3" fillId="0" borderId="0" applyNumberFormat="0" applyFill="0" applyBorder="0" applyAlignment="0" applyProtection="0"/>
    <xf numFmtId="167" fontId="4" fillId="0" borderId="0" applyFont="0" applyFill="0" applyBorder="0" applyAlignment="0" applyProtection="0"/>
    <xf numFmtId="0" fontId="50" fillId="0" borderId="0"/>
    <xf numFmtId="0" fontId="114" fillId="0" borderId="0"/>
    <xf numFmtId="0" fontId="1" fillId="0" borderId="0" applyNumberFormat="0" applyFill="0" applyBorder="0" applyAlignment="0" applyProtection="0"/>
    <xf numFmtId="0" fontId="115" fillId="0" borderId="176" applyNumberFormat="0" applyFill="0" applyAlignment="0" applyProtection="0"/>
    <xf numFmtId="0" fontId="116" fillId="28" borderId="0" applyNumberFormat="0" applyBorder="0" applyAlignment="0" applyProtection="0"/>
    <xf numFmtId="0" fontId="114" fillId="34" borderId="0" applyNumberFormat="0" applyBorder="0" applyAlignment="0" applyProtection="0"/>
    <xf numFmtId="9" fontId="114" fillId="0" borderId="0" applyFont="0" applyFill="0" applyBorder="0" applyAlignment="0" applyProtection="0"/>
    <xf numFmtId="0" fontId="50" fillId="0" borderId="0"/>
    <xf numFmtId="170" fontId="4" fillId="0" borderId="0"/>
    <xf numFmtId="171" fontId="30" fillId="9" borderId="15">
      <alignment horizontal="right" vertical="center"/>
    </xf>
    <xf numFmtId="171" fontId="30" fillId="9" borderId="15">
      <alignment horizontal="right" vertical="center"/>
    </xf>
    <xf numFmtId="171" fontId="30" fillId="9" borderId="15">
      <alignment horizontal="right" vertical="center"/>
    </xf>
    <xf numFmtId="9" fontId="4" fillId="0" borderId="0" applyFont="0" applyFill="0" applyBorder="0" applyAlignment="0" applyProtection="0"/>
    <xf numFmtId="170" fontId="70" fillId="0" borderId="0" applyNumberFormat="0" applyFill="0" applyBorder="0" applyAlignment="0" applyProtection="0">
      <alignment vertical="top"/>
      <protection locked="0"/>
    </xf>
    <xf numFmtId="9" fontId="50" fillId="0" borderId="0" applyFont="0" applyFill="0" applyBorder="0" applyAlignment="0" applyProtection="0"/>
    <xf numFmtId="170" fontId="4" fillId="0" borderId="0"/>
    <xf numFmtId="170"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5" fillId="0" borderId="183" applyNumberFormat="0" applyFont="0" applyFill="0" applyBorder="0" applyProtection="0">
      <alignment horizontal="left" vertical="center" indent="2"/>
    </xf>
    <xf numFmtId="49" fontId="25" fillId="0" borderId="184" applyNumberFormat="0" applyFont="0" applyFill="0" applyBorder="0" applyProtection="0">
      <alignment horizontal="left" vertical="center" indent="5"/>
    </xf>
    <xf numFmtId="4" fontId="117" fillId="0" borderId="13" applyFill="0" applyBorder="0" applyProtection="0">
      <alignment horizontal="right" vertical="center"/>
    </xf>
    <xf numFmtId="0" fontId="118" fillId="0" borderId="0" applyNumberFormat="0" applyFill="0" applyBorder="0" applyAlignment="0" applyProtection="0"/>
    <xf numFmtId="0" fontId="29"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5" fillId="0" borderId="183" applyFill="0" applyBorder="0" applyProtection="0">
      <alignment horizontal="right" vertical="center"/>
    </xf>
    <xf numFmtId="49" fontId="117" fillId="0" borderId="183" applyNumberFormat="0" applyFill="0" applyBorder="0" applyProtection="0">
      <alignment horizontal="left" vertical="center"/>
    </xf>
    <xf numFmtId="0" fontId="25" fillId="0" borderId="183" applyNumberFormat="0" applyFill="0" applyAlignment="0" applyProtection="0"/>
    <xf numFmtId="0" fontId="119" fillId="58" borderId="0" applyNumberFormat="0" applyFont="0" applyBorder="0" applyAlignment="0" applyProtection="0"/>
    <xf numFmtId="4" fontId="9" fillId="0" borderId="0"/>
    <xf numFmtId="175" fontId="25" fillId="59" borderId="183" applyNumberFormat="0" applyFont="0" applyBorder="0" applyAlignment="0" applyProtection="0">
      <alignment horizontal="right" vertical="center"/>
    </xf>
    <xf numFmtId="0" fontId="50" fillId="0" borderId="0"/>
    <xf numFmtId="0" fontId="9" fillId="0" borderId="0"/>
    <xf numFmtId="4" fontId="9" fillId="0" borderId="0"/>
    <xf numFmtId="0" fontId="50"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0" fontId="4" fillId="0" borderId="0"/>
    <xf numFmtId="170" fontId="33" fillId="1" borderId="188" applyNumberFormat="0" applyProtection="0">
      <alignment horizontal="left" vertical="top"/>
    </xf>
    <xf numFmtId="0" fontId="4" fillId="0" borderId="0"/>
    <xf numFmtId="0" fontId="4" fillId="0" borderId="0"/>
    <xf numFmtId="0" fontId="4" fillId="0" borderId="0"/>
    <xf numFmtId="0" fontId="4" fillId="0" borderId="0"/>
    <xf numFmtId="171" fontId="22" fillId="8" borderId="183">
      <alignment horizontal="right" vertical="center"/>
    </xf>
    <xf numFmtId="168" fontId="16" fillId="0" borderId="209">
      <alignment vertical="center"/>
    </xf>
    <xf numFmtId="49" fontId="25" fillId="0" borderId="209" applyNumberFormat="0" applyFont="0" applyFill="0" applyBorder="0" applyProtection="0">
      <alignment horizontal="left" vertical="center" indent="2"/>
    </xf>
    <xf numFmtId="171" fontId="22" fillId="8" borderId="215">
      <alignment horizontal="right" vertical="center"/>
    </xf>
    <xf numFmtId="171" fontId="30" fillId="9" borderId="211">
      <alignment horizontal="right" vertical="center"/>
    </xf>
    <xf numFmtId="0" fontId="45" fillId="52" borderId="0" applyNumberFormat="0" applyBorder="0" applyAlignment="0" applyProtection="0"/>
    <xf numFmtId="0" fontId="108" fillId="28" borderId="0" applyNumberFormat="0" applyBorder="0" applyAlignment="0" applyProtection="0"/>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209">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0" fontId="33" fillId="1" borderId="212" applyNumberFormat="0" applyProtection="0">
      <alignment horizontal="left" vertical="top"/>
    </xf>
    <xf numFmtId="171" fontId="30" fillId="9" borderId="209">
      <alignment horizontal="right" vertical="center"/>
    </xf>
    <xf numFmtId="171" fontId="22" fillId="8" borderId="215">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5">
      <alignment horizontal="right" vertical="center"/>
    </xf>
    <xf numFmtId="171" fontId="22" fillId="8" borderId="215">
      <alignment horizontal="right" vertical="center"/>
    </xf>
    <xf numFmtId="170" fontId="33" fillId="1" borderId="207"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5">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5">
      <alignment horizontal="right" vertical="center"/>
    </xf>
    <xf numFmtId="0" fontId="25" fillId="0" borderId="209" applyNumberFormat="0" applyFill="0" applyAlignment="0" applyProtection="0"/>
    <xf numFmtId="175" fontId="25" fillId="59" borderId="211" applyNumberFormat="0" applyFont="0" applyBorder="0" applyAlignment="0" applyProtection="0">
      <alignment horizontal="right" vertical="center"/>
    </xf>
    <xf numFmtId="171" fontId="22" fillId="8" borderId="215">
      <alignment horizontal="right" vertical="center"/>
    </xf>
    <xf numFmtId="171" fontId="30" fillId="9" borderId="211">
      <alignment horizontal="right" vertical="center"/>
    </xf>
    <xf numFmtId="171" fontId="22" fillId="8" borderId="215">
      <alignment horizontal="right" vertical="center"/>
    </xf>
    <xf numFmtId="171" fontId="30" fillId="9" borderId="211">
      <alignment horizontal="right" vertical="center"/>
    </xf>
    <xf numFmtId="4" fontId="25" fillId="0" borderId="215" applyFill="0" applyBorder="0" applyProtection="0">
      <alignment horizontal="right" vertical="center"/>
    </xf>
    <xf numFmtId="171" fontId="22" fillId="8" borderId="215">
      <alignment horizontal="right" vertical="center"/>
    </xf>
    <xf numFmtId="171" fontId="22" fillId="8" borderId="213">
      <alignment horizontal="right" vertical="center"/>
    </xf>
    <xf numFmtId="170" fontId="33" fillId="1" borderId="208" applyNumberFormat="0" applyProtection="0">
      <alignment horizontal="left" vertical="top"/>
    </xf>
    <xf numFmtId="171" fontId="30" fillId="9" borderId="211">
      <alignment horizontal="right" vertical="center"/>
    </xf>
    <xf numFmtId="171" fontId="30" fillId="9" borderId="209">
      <alignment horizontal="right" vertical="center"/>
    </xf>
    <xf numFmtId="168" fontId="16" fillId="0" borderId="209">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0" fontId="45" fillId="40" borderId="0" applyNumberFormat="0" applyBorder="0" applyAlignment="0" applyProtection="0"/>
    <xf numFmtId="0" fontId="45" fillId="36" borderId="0" applyNumberFormat="0" applyBorder="0" applyAlignment="0" applyProtection="0"/>
    <xf numFmtId="0" fontId="25" fillId="0" borderId="209" applyNumberFormat="0" applyFill="0" applyAlignment="0" applyProtection="0"/>
    <xf numFmtId="171" fontId="30" fillId="9" borderId="183">
      <alignment horizontal="right" vertical="center"/>
    </xf>
    <xf numFmtId="168" fontId="16" fillId="0" borderId="211">
      <alignment vertical="center"/>
    </xf>
    <xf numFmtId="4" fontId="25" fillId="0" borderId="206" applyFill="0" applyBorder="0" applyProtection="0">
      <alignment horizontal="right" vertical="center"/>
    </xf>
    <xf numFmtId="170" fontId="33" fillId="1" borderId="210" applyNumberFormat="0" applyProtection="0">
      <alignment horizontal="left" vertical="top"/>
    </xf>
    <xf numFmtId="171" fontId="22" fillId="8" borderId="211">
      <alignment horizontal="right" vertical="center"/>
    </xf>
    <xf numFmtId="175" fontId="25" fillId="59" borderId="206" applyNumberFormat="0" applyFont="0" applyBorder="0" applyAlignment="0" applyProtection="0">
      <alignment horizontal="right" vertical="center"/>
    </xf>
    <xf numFmtId="171" fontId="30" fillId="9" borderId="209">
      <alignment horizontal="right" vertical="center"/>
    </xf>
    <xf numFmtId="49" fontId="25" fillId="0" borderId="206" applyNumberFormat="0" applyFont="0" applyFill="0" applyBorder="0" applyProtection="0">
      <alignment horizontal="left" vertical="center" indent="2"/>
    </xf>
    <xf numFmtId="171" fontId="30" fillId="9" borderId="183">
      <alignment horizontal="right" vertical="center"/>
    </xf>
    <xf numFmtId="171" fontId="22" fillId="8" borderId="209">
      <alignment horizontal="right" vertical="center"/>
    </xf>
    <xf numFmtId="171" fontId="30" fillId="9" borderId="211">
      <alignment horizontal="right" vertical="center"/>
    </xf>
    <xf numFmtId="171" fontId="30" fillId="9" borderId="183">
      <alignment horizontal="right" vertical="center"/>
    </xf>
    <xf numFmtId="171" fontId="30" fillId="9" borderId="183">
      <alignment horizontal="right" vertical="center"/>
    </xf>
    <xf numFmtId="0" fontId="25" fillId="0" borderId="206" applyNumberFormat="0" applyFill="0" applyAlignment="0" applyProtection="0"/>
    <xf numFmtId="171" fontId="30" fillId="9" borderId="213">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168" fontId="16" fillId="0" borderId="183">
      <alignment vertical="center"/>
    </xf>
    <xf numFmtId="170" fontId="33" fillId="1" borderId="188" applyNumberFormat="0" applyProtection="0">
      <alignment horizontal="left" vertical="top"/>
    </xf>
    <xf numFmtId="49" fontId="117" fillId="0" borderId="209" applyNumberFormat="0" applyFill="0" applyBorder="0" applyProtection="0">
      <alignment horizontal="left" vertical="center"/>
    </xf>
    <xf numFmtId="0" fontId="25" fillId="0" borderId="211" applyNumberFormat="0" applyFill="0" applyAlignment="0" applyProtection="0"/>
    <xf numFmtId="0" fontId="25" fillId="0" borderId="211" applyNumberFormat="0" applyFill="0" applyAlignment="0" applyProtection="0"/>
    <xf numFmtId="168" fontId="16" fillId="0" borderId="211">
      <alignment vertical="center"/>
    </xf>
    <xf numFmtId="4" fontId="25" fillId="0" borderId="209" applyFill="0" applyBorder="0" applyProtection="0">
      <alignment horizontal="right" vertical="center"/>
    </xf>
    <xf numFmtId="43" fontId="4" fillId="0" borderId="0" applyFont="0" applyFill="0" applyBorder="0" applyAlignment="0" applyProtection="0"/>
    <xf numFmtId="175" fontId="25" fillId="59" borderId="209" applyNumberFormat="0" applyFont="0" applyBorder="0" applyAlignment="0" applyProtection="0">
      <alignment horizontal="right" vertical="center"/>
    </xf>
    <xf numFmtId="168" fontId="16" fillId="0" borderId="211">
      <alignment vertical="center"/>
    </xf>
    <xf numFmtId="168" fontId="16" fillId="0" borderId="183">
      <alignment vertical="center"/>
    </xf>
    <xf numFmtId="170" fontId="33" fillId="1" borderId="208" applyNumberFormat="0" applyProtection="0">
      <alignment horizontal="left" vertical="top"/>
    </xf>
    <xf numFmtId="171" fontId="30" fillId="9" borderId="209">
      <alignment horizontal="right" vertical="center"/>
    </xf>
    <xf numFmtId="49" fontId="117" fillId="0" borderId="206" applyNumberFormat="0" applyFill="0" applyBorder="0" applyProtection="0">
      <alignment horizontal="left" vertical="center"/>
    </xf>
    <xf numFmtId="170" fontId="33" fillId="1" borderId="208" applyNumberFormat="0" applyProtection="0">
      <alignment horizontal="left" vertical="top"/>
    </xf>
    <xf numFmtId="0" fontId="25" fillId="0" borderId="213" applyNumberFormat="0" applyFill="0" applyAlignment="0" applyProtection="0"/>
    <xf numFmtId="168" fontId="16" fillId="0" borderId="209">
      <alignment vertical="center"/>
    </xf>
    <xf numFmtId="171" fontId="30" fillId="9" borderId="215">
      <alignment horizontal="right" vertical="center"/>
    </xf>
    <xf numFmtId="171" fontId="30" fillId="9" borderId="213">
      <alignment horizontal="right" vertical="center"/>
    </xf>
    <xf numFmtId="171" fontId="22" fillId="8" borderId="209">
      <alignment horizontal="right" vertical="center"/>
    </xf>
    <xf numFmtId="0" fontId="45" fillId="44" borderId="0" applyNumberFormat="0" applyBorder="0" applyAlignment="0" applyProtection="0"/>
    <xf numFmtId="0" fontId="45" fillId="56" borderId="0" applyNumberFormat="0" applyBorder="0" applyAlignment="0" applyProtection="0"/>
    <xf numFmtId="0" fontId="45" fillId="48" borderId="0" applyNumberFormat="0" applyBorder="0" applyAlignment="0" applyProtection="0"/>
    <xf numFmtId="168" fontId="16" fillId="0" borderId="211">
      <alignment vertical="center"/>
    </xf>
    <xf numFmtId="171" fontId="30" fillId="9" borderId="215">
      <alignment horizontal="right" vertical="center"/>
    </xf>
    <xf numFmtId="49" fontId="25" fillId="0" borderId="211" applyNumberFormat="0" applyFont="0" applyFill="0" applyBorder="0" applyProtection="0">
      <alignment horizontal="left" vertical="center" indent="2"/>
    </xf>
    <xf numFmtId="168" fontId="16" fillId="0" borderId="209">
      <alignment vertical="center"/>
    </xf>
    <xf numFmtId="170" fontId="4" fillId="0" borderId="0"/>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5" fontId="25" fillId="59" borderId="209"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2" applyNumberFormat="0" applyProtection="0">
      <alignment horizontal="left" vertical="top"/>
    </xf>
    <xf numFmtId="168" fontId="16" fillId="0" borderId="206">
      <alignment vertical="center"/>
    </xf>
    <xf numFmtId="168" fontId="16" fillId="0" borderId="206">
      <alignment vertical="center"/>
    </xf>
    <xf numFmtId="168" fontId="16" fillId="0" borderId="206">
      <alignment vertical="center"/>
    </xf>
    <xf numFmtId="171" fontId="22" fillId="8" borderId="206">
      <alignment horizontal="right" vertical="center"/>
    </xf>
    <xf numFmtId="171" fontId="22" fillId="8" borderId="206">
      <alignment horizontal="righ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68" fontId="16" fillId="0" borderId="213">
      <alignment vertical="center"/>
    </xf>
    <xf numFmtId="49" fontId="25" fillId="0" borderId="206" applyNumberFormat="0" applyFont="0" applyFill="0" applyBorder="0" applyProtection="0">
      <alignment horizontal="left" vertical="center" indent="2"/>
    </xf>
    <xf numFmtId="0" fontId="25" fillId="0" borderId="206" applyNumberFormat="0" applyFill="0" applyAlignment="0" applyProtection="0"/>
    <xf numFmtId="171" fontId="30" fillId="9" borderId="206">
      <alignment horizontal="right" vertical="center"/>
    </xf>
    <xf numFmtId="49" fontId="117" fillId="0" borderId="206" applyNumberFormat="0" applyFill="0" applyBorder="0" applyProtection="0">
      <alignment horizontal="left" vertical="center"/>
    </xf>
    <xf numFmtId="171" fontId="22" fillId="8" borderId="206">
      <alignment horizontal="right" vertical="center"/>
    </xf>
    <xf numFmtId="4" fontId="25" fillId="0" borderId="206" applyFill="0" applyBorder="0" applyProtection="0">
      <alignment horizontal="right" vertical="center"/>
    </xf>
    <xf numFmtId="171" fontId="22" fillId="8" borderId="206">
      <alignment horizontal="right" vertical="center"/>
    </xf>
    <xf numFmtId="168" fontId="16" fillId="0" borderId="206">
      <alignment vertical="center"/>
    </xf>
    <xf numFmtId="175" fontId="25" fillId="59" borderId="206" applyNumberFormat="0" applyFont="0" applyBorder="0" applyAlignment="0" applyProtection="0">
      <alignment horizontal="right" vertical="center"/>
    </xf>
    <xf numFmtId="168" fontId="16" fillId="0" borderId="206">
      <alignment vertical="center"/>
    </xf>
    <xf numFmtId="168" fontId="16" fillId="0" borderId="206">
      <alignment vertical="center"/>
    </xf>
    <xf numFmtId="171" fontId="22" fillId="8"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1" fontId="30" fillId="9" borderId="206">
      <alignment horizontal="right" vertical="center"/>
    </xf>
    <xf numFmtId="170" fontId="33" fillId="1" borderId="188" applyNumberFormat="0" applyProtection="0">
      <alignment horizontal="left" vertical="top"/>
    </xf>
    <xf numFmtId="171" fontId="22" fillId="8" borderId="209">
      <alignment horizontal="right" vertical="center"/>
    </xf>
    <xf numFmtId="49" fontId="117" fillId="0" borderId="209" applyNumberFormat="0" applyFill="0" applyBorder="0" applyProtection="0">
      <alignment horizontal="left" vertical="center"/>
    </xf>
    <xf numFmtId="49" fontId="117" fillId="0" borderId="211" applyNumberFormat="0" applyFill="0" applyBorder="0" applyProtection="0">
      <alignment horizontal="left" vertical="center"/>
    </xf>
    <xf numFmtId="171" fontId="30" fillId="9" borderId="209">
      <alignment horizontal="right" vertical="center"/>
    </xf>
    <xf numFmtId="168" fontId="16" fillId="0" borderId="209">
      <alignment vertical="center"/>
    </xf>
    <xf numFmtId="171" fontId="22" fillId="8" borderId="209">
      <alignment horizontal="right" vertical="center"/>
    </xf>
    <xf numFmtId="170" fontId="33" fillId="1" borderId="210" applyNumberFormat="0" applyProtection="0">
      <alignment horizontal="left" vertical="top"/>
    </xf>
    <xf numFmtId="171" fontId="30" fillId="9" borderId="209">
      <alignment horizontal="right" vertical="center"/>
    </xf>
    <xf numFmtId="0" fontId="25" fillId="0" borderId="209"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0" fontId="33" fillId="1" borderId="207" applyNumberFormat="0" applyProtection="0">
      <alignment horizontal="left" vertical="top"/>
    </xf>
    <xf numFmtId="168" fontId="16" fillId="0" borderId="215">
      <alignment vertical="center"/>
    </xf>
    <xf numFmtId="171" fontId="30" fillId="9" borderId="213">
      <alignment horizontal="right" vertical="center"/>
    </xf>
    <xf numFmtId="49" fontId="25" fillId="0" borderId="209" applyNumberFormat="0" applyFont="0" applyFill="0" applyBorder="0" applyProtection="0">
      <alignment horizontal="left" vertical="center" indent="2"/>
    </xf>
    <xf numFmtId="4" fontId="25" fillId="0" borderId="215" applyFill="0" applyBorder="0" applyProtection="0">
      <alignment horizontal="right" vertical="center"/>
    </xf>
    <xf numFmtId="171" fontId="30" fillId="9" borderId="211">
      <alignment horizontal="right" vertical="center"/>
    </xf>
    <xf numFmtId="4" fontId="25" fillId="0" borderId="183" applyFill="0" applyBorder="0" applyProtection="0">
      <alignment horizontal="right" vertical="center"/>
    </xf>
    <xf numFmtId="175" fontId="25" fillId="59" borderId="183" applyNumberFormat="0" applyFont="0" applyBorder="0" applyAlignment="0" applyProtection="0">
      <alignment horizontal="right" vertical="center"/>
    </xf>
    <xf numFmtId="49" fontId="25" fillId="0" borderId="183" applyNumberFormat="0" applyFont="0" applyFill="0" applyBorder="0" applyProtection="0">
      <alignment horizontal="left" vertical="center" indent="2"/>
    </xf>
    <xf numFmtId="175" fontId="25" fillId="59" borderId="209" applyNumberFormat="0" applyFont="0" applyBorder="0" applyAlignment="0" applyProtection="0">
      <alignment horizontal="right" vertical="center"/>
    </xf>
    <xf numFmtId="4" fontId="25" fillId="0" borderId="209" applyFill="0" applyBorder="0" applyProtection="0">
      <alignment horizontal="right" vertical="center"/>
    </xf>
    <xf numFmtId="0" fontId="25" fillId="0" borderId="183" applyNumberFormat="0" applyFill="0" applyAlignment="0" applyProtection="0"/>
    <xf numFmtId="170" fontId="33" fillId="1" borderId="207" applyNumberFormat="0" applyProtection="0">
      <alignment horizontal="left" vertical="top"/>
    </xf>
    <xf numFmtId="171" fontId="30" fillId="9" borderId="213">
      <alignment horizontal="right" vertical="center"/>
    </xf>
    <xf numFmtId="170" fontId="33" fillId="1" borderId="212" applyNumberFormat="0" applyProtection="0">
      <alignment horizontal="left" vertical="top"/>
    </xf>
    <xf numFmtId="49" fontId="117" fillId="0" borderId="183" applyNumberFormat="0" applyFill="0" applyBorder="0" applyProtection="0">
      <alignment horizontal="left" vertical="center"/>
    </xf>
    <xf numFmtId="171" fontId="30" fillId="9" borderId="215">
      <alignment horizontal="right" vertical="center"/>
    </xf>
    <xf numFmtId="168" fontId="16" fillId="0" borderId="183">
      <alignment vertical="center"/>
    </xf>
    <xf numFmtId="168" fontId="16" fillId="0" borderId="183">
      <alignment vertical="center"/>
    </xf>
    <xf numFmtId="168" fontId="16" fillId="0" borderId="183">
      <alignment vertical="center"/>
    </xf>
    <xf numFmtId="171" fontId="22" fillId="8" borderId="183">
      <alignment horizontal="right" vertical="center"/>
    </xf>
    <xf numFmtId="171" fontId="22" fillId="8" borderId="183">
      <alignment horizontal="righ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49" fontId="25" fillId="0" borderId="183" applyNumberFormat="0" applyFont="0" applyFill="0" applyBorder="0" applyProtection="0">
      <alignment horizontal="left" vertical="center" indent="2"/>
    </xf>
    <xf numFmtId="0" fontId="25" fillId="0" borderId="183" applyNumberFormat="0" applyFill="0" applyAlignment="0" applyProtection="0"/>
    <xf numFmtId="171" fontId="30" fillId="9" borderId="183">
      <alignment horizontal="right" vertical="center"/>
    </xf>
    <xf numFmtId="49" fontId="117" fillId="0" borderId="183" applyNumberFormat="0" applyFill="0" applyBorder="0" applyProtection="0">
      <alignment horizontal="left" vertical="center"/>
    </xf>
    <xf numFmtId="171" fontId="22" fillId="8" borderId="183">
      <alignment horizontal="right" vertical="center"/>
    </xf>
    <xf numFmtId="4" fontId="25" fillId="0" borderId="183" applyFill="0" applyBorder="0" applyProtection="0">
      <alignment horizontal="right" vertical="center"/>
    </xf>
    <xf numFmtId="171" fontId="22" fillId="8" borderId="183">
      <alignment horizontal="right" vertical="center"/>
    </xf>
    <xf numFmtId="168" fontId="16" fillId="0" borderId="183">
      <alignment vertical="center"/>
    </xf>
    <xf numFmtId="175" fontId="25" fillId="59" borderId="183" applyNumberFormat="0" applyFont="0" applyBorder="0" applyAlignment="0" applyProtection="0">
      <alignment horizontal="right" vertical="center"/>
    </xf>
    <xf numFmtId="168" fontId="16" fillId="0" borderId="183">
      <alignmen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0" fontId="33" fillId="1" borderId="207" applyNumberFormat="0" applyProtection="0">
      <alignment horizontal="left" vertical="top"/>
    </xf>
    <xf numFmtId="168" fontId="16" fillId="0" borderId="215">
      <alignment vertical="center"/>
    </xf>
    <xf numFmtId="171" fontId="30" fillId="9" borderId="209">
      <alignment horizontal="right" vertical="center"/>
    </xf>
    <xf numFmtId="171" fontId="30" fillId="9" borderId="209">
      <alignment horizontal="right" vertical="center"/>
    </xf>
    <xf numFmtId="49" fontId="25" fillId="0" borderId="211" applyNumberFormat="0" applyFont="0" applyFill="0" applyBorder="0" applyProtection="0">
      <alignment horizontal="left" vertical="center" indent="2"/>
    </xf>
    <xf numFmtId="170" fontId="33" fillId="1" borderId="208" applyNumberFormat="0" applyProtection="0">
      <alignment horizontal="left" vertical="top"/>
    </xf>
    <xf numFmtId="171" fontId="22" fillId="8" borderId="183">
      <alignment horizontal="right" vertical="center"/>
    </xf>
    <xf numFmtId="4" fontId="25" fillId="0" borderId="183" applyFill="0" applyBorder="0" applyProtection="0">
      <alignment horizontal="right" vertical="center"/>
    </xf>
    <xf numFmtId="171" fontId="30" fillId="9" borderId="183">
      <alignment horizontal="right" vertical="center"/>
    </xf>
    <xf numFmtId="171" fontId="30" fillId="9" borderId="183">
      <alignment horizontal="right" vertical="center"/>
    </xf>
    <xf numFmtId="171" fontId="22" fillId="8" borderId="183">
      <alignment horizontal="right" vertical="center"/>
    </xf>
    <xf numFmtId="168" fontId="16" fillId="0" borderId="183">
      <alignment vertical="center"/>
    </xf>
    <xf numFmtId="171" fontId="22" fillId="8"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71" fontId="30" fillId="9" borderId="183">
      <alignment horizontal="right" vertical="center"/>
    </xf>
    <xf numFmtId="168" fontId="16" fillId="0" borderId="183">
      <alignment vertical="center"/>
    </xf>
    <xf numFmtId="170" fontId="33" fillId="1" borderId="208" applyNumberFormat="0" applyProtection="0">
      <alignment horizontal="left" vertical="top"/>
    </xf>
    <xf numFmtId="168" fontId="16" fillId="0" borderId="209">
      <alignment vertical="center"/>
    </xf>
    <xf numFmtId="168" fontId="16" fillId="0" borderId="183">
      <alignment vertical="center"/>
    </xf>
    <xf numFmtId="171" fontId="30" fillId="9" borderId="209">
      <alignment horizontal="right" vertical="center"/>
    </xf>
    <xf numFmtId="171" fontId="30" fillId="9" borderId="215">
      <alignment horizontal="right" vertical="center"/>
    </xf>
    <xf numFmtId="171" fontId="30" fillId="9" borderId="209">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 fontId="25" fillId="0" borderId="211" applyFill="0" applyBorder="0" applyProtection="0">
      <alignment horizontal="right" vertical="center"/>
    </xf>
    <xf numFmtId="170" fontId="33" fillId="1" borderId="208" applyNumberFormat="0" applyProtection="0">
      <alignment horizontal="left" vertical="top"/>
    </xf>
    <xf numFmtId="4" fontId="25" fillId="0" borderId="213" applyFill="0" applyBorder="0" applyProtection="0">
      <alignment horizontal="right" vertical="center"/>
    </xf>
    <xf numFmtId="49" fontId="25" fillId="0" borderId="209" applyNumberFormat="0" applyFont="0" applyFill="0" applyBorder="0" applyProtection="0">
      <alignment horizontal="left" vertical="center" indent="2"/>
    </xf>
    <xf numFmtId="171" fontId="30" fillId="9" borderId="215">
      <alignment horizontal="right" vertical="center"/>
    </xf>
    <xf numFmtId="171" fontId="22" fillId="8" borderId="213">
      <alignment horizontal="right" vertical="center"/>
    </xf>
    <xf numFmtId="0" fontId="25" fillId="0" borderId="209" applyNumberFormat="0" applyFill="0" applyAlignment="0" applyProtection="0"/>
    <xf numFmtId="170" fontId="33" fillId="1" borderId="210" applyNumberFormat="0" applyProtection="0">
      <alignment horizontal="left" vertical="top"/>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1" fontId="30" fillId="9" borderId="209">
      <alignment horizontal="right" vertical="center"/>
    </xf>
    <xf numFmtId="171" fontId="22" fillId="8" borderId="209">
      <alignment horizontal="right" vertical="center"/>
    </xf>
    <xf numFmtId="171" fontId="30" fillId="9" borderId="209">
      <alignment horizontal="right" vertical="center"/>
    </xf>
    <xf numFmtId="49" fontId="117" fillId="0" borderId="209" applyNumberFormat="0" applyFill="0" applyBorder="0" applyProtection="0">
      <alignment horizontal="left" vertical="center"/>
    </xf>
    <xf numFmtId="175" fontId="25" fillId="59" borderId="209" applyNumberFormat="0" applyFont="0" applyBorder="0" applyAlignment="0" applyProtection="0">
      <alignment horizontal="right" vertical="center"/>
    </xf>
    <xf numFmtId="0" fontId="25" fillId="0" borderId="209" applyNumberFormat="0" applyFill="0" applyAlignment="0" applyProtection="0"/>
    <xf numFmtId="168" fontId="16" fillId="0" borderId="209">
      <alignment vertical="center"/>
    </xf>
    <xf numFmtId="171" fontId="22" fillId="8" borderId="211">
      <alignment horizontal="right" vertical="center"/>
    </xf>
    <xf numFmtId="170" fontId="33" fillId="1" borderId="210" applyNumberFormat="0" applyProtection="0">
      <alignment horizontal="left" vertical="top"/>
    </xf>
    <xf numFmtId="171" fontId="22" fillId="8" borderId="209">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49" fontId="117" fillId="0" borderId="209" applyNumberFormat="0" applyFill="0" applyBorder="0" applyProtection="0">
      <alignment horizontal="left" vertical="center"/>
    </xf>
    <xf numFmtId="4" fontId="25" fillId="0" borderId="209" applyFill="0" applyBorder="0" applyProtection="0">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49" fontId="25" fillId="0" borderId="213" applyNumberFormat="0" applyFont="0" applyFill="0" applyBorder="0" applyProtection="0">
      <alignment horizontal="left" vertical="center" indent="2"/>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70" fontId="33" fillId="1" borderId="210" applyNumberFormat="0" applyProtection="0">
      <alignment horizontal="left" vertical="top"/>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49" fontId="25" fillId="0" borderId="209" applyNumberFormat="0" applyFont="0" applyFill="0" applyBorder="0" applyProtection="0">
      <alignment horizontal="left" vertical="center" indent="2"/>
    </xf>
    <xf numFmtId="0" fontId="25" fillId="0" borderId="209" applyNumberFormat="0" applyFill="0" applyAlignment="0" applyProtection="0"/>
    <xf numFmtId="171" fontId="30" fillId="9" borderId="209">
      <alignment horizontal="right" vertical="center"/>
    </xf>
    <xf numFmtId="49" fontId="117" fillId="0" borderId="209" applyNumberFormat="0" applyFill="0" applyBorder="0" applyProtection="0">
      <alignment horizontal="left" vertical="center"/>
    </xf>
    <xf numFmtId="171" fontId="22" fillId="8" borderId="209">
      <alignment horizontal="right" vertical="center"/>
    </xf>
    <xf numFmtId="4" fontId="25" fillId="0" borderId="209" applyFill="0" applyBorder="0" applyProtection="0">
      <alignment horizontal="right" vertical="center"/>
    </xf>
    <xf numFmtId="171" fontId="22" fillId="8" borderId="209">
      <alignment horizontal="right" vertical="center"/>
    </xf>
    <xf numFmtId="168" fontId="16" fillId="0" borderId="209">
      <alignment vertical="center"/>
    </xf>
    <xf numFmtId="175" fontId="25" fillId="59" borderId="209" applyNumberFormat="0" applyFont="0" applyBorder="0" applyAlignment="0" applyProtection="0">
      <alignment horizontal="right" vertical="center"/>
    </xf>
    <xf numFmtId="168" fontId="16" fillId="0" borderId="209">
      <alignment vertical="center"/>
    </xf>
    <xf numFmtId="168" fontId="16" fillId="0" borderId="209">
      <alignmen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0" fontId="33" fillId="1" borderId="210" applyNumberFormat="0" applyProtection="0">
      <alignment horizontal="left" vertical="top"/>
    </xf>
    <xf numFmtId="171" fontId="22" fillId="8" borderId="209">
      <alignment horizontal="right" vertical="center"/>
    </xf>
    <xf numFmtId="4" fontId="25" fillId="0" borderId="209" applyFill="0" applyBorder="0" applyProtection="0">
      <alignment horizontal="right" vertical="center"/>
    </xf>
    <xf numFmtId="171" fontId="30" fillId="9" borderId="209">
      <alignment horizontal="right" vertical="center"/>
    </xf>
    <xf numFmtId="171" fontId="30" fillId="9" borderId="209">
      <alignment horizontal="right" vertical="center"/>
    </xf>
    <xf numFmtId="171" fontId="22" fillId="8" borderId="209">
      <alignment horizontal="right" vertical="center"/>
    </xf>
    <xf numFmtId="168" fontId="16" fillId="0" borderId="209">
      <alignment vertical="center"/>
    </xf>
    <xf numFmtId="171" fontId="22" fillId="8" borderId="209">
      <alignment horizontal="right" vertical="center"/>
    </xf>
    <xf numFmtId="171" fontId="30" fillId="9" borderId="209">
      <alignment horizontal="right" vertical="center"/>
    </xf>
    <xf numFmtId="4" fontId="25" fillId="0" borderId="209" applyFill="0" applyBorder="0" applyProtection="0">
      <alignment horizontal="right" vertical="center"/>
    </xf>
    <xf numFmtId="175" fontId="25" fillId="59" borderId="209" applyNumberFormat="0" applyFont="0" applyBorder="0" applyAlignment="0" applyProtection="0">
      <alignment horizontal="right" vertical="center"/>
    </xf>
    <xf numFmtId="49" fontId="25" fillId="0" borderId="209" applyNumberFormat="0" applyFont="0" applyFill="0" applyBorder="0" applyProtection="0">
      <alignment horizontal="left" vertical="center" indent="2"/>
    </xf>
    <xf numFmtId="171" fontId="30" fillId="9" borderId="209">
      <alignment horizontal="right" vertical="center"/>
    </xf>
    <xf numFmtId="171" fontId="30" fillId="9" borderId="209">
      <alignment horizontal="right" vertical="center"/>
    </xf>
    <xf numFmtId="171" fontId="30" fillId="9" borderId="209">
      <alignment horizontal="right" vertical="center"/>
    </xf>
    <xf numFmtId="0" fontId="25" fillId="0" borderId="209" applyNumberFormat="0" applyFill="0" applyAlignment="0" applyProtection="0"/>
    <xf numFmtId="168" fontId="16" fillId="0" borderId="209">
      <alignment vertical="center"/>
    </xf>
    <xf numFmtId="168" fontId="16" fillId="0" borderId="209">
      <alignment vertical="center"/>
    </xf>
    <xf numFmtId="49" fontId="117" fillId="0" borderId="209" applyNumberFormat="0" applyFill="0" applyBorder="0" applyProtection="0">
      <alignment horizontal="left" vertical="center"/>
    </xf>
    <xf numFmtId="168" fontId="16" fillId="0" borderId="209">
      <alignment vertical="center"/>
    </xf>
    <xf numFmtId="168" fontId="16" fillId="0" borderId="209">
      <alignment vertical="center"/>
    </xf>
    <xf numFmtId="168" fontId="16" fillId="0" borderId="209">
      <alignment vertical="center"/>
    </xf>
    <xf numFmtId="171" fontId="22" fillId="8" borderId="209">
      <alignment horizontal="right" vertical="center"/>
    </xf>
    <xf numFmtId="171" fontId="22" fillId="8" borderId="209">
      <alignment horizontal="right" vertical="center"/>
    </xf>
    <xf numFmtId="171" fontId="22" fillId="8"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30" fillId="9" borderId="209">
      <alignment horizontal="righ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5">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75" fontId="25" fillId="59" borderId="213" applyNumberFormat="0" applyFont="0" applyBorder="0" applyAlignment="0" applyProtection="0">
      <alignment horizontal="right" vertical="center"/>
    </xf>
    <xf numFmtId="168" fontId="16" fillId="0" borderId="215">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5">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0" fontId="25" fillId="0" borderId="211" applyNumberFormat="0" applyFill="0" applyAlignment="0" applyProtection="0"/>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71" fontId="22" fillId="8" borderId="211">
      <alignment horizontal="right" vertical="center"/>
    </xf>
    <xf numFmtId="175" fontId="25" fillId="59" borderId="211" applyNumberFormat="0" applyFont="0" applyBorder="0" applyAlignment="0" applyProtection="0">
      <alignment horizontal="right" vertical="center"/>
    </xf>
    <xf numFmtId="0" fontId="4" fillId="0" borderId="0"/>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70" fontId="33" fillId="1" borderId="212" applyNumberFormat="0" applyProtection="0">
      <alignment horizontal="left" vertical="top"/>
    </xf>
    <xf numFmtId="171" fontId="30" fillId="9" borderId="211">
      <alignment horizontal="right" vertical="center"/>
    </xf>
    <xf numFmtId="171" fontId="22" fillId="8"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0" fontId="4" fillId="0" borderId="0"/>
    <xf numFmtId="168" fontId="16" fillId="0" borderId="211">
      <alignment vertical="center"/>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0" fontId="33" fillId="1" borderId="212" applyNumberFormat="0" applyProtection="0">
      <alignment horizontal="left" vertical="top"/>
    </xf>
    <xf numFmtId="170" fontId="33" fillId="1" borderId="212" applyNumberFormat="0" applyProtection="0">
      <alignment horizontal="left" vertical="top"/>
    </xf>
    <xf numFmtId="168" fontId="16" fillId="0" borderId="211">
      <alignmen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171" fontId="22" fillId="8" borderId="211">
      <alignment horizontal="right" vertical="center"/>
    </xf>
    <xf numFmtId="0" fontId="25" fillId="0" borderId="211" applyNumberFormat="0" applyFill="0" applyAlignment="0" applyProtection="0"/>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49" fontId="117" fillId="0" borderId="211" applyNumberFormat="0" applyFill="0" applyBorder="0" applyProtection="0">
      <alignment horizontal="left" vertical="center"/>
    </xf>
    <xf numFmtId="4" fontId="25" fillId="0" borderId="211" applyFill="0" applyBorder="0" applyProtection="0">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71" fontId="30" fillId="9" borderId="211">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4" fontId="25" fillId="0" borderId="211" applyFill="0" applyBorder="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30" fillId="9" borderId="211">
      <alignment horizontal="right" vertical="center"/>
    </xf>
    <xf numFmtId="0" fontId="25" fillId="0" borderId="211" applyNumberFormat="0" applyFill="0" applyAlignment="0" applyProtection="0"/>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 fontId="25" fillId="0" borderId="211" applyFill="0" applyBorder="0" applyProtection="0">
      <alignment horizontal="right" vertical="center"/>
    </xf>
    <xf numFmtId="170" fontId="33" fillId="1" borderId="212" applyNumberFormat="0" applyProtection="0">
      <alignment horizontal="left" vertical="top"/>
    </xf>
    <xf numFmtId="171" fontId="30" fillId="9" borderId="211">
      <alignment horizontal="righ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1" fontId="30" fillId="9" borderId="211">
      <alignment horizontal="right" vertical="center"/>
    </xf>
    <xf numFmtId="171" fontId="22" fillId="8"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0" fontId="4" fillId="0" borderId="0"/>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117" fillId="0" borderId="211" applyNumberFormat="0" applyFill="0" applyBorder="0" applyProtection="0">
      <alignment horizontal="left" vertical="center"/>
    </xf>
    <xf numFmtId="170" fontId="33" fillId="1" borderId="212" applyNumberFormat="0" applyProtection="0">
      <alignment horizontal="left" vertical="top"/>
    </xf>
    <xf numFmtId="171" fontId="30" fillId="9" borderId="211">
      <alignment horizontal="right" vertical="center"/>
    </xf>
    <xf numFmtId="171" fontId="30" fillId="9" borderId="211">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0" fontId="33" fillId="1" borderId="212" applyNumberFormat="0" applyProtection="0">
      <alignment horizontal="left" vertical="top"/>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0" fontId="25" fillId="0" borderId="211" applyNumberFormat="0" applyFill="0" applyAlignment="0" applyProtection="0"/>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168" fontId="16" fillId="0" borderId="211">
      <alignment vertical="center"/>
    </xf>
    <xf numFmtId="0" fontId="25" fillId="0" borderId="211" applyNumberFormat="0" applyFill="0" applyAlignment="0" applyProtection="0"/>
    <xf numFmtId="170" fontId="33" fillId="1" borderId="212" applyNumberFormat="0" applyProtection="0">
      <alignment horizontal="left" vertical="top"/>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9" fontId="25" fillId="0" borderId="211" applyNumberFormat="0" applyFont="0" applyFill="0" applyBorder="0" applyProtection="0">
      <alignment horizontal="left" vertical="center" indent="2"/>
    </xf>
    <xf numFmtId="168" fontId="16" fillId="0" borderId="211">
      <alignmen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171" fontId="22" fillId="8" borderId="211">
      <alignment horizontal="right" vertical="center"/>
    </xf>
    <xf numFmtId="168" fontId="16" fillId="0" borderId="211">
      <alignment vertical="center"/>
    </xf>
    <xf numFmtId="0" fontId="25" fillId="0" borderId="211" applyNumberFormat="0" applyFill="0" applyAlignment="0" applyProtection="0"/>
    <xf numFmtId="171" fontId="30" fillId="9" borderId="211">
      <alignment horizontal="right" vertical="center"/>
    </xf>
    <xf numFmtId="171" fontId="30" fillId="9" borderId="211">
      <alignment horizontal="right" vertical="center"/>
    </xf>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68" fontId="16" fillId="0" borderId="211">
      <alignment vertical="center"/>
    </xf>
    <xf numFmtId="171" fontId="22" fillId="8" borderId="211">
      <alignment horizontal="right" vertical="center"/>
    </xf>
    <xf numFmtId="171" fontId="22" fillId="8" borderId="211">
      <alignment horizontal="right" vertical="center"/>
    </xf>
    <xf numFmtId="49" fontId="117" fillId="0" borderId="211" applyNumberFormat="0" applyFill="0" applyBorder="0" applyProtection="0">
      <alignment horizontal="left" vertical="center"/>
    </xf>
    <xf numFmtId="175" fontId="25" fillId="59" borderId="211" applyNumberFormat="0" applyFont="0" applyBorder="0" applyAlignment="0" applyProtection="0">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68" fontId="16" fillId="0" borderId="211">
      <alignmen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49" fontId="117" fillId="0" borderId="211" applyNumberFormat="0" applyFill="0" applyBorder="0" applyProtection="0">
      <alignment horizontal="left" vertical="center"/>
    </xf>
    <xf numFmtId="168" fontId="16" fillId="0" borderId="211">
      <alignment vertical="center"/>
    </xf>
    <xf numFmtId="4" fontId="25" fillId="0" borderId="211" applyFill="0" applyBorder="0" applyProtection="0">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68" fontId="16" fillId="0" borderId="211">
      <alignment vertical="center"/>
    </xf>
    <xf numFmtId="168" fontId="16" fillId="0" borderId="211">
      <alignmen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70" fontId="33" fillId="1" borderId="212" applyNumberFormat="0" applyProtection="0">
      <alignment horizontal="left" vertical="top"/>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49" fontId="25" fillId="0" borderId="211" applyNumberFormat="0" applyFont="0" applyFill="0" applyBorder="0" applyProtection="0">
      <alignment horizontal="left" vertical="center" indent="2"/>
    </xf>
    <xf numFmtId="0" fontId="25" fillId="0" borderId="211" applyNumberFormat="0" applyFill="0" applyAlignment="0" applyProtection="0"/>
    <xf numFmtId="171" fontId="30" fillId="9" borderId="211">
      <alignment horizontal="right" vertical="center"/>
    </xf>
    <xf numFmtId="49" fontId="117" fillId="0" borderId="211" applyNumberFormat="0" applyFill="0" applyBorder="0" applyProtection="0">
      <alignment horizontal="left" vertical="center"/>
    </xf>
    <xf numFmtId="171" fontId="22" fillId="8" borderId="211">
      <alignment horizontal="right" vertical="center"/>
    </xf>
    <xf numFmtId="4" fontId="25" fillId="0" borderId="211" applyFill="0" applyBorder="0" applyProtection="0">
      <alignment horizontal="right" vertical="center"/>
    </xf>
    <xf numFmtId="171" fontId="22" fillId="8" borderId="211">
      <alignment horizontal="right" vertical="center"/>
    </xf>
    <xf numFmtId="168" fontId="16" fillId="0" borderId="211">
      <alignment vertical="center"/>
    </xf>
    <xf numFmtId="175" fontId="25" fillId="59" borderId="211" applyNumberFormat="0" applyFont="0" applyBorder="0" applyAlignment="0" applyProtection="0">
      <alignment horizontal="right" vertical="center"/>
    </xf>
    <xf numFmtId="168" fontId="16" fillId="0" borderId="211">
      <alignment vertical="center"/>
    </xf>
    <xf numFmtId="168" fontId="16" fillId="0" borderId="211">
      <alignmen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0" fontId="33" fillId="1" borderId="212" applyNumberFormat="0" applyProtection="0">
      <alignment horizontal="left" vertical="top"/>
    </xf>
    <xf numFmtId="171" fontId="22" fillId="8" borderId="211">
      <alignment horizontal="right" vertical="center"/>
    </xf>
    <xf numFmtId="4" fontId="25" fillId="0" borderId="211" applyFill="0" applyBorder="0" applyProtection="0">
      <alignment horizontal="right" vertical="center"/>
    </xf>
    <xf numFmtId="171" fontId="30" fillId="9" borderId="211">
      <alignment horizontal="right" vertical="center"/>
    </xf>
    <xf numFmtId="171" fontId="30" fillId="9" borderId="211">
      <alignment horizontal="right" vertical="center"/>
    </xf>
    <xf numFmtId="171" fontId="22" fillId="8" borderId="211">
      <alignment horizontal="right" vertical="center"/>
    </xf>
    <xf numFmtId="168" fontId="16" fillId="0" borderId="211">
      <alignment vertical="center"/>
    </xf>
    <xf numFmtId="171" fontId="22" fillId="8" borderId="211">
      <alignment horizontal="right" vertical="center"/>
    </xf>
    <xf numFmtId="171" fontId="30" fillId="9" borderId="211">
      <alignment horizontal="right" vertical="center"/>
    </xf>
    <xf numFmtId="4" fontId="25" fillId="0" borderId="211" applyFill="0" applyBorder="0" applyProtection="0">
      <alignment horizontal="right" vertical="center"/>
    </xf>
    <xf numFmtId="175" fontId="25" fillId="59" borderId="211" applyNumberFormat="0" applyFont="0" applyBorder="0" applyAlignment="0" applyProtection="0">
      <alignment horizontal="right" vertical="center"/>
    </xf>
    <xf numFmtId="49" fontId="25" fillId="0" borderId="211" applyNumberFormat="0" applyFont="0" applyFill="0" applyBorder="0" applyProtection="0">
      <alignment horizontal="left" vertical="center" indent="2"/>
    </xf>
    <xf numFmtId="171" fontId="30" fillId="9" borderId="211">
      <alignment horizontal="right" vertical="center"/>
    </xf>
    <xf numFmtId="171" fontId="30" fillId="9" borderId="211">
      <alignment horizontal="right" vertical="center"/>
    </xf>
    <xf numFmtId="171" fontId="30" fillId="9" borderId="211">
      <alignment horizontal="right" vertical="center"/>
    </xf>
    <xf numFmtId="0" fontId="25" fillId="0" borderId="211" applyNumberFormat="0" applyFill="0" applyAlignment="0" applyProtection="0"/>
    <xf numFmtId="168" fontId="16" fillId="0" borderId="211">
      <alignment vertical="center"/>
    </xf>
    <xf numFmtId="168" fontId="16" fillId="0" borderId="211">
      <alignment vertical="center"/>
    </xf>
    <xf numFmtId="49" fontId="117" fillId="0" borderId="211" applyNumberFormat="0" applyFill="0" applyBorder="0" applyProtection="0">
      <alignment horizontal="left" vertical="center"/>
    </xf>
    <xf numFmtId="168" fontId="16" fillId="0" borderId="211">
      <alignment vertical="center"/>
    </xf>
    <xf numFmtId="168" fontId="16" fillId="0" borderId="211">
      <alignment vertical="center"/>
    </xf>
    <xf numFmtId="168" fontId="16" fillId="0" borderId="211">
      <alignment vertical="center"/>
    </xf>
    <xf numFmtId="171" fontId="22" fillId="8" borderId="211">
      <alignment horizontal="right" vertical="center"/>
    </xf>
    <xf numFmtId="171" fontId="22" fillId="8" borderId="211">
      <alignment horizontal="right" vertical="center"/>
    </xf>
    <xf numFmtId="171" fontId="22" fillId="8"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30" fillId="9" borderId="211">
      <alignment horizontal="right" vertical="center"/>
    </xf>
    <xf numFmtId="171" fontId="22" fillId="8" borderId="213">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5" fontId="25" fillId="59" borderId="213" applyNumberFormat="0" applyFont="0" applyBorder="0" applyAlignment="0" applyProtection="0">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0" fontId="25" fillId="0" borderId="213" applyNumberFormat="0" applyFill="0" applyAlignment="0" applyProtection="0"/>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70" fontId="33" fillId="1" borderId="214" applyNumberFormat="0" applyProtection="0">
      <alignment horizontal="left" vertical="top"/>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0" fontId="33" fillId="1" borderId="214" applyNumberFormat="0" applyProtection="0">
      <alignment horizontal="left" vertical="top"/>
    </xf>
    <xf numFmtId="170" fontId="33" fillId="1" borderId="214" applyNumberFormat="0" applyProtection="0">
      <alignment horizontal="left" vertical="top"/>
    </xf>
    <xf numFmtId="168" fontId="16" fillId="0" borderId="213">
      <alignmen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171" fontId="22" fillId="8" borderId="213">
      <alignment horizontal="right" vertical="center"/>
    </xf>
    <xf numFmtId="0" fontId="25" fillId="0" borderId="213" applyNumberFormat="0" applyFill="0" applyAlignment="0" applyProtection="0"/>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49" fontId="117" fillId="0" borderId="213" applyNumberFormat="0" applyFill="0" applyBorder="0" applyProtection="0">
      <alignment horizontal="left" vertical="center"/>
    </xf>
    <xf numFmtId="4" fontId="25" fillId="0" borderId="213" applyFill="0" applyBorder="0" applyProtection="0">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4" fontId="25" fillId="0" borderId="213" applyFill="0" applyBorder="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30" fillId="9" borderId="213">
      <alignment horizontal="right" vertical="center"/>
    </xf>
    <xf numFmtId="0" fontId="25" fillId="0" borderId="213" applyNumberFormat="0" applyFill="0" applyAlignment="0" applyProtection="0"/>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70" fontId="33" fillId="1" borderId="214" applyNumberFormat="0" applyProtection="0">
      <alignment horizontal="left" vertical="top"/>
    </xf>
    <xf numFmtId="171" fontId="30" fillId="9" borderId="213">
      <alignment horizontal="righ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117" fillId="0" borderId="213" applyNumberFormat="0" applyFill="0" applyBorder="0" applyProtection="0">
      <alignment horizontal="left" vertical="center"/>
    </xf>
    <xf numFmtId="170" fontId="33" fillId="1" borderId="214" applyNumberFormat="0" applyProtection="0">
      <alignment horizontal="left" vertical="top"/>
    </xf>
    <xf numFmtId="171" fontId="30" fillId="9" borderId="213">
      <alignment horizontal="right" vertical="center"/>
    </xf>
    <xf numFmtId="171" fontId="30" fillId="9" borderId="213">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0" fontId="33" fillId="1" borderId="214" applyNumberFormat="0" applyProtection="0">
      <alignment horizontal="left" vertical="top"/>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0" fontId="25" fillId="0" borderId="213" applyNumberFormat="0" applyFill="0" applyAlignment="0" applyProtection="0"/>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168" fontId="16" fillId="0" borderId="213">
      <alignment vertical="center"/>
    </xf>
    <xf numFmtId="0" fontId="25" fillId="0" borderId="213" applyNumberFormat="0" applyFill="0" applyAlignment="0" applyProtection="0"/>
    <xf numFmtId="170" fontId="33" fillId="1" borderId="214" applyNumberFormat="0" applyProtection="0">
      <alignment horizontal="left" vertical="top"/>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9" fontId="25" fillId="0" borderId="213" applyNumberFormat="0" applyFont="0" applyFill="0" applyBorder="0" applyProtection="0">
      <alignment horizontal="left" vertical="center" indent="2"/>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1" fontId="22" fillId="8" borderId="213">
      <alignment horizontal="right" vertical="center"/>
    </xf>
    <xf numFmtId="168" fontId="16" fillId="0" borderId="213">
      <alignmen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5" fontId="25" fillId="59" borderId="213" applyNumberFormat="0" applyFont="0" applyBorder="0" applyAlignment="0" applyProtection="0">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68" fontId="16" fillId="0" borderId="213">
      <alignmen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70" fontId="33" fillId="1" borderId="214" applyNumberFormat="0" applyProtection="0">
      <alignment horizontal="left" vertical="top"/>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0" fontId="25" fillId="0" borderId="213" applyNumberFormat="0" applyFill="0" applyAlignment="0" applyProtection="0"/>
    <xf numFmtId="49" fontId="117" fillId="0" borderId="213" applyNumberFormat="0" applyFill="0" applyBorder="0" applyProtection="0">
      <alignment horizontal="lef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43" fontId="4" fillId="0" borderId="0" applyFont="0" applyFill="0" applyBorder="0" applyAlignment="0" applyProtection="0"/>
    <xf numFmtId="170" fontId="33" fillId="1" borderId="214" applyNumberFormat="0" applyProtection="0">
      <alignment horizontal="left" vertical="top"/>
    </xf>
    <xf numFmtId="168" fontId="16" fillId="0" borderId="213">
      <alignment vertical="center"/>
    </xf>
    <xf numFmtId="168" fontId="16" fillId="0" borderId="213">
      <alignment vertical="center"/>
    </xf>
    <xf numFmtId="168" fontId="16" fillId="0" borderId="213">
      <alignment vertical="center"/>
    </xf>
    <xf numFmtId="168" fontId="16" fillId="0" borderId="213">
      <alignment vertical="center"/>
    </xf>
    <xf numFmtId="4" fontId="25" fillId="0" borderId="213" applyFill="0" applyBorder="0" applyProtection="0">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117" fillId="0" borderId="213" applyNumberFormat="0" applyFill="0" applyBorder="0" applyProtection="0">
      <alignment horizontal="left" vertical="center"/>
    </xf>
    <xf numFmtId="0" fontId="25" fillId="0" borderId="213" applyNumberFormat="0" applyFill="0" applyAlignment="0" applyProtection="0"/>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5" fontId="25" fillId="59" borderId="213" applyNumberFormat="0" applyFont="0" applyBorder="0" applyAlignment="0" applyProtection="0">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49" fontId="25" fillId="0" borderId="213" applyNumberFormat="0" applyFont="0" applyFill="0" applyBorder="0" applyProtection="0">
      <alignment horizontal="left" vertical="center" indent="2"/>
    </xf>
    <xf numFmtId="171" fontId="30" fillId="9"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171" fontId="30" fillId="9" borderId="213">
      <alignment horizontal="right" vertical="center"/>
    </xf>
    <xf numFmtId="168" fontId="16" fillId="0" borderId="213">
      <alignmen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4" fontId="25" fillId="0" borderId="213" applyFill="0" applyBorder="0" applyProtection="0">
      <alignment horizontal="right" vertical="center"/>
    </xf>
    <xf numFmtId="168" fontId="16" fillId="0" borderId="213">
      <alignment vertical="center"/>
    </xf>
    <xf numFmtId="171" fontId="22" fillId="8" borderId="213">
      <alignment horizontal="right" vertical="center"/>
    </xf>
    <xf numFmtId="171" fontId="22" fillId="8" borderId="213">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49" fontId="25" fillId="0" borderId="213" applyNumberFormat="0" applyFont="0" applyFill="0" applyBorder="0" applyProtection="0">
      <alignment horizontal="left" vertical="center" indent="2"/>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5" fontId="25" fillId="59" borderId="213" applyNumberFormat="0" applyFont="0" applyBorder="0" applyAlignment="0" applyProtection="0">
      <alignment horizontal="right" vertical="center"/>
    </xf>
    <xf numFmtId="49" fontId="117" fillId="0" borderId="213" applyNumberFormat="0" applyFill="0" applyBorder="0" applyProtection="0">
      <alignment horizontal="left" vertical="center"/>
    </xf>
    <xf numFmtId="168" fontId="16" fillId="0" borderId="213">
      <alignment vertical="center"/>
    </xf>
    <xf numFmtId="171" fontId="30" fillId="9"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22" fillId="8" borderId="213">
      <alignment horizontal="right" vertical="center"/>
    </xf>
    <xf numFmtId="0" fontId="25" fillId="0" borderId="213" applyNumberFormat="0" applyFill="0" applyAlignment="0" applyProtection="0"/>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4" fontId="25" fillId="0" borderId="213" applyFill="0" applyBorder="0" applyProtection="0">
      <alignment horizontal="right" vertical="center"/>
    </xf>
    <xf numFmtId="49" fontId="25" fillId="0" borderId="213" applyNumberFormat="0" applyFont="0" applyFill="0" applyBorder="0" applyProtection="0">
      <alignment horizontal="left" vertical="center" indent="2"/>
    </xf>
    <xf numFmtId="0" fontId="25" fillId="0" borderId="213" applyNumberFormat="0" applyFill="0" applyAlignment="0" applyProtection="0"/>
    <xf numFmtId="171" fontId="30" fillId="9" borderId="213">
      <alignment horizontal="right" vertical="center"/>
    </xf>
    <xf numFmtId="49" fontId="117" fillId="0" borderId="213" applyNumberFormat="0" applyFill="0" applyBorder="0" applyProtection="0">
      <alignment horizontal="left" vertical="center"/>
    </xf>
    <xf numFmtId="171" fontId="22" fillId="8" borderId="213">
      <alignment horizontal="right" vertical="center"/>
    </xf>
    <xf numFmtId="4" fontId="25" fillId="0" borderId="213" applyFill="0" applyBorder="0" applyProtection="0">
      <alignment horizontal="right" vertical="center"/>
    </xf>
    <xf numFmtId="171" fontId="22" fillId="8" borderId="213">
      <alignment horizontal="right" vertical="center"/>
    </xf>
    <xf numFmtId="168" fontId="16" fillId="0" borderId="213">
      <alignment vertical="center"/>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4" fontId="25" fillId="0" borderId="213" applyFill="0" applyBorder="0" applyProtection="0">
      <alignment horizontal="right" vertical="center"/>
    </xf>
    <xf numFmtId="175" fontId="25" fillId="59" borderId="213" applyNumberFormat="0" applyFont="0" applyBorder="0" applyAlignment="0" applyProtection="0">
      <alignment horizontal="right" vertical="center"/>
    </xf>
    <xf numFmtId="49" fontId="25" fillId="0" borderId="213" applyNumberFormat="0" applyFont="0" applyFill="0" applyBorder="0" applyProtection="0">
      <alignment horizontal="left" vertical="center" indent="2"/>
    </xf>
    <xf numFmtId="171" fontId="30" fillId="9" borderId="213">
      <alignment horizontal="right" vertical="center"/>
    </xf>
    <xf numFmtId="171" fontId="30" fillId="9" borderId="213">
      <alignment horizontal="right" vertical="center"/>
    </xf>
    <xf numFmtId="171" fontId="30" fillId="9" borderId="213">
      <alignment horizontal="right" vertical="center"/>
    </xf>
    <xf numFmtId="0" fontId="25" fillId="0" borderId="213" applyNumberFormat="0" applyFill="0" applyAlignment="0" applyProtection="0"/>
    <xf numFmtId="168" fontId="16" fillId="0" borderId="213">
      <alignment vertical="center"/>
    </xf>
    <xf numFmtId="168" fontId="16" fillId="0" borderId="213">
      <alignment vertical="center"/>
    </xf>
    <xf numFmtId="49" fontId="117" fillId="0" borderId="213" applyNumberFormat="0" applyFill="0" applyBorder="0" applyProtection="0">
      <alignment horizontal="lef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4" fontId="25" fillId="0" borderId="213" applyFill="0" applyBorder="0" applyProtection="0">
      <alignment horizontal="right" vertical="center"/>
    </xf>
    <xf numFmtId="171" fontId="30" fillId="9" borderId="213">
      <alignment horizontal="right" vertical="center"/>
    </xf>
    <xf numFmtId="171" fontId="30" fillId="9" borderId="213">
      <alignment horizontal="right" vertical="center"/>
    </xf>
    <xf numFmtId="171" fontId="22" fillId="8" borderId="213">
      <alignment horizontal="right" vertical="center"/>
    </xf>
    <xf numFmtId="168" fontId="16" fillId="0" borderId="213">
      <alignmen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68" fontId="16" fillId="0" borderId="213">
      <alignment vertical="center"/>
    </xf>
    <xf numFmtId="170" fontId="33" fillId="1" borderId="214" applyNumberFormat="0" applyProtection="0">
      <alignment horizontal="left" vertical="top"/>
    </xf>
    <xf numFmtId="168" fontId="16" fillId="0" borderId="213">
      <alignment vertical="center"/>
    </xf>
    <xf numFmtId="170" fontId="33" fillId="1" borderId="214" applyNumberFormat="0" applyProtection="0">
      <alignment horizontal="left" vertical="top"/>
    </xf>
    <xf numFmtId="175" fontId="25" fillId="59" borderId="213" applyNumberFormat="0" applyFont="0" applyBorder="0" applyAlignment="0" applyProtection="0">
      <alignment horizontal="right" vertical="center"/>
    </xf>
    <xf numFmtId="168" fontId="16" fillId="0" borderId="213">
      <alignment vertical="center"/>
    </xf>
    <xf numFmtId="168" fontId="16" fillId="0" borderId="213">
      <alignment vertical="center"/>
    </xf>
    <xf numFmtId="168" fontId="16" fillId="0" borderId="213">
      <alignment vertical="center"/>
    </xf>
    <xf numFmtId="171" fontId="22" fillId="8" borderId="213">
      <alignment horizontal="right" vertical="center"/>
    </xf>
    <xf numFmtId="171" fontId="22" fillId="8" borderId="213">
      <alignment horizontal="right" vertical="center"/>
    </xf>
    <xf numFmtId="171" fontId="22" fillId="8"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1" fontId="30" fillId="9" borderId="213">
      <alignment horizontal="right" vertical="center"/>
    </xf>
    <xf numFmtId="170" fontId="33" fillId="1" borderId="214" applyNumberFormat="0" applyProtection="0">
      <alignment horizontal="left" vertical="top"/>
    </xf>
    <xf numFmtId="43" fontId="4" fillId="0" borderId="0" applyFont="0" applyFill="0" applyBorder="0" applyAlignment="0" applyProtection="0"/>
    <xf numFmtId="170" fontId="3" fillId="0" borderId="2" applyNumberFormat="0" applyFill="0" applyAlignment="0" applyProtection="0"/>
  </cellStyleXfs>
  <cellXfs count="1315">
    <xf numFmtId="170" fontId="0" fillId="0" borderId="0" xfId="0"/>
    <xf numFmtId="170" fontId="3" fillId="0" borderId="0" xfId="1"/>
    <xf numFmtId="168" fontId="12" fillId="0" borderId="0" xfId="3" applyNumberFormat="1" applyFont="1" applyFill="1"/>
    <xf numFmtId="170" fontId="0" fillId="0" borderId="7" xfId="0" applyBorder="1"/>
    <xf numFmtId="170" fontId="0" fillId="0" borderId="10" xfId="0" applyBorder="1"/>
    <xf numFmtId="170" fontId="6" fillId="0" borderId="7" xfId="0" applyFont="1" applyBorder="1"/>
    <xf numFmtId="170" fontId="16" fillId="0" borderId="0" xfId="5" applyFont="1" applyFill="1" applyBorder="1" applyAlignment="1">
      <alignment wrapText="1"/>
    </xf>
    <xf numFmtId="170" fontId="14" fillId="0" borderId="0" xfId="0" applyFont="1"/>
    <xf numFmtId="170" fontId="6" fillId="0" borderId="0" xfId="0" applyFont="1"/>
    <xf numFmtId="170" fontId="21" fillId="0" borderId="0" xfId="0" applyFont="1" applyBorder="1"/>
    <xf numFmtId="170" fontId="5" fillId="0" borderId="0" xfId="0" applyFont="1"/>
    <xf numFmtId="170" fontId="22" fillId="0" borderId="0" xfId="0" applyFont="1"/>
    <xf numFmtId="170" fontId="37" fillId="12" borderId="15" xfId="0" applyFont="1" applyFill="1" applyBorder="1" applyAlignment="1">
      <alignment horizontal="center" vertical="center" wrapText="1"/>
    </xf>
    <xf numFmtId="170" fontId="36" fillId="0" borderId="0" xfId="0" applyFont="1" applyFill="1" applyBorder="1" applyAlignment="1">
      <alignment horizontal="center" vertical="center" wrapText="1"/>
    </xf>
    <xf numFmtId="3" fontId="37" fillId="0" borderId="0" xfId="0" applyNumberFormat="1" applyFont="1" applyFill="1" applyBorder="1" applyAlignment="1">
      <alignment horizontal="center" vertical="center" wrapText="1"/>
    </xf>
    <xf numFmtId="170" fontId="0" fillId="0" borderId="0" xfId="0" applyFill="1"/>
    <xf numFmtId="170"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6" fillId="13" borderId="15" xfId="0" applyFont="1" applyFill="1" applyBorder="1"/>
    <xf numFmtId="3" fontId="6"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6"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6" fillId="0" borderId="0" xfId="0" applyFont="1" applyFill="1" applyBorder="1"/>
    <xf numFmtId="170" fontId="0" fillId="0" borderId="0" xfId="0" applyBorder="1"/>
    <xf numFmtId="170" fontId="0" fillId="0" borderId="21" xfId="0" applyBorder="1"/>
    <xf numFmtId="170" fontId="0" fillId="0" borderId="103" xfId="0" applyBorder="1"/>
    <xf numFmtId="170"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6" fillId="0" borderId="0" xfId="0" applyFont="1" applyFill="1"/>
    <xf numFmtId="170" fontId="45"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0" fontId="22" fillId="0" borderId="0" xfId="1" applyFont="1"/>
    <xf numFmtId="172" fontId="22" fillId="14" borderId="15" xfId="0" applyNumberFormat="1" applyFont="1" applyFill="1" applyBorder="1" applyAlignment="1">
      <alignment horizontal="center"/>
    </xf>
    <xf numFmtId="172" fontId="5" fillId="14" borderId="15" xfId="0" applyNumberFormat="1" applyFont="1" applyFill="1" applyBorder="1" applyAlignment="1">
      <alignment horizontal="center"/>
    </xf>
    <xf numFmtId="170" fontId="0" fillId="0" borderId="0" xfId="0" applyFont="1" applyFill="1" applyBorder="1"/>
    <xf numFmtId="3" fontId="52" fillId="0" borderId="0" xfId="0" applyNumberFormat="1" applyFont="1" applyBorder="1" applyAlignment="1">
      <alignment horizontal="center"/>
    </xf>
    <xf numFmtId="3" fontId="9" fillId="0" borderId="0" xfId="0" applyNumberFormat="1" applyFont="1" applyBorder="1" applyAlignment="1">
      <alignment horizontal="center"/>
    </xf>
    <xf numFmtId="3" fontId="53" fillId="0" borderId="0" xfId="0" applyNumberFormat="1" applyFont="1" applyBorder="1" applyAlignment="1">
      <alignment horizontal="center"/>
    </xf>
    <xf numFmtId="3" fontId="54" fillId="0" borderId="0" xfId="0" applyNumberFormat="1" applyFont="1" applyAlignment="1">
      <alignment horizontal="center"/>
    </xf>
    <xf numFmtId="3" fontId="56" fillId="0" borderId="0" xfId="0" applyNumberFormat="1" applyFont="1" applyAlignment="1">
      <alignment horizontal="center"/>
    </xf>
    <xf numFmtId="3" fontId="56" fillId="12" borderId="6" xfId="0" applyNumberFormat="1" applyFont="1" applyFill="1" applyBorder="1" applyAlignment="1">
      <alignment horizontal="center" vertical="center" wrapText="1"/>
    </xf>
    <xf numFmtId="3" fontId="56" fillId="12" borderId="39" xfId="0" applyNumberFormat="1" applyFont="1" applyFill="1" applyBorder="1" applyAlignment="1">
      <alignment horizontal="center" vertical="center" wrapText="1"/>
    </xf>
    <xf numFmtId="3" fontId="56" fillId="12" borderId="58" xfId="0" applyNumberFormat="1" applyFont="1" applyFill="1" applyBorder="1" applyAlignment="1">
      <alignment horizontal="center" vertical="center" wrapText="1"/>
    </xf>
    <xf numFmtId="3" fontId="54" fillId="0" borderId="0" xfId="0" applyNumberFormat="1" applyFont="1" applyAlignment="1">
      <alignment horizontal="center" vertical="center"/>
    </xf>
    <xf numFmtId="170" fontId="72" fillId="0" borderId="0" xfId="0" applyFont="1"/>
    <xf numFmtId="170" fontId="76" fillId="0" borderId="0" xfId="0" applyFont="1" applyFill="1" applyBorder="1" applyAlignment="1">
      <alignment horizontal="left" vertical="center" wrapText="1"/>
    </xf>
    <xf numFmtId="170" fontId="73"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8" fillId="0" borderId="0" xfId="0" applyFont="1" applyFill="1"/>
    <xf numFmtId="170" fontId="76" fillId="0" borderId="111" xfId="0" applyFont="1" applyFill="1" applyBorder="1" applyAlignment="1">
      <alignment horizontal="left" vertical="center" wrapText="1"/>
    </xf>
    <xf numFmtId="170" fontId="51" fillId="12" borderId="0" xfId="0" applyFont="1" applyFill="1" applyBorder="1" applyAlignment="1">
      <alignment horizontal="left" vertical="center" wrapText="1"/>
    </xf>
    <xf numFmtId="170" fontId="0" fillId="0" borderId="110" xfId="0" applyBorder="1" applyAlignment="1">
      <alignment vertical="top" wrapText="1"/>
    </xf>
    <xf numFmtId="168" fontId="10" fillId="23" borderId="5" xfId="3" applyNumberFormat="1" applyFont="1" applyFill="1" applyBorder="1" applyAlignment="1">
      <alignment horizontal="center"/>
    </xf>
    <xf numFmtId="168" fontId="10" fillId="23" borderId="5" xfId="3" quotePrefix="1" applyNumberFormat="1" applyFont="1" applyFill="1" applyBorder="1" applyAlignment="1">
      <alignment horizontal="center"/>
    </xf>
    <xf numFmtId="168" fontId="10" fillId="23" borderId="6" xfId="3" applyNumberFormat="1" applyFont="1" applyFill="1" applyBorder="1" applyAlignment="1">
      <alignment horizontal="center"/>
    </xf>
    <xf numFmtId="168" fontId="10" fillId="23" borderId="6" xfId="3" quotePrefix="1" applyNumberFormat="1" applyFont="1" applyFill="1" applyBorder="1" applyAlignment="1">
      <alignment horizontal="center"/>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0" fillId="23" borderId="9" xfId="3" applyNumberFormat="1" applyFont="1" applyFill="1" applyBorder="1" applyAlignment="1">
      <alignment horizontal="center"/>
    </xf>
    <xf numFmtId="168" fontId="10" fillId="23" borderId="0" xfId="3" quotePrefix="1" applyNumberFormat="1" applyFont="1" applyFill="1" applyBorder="1" applyAlignment="1">
      <alignment horizontal="center"/>
    </xf>
    <xf numFmtId="168" fontId="10" fillId="23" borderId="0" xfId="3" applyNumberFormat="1" applyFont="1" applyFill="1" applyBorder="1" applyAlignment="1">
      <alignment horizontal="center"/>
    </xf>
    <xf numFmtId="168" fontId="10" fillId="23" borderId="9"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0" fillId="23" borderId="12" xfId="3" applyNumberFormat="1" applyFont="1" applyFill="1" applyBorder="1" applyAlignment="1">
      <alignment horizontal="center"/>
    </xf>
    <xf numFmtId="168" fontId="10" fillId="23" borderId="13" xfId="3" applyNumberFormat="1" applyFont="1" applyFill="1" applyBorder="1" applyAlignment="1">
      <alignment horizontal="center"/>
    </xf>
    <xf numFmtId="168" fontId="10" fillId="23" borderId="12" xfId="3" quotePrefix="1" applyNumberFormat="1" applyFont="1" applyFill="1" applyBorder="1" applyAlignment="1">
      <alignment horizontal="center"/>
    </xf>
    <xf numFmtId="168" fontId="10" fillId="23" borderId="13" xfId="3" quotePrefix="1" applyNumberFormat="1" applyFont="1" applyFill="1" applyBorder="1" applyAlignment="1">
      <alignment horizontal="center"/>
    </xf>
    <xf numFmtId="168" fontId="11" fillId="23" borderId="12" xfId="3" applyNumberFormat="1" applyFont="1" applyFill="1" applyBorder="1" applyAlignment="1">
      <alignment horizontal="center"/>
    </xf>
    <xf numFmtId="170" fontId="51" fillId="12" borderId="21" xfId="0" applyFont="1" applyFill="1" applyBorder="1" applyAlignment="1">
      <alignment horizontal="left" vertical="center" wrapText="1"/>
    </xf>
    <xf numFmtId="170" fontId="51" fillId="12" borderId="80" xfId="0" applyFont="1" applyFill="1" applyBorder="1" applyAlignment="1">
      <alignment horizontal="left" vertical="center" wrapText="1"/>
    </xf>
    <xf numFmtId="170" fontId="76"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3" fillId="0" borderId="21" xfId="0" applyFont="1" applyFill="1" applyBorder="1" applyAlignment="1">
      <alignment horizontal="left" vertical="center" wrapText="1"/>
    </xf>
    <xf numFmtId="170" fontId="73" fillId="0" borderId="80" xfId="0" applyFont="1" applyFill="1" applyBorder="1" applyAlignment="1">
      <alignment horizontal="left" vertical="center" wrapText="1"/>
    </xf>
    <xf numFmtId="170" fontId="76" fillId="0" borderId="80" xfId="0" applyFont="1" applyFill="1" applyBorder="1" applyAlignment="1">
      <alignment horizontal="left" vertical="center" wrapText="1"/>
    </xf>
    <xf numFmtId="170" fontId="0" fillId="0" borderId="114" xfId="0" applyBorder="1"/>
    <xf numFmtId="170" fontId="45" fillId="0" borderId="80" xfId="0" applyFont="1" applyFill="1" applyBorder="1" applyAlignment="1">
      <alignment horizontal="justify" wrapText="1"/>
    </xf>
    <xf numFmtId="170" fontId="76" fillId="0" borderId="114" xfId="0" applyFont="1" applyFill="1" applyBorder="1" applyAlignment="1">
      <alignment horizontal="left" vertical="center" wrapText="1"/>
    </xf>
    <xf numFmtId="170" fontId="76" fillId="0" borderId="115" xfId="0" applyFont="1" applyFill="1" applyBorder="1" applyAlignment="1">
      <alignment horizontal="left" vertical="center" wrapText="1"/>
    </xf>
    <xf numFmtId="170" fontId="51" fillId="12" borderId="103" xfId="0" applyFont="1" applyFill="1" applyBorder="1" applyAlignment="1">
      <alignment horizontal="left" vertical="center" wrapText="1"/>
    </xf>
    <xf numFmtId="170" fontId="51" fillId="12" borderId="61" xfId="0" applyFont="1" applyFill="1" applyBorder="1" applyAlignment="1">
      <alignment horizontal="left" vertical="center" wrapText="1"/>
    </xf>
    <xf numFmtId="170" fontId="51" fillId="12" borderId="18" xfId="0" applyFont="1" applyFill="1" applyBorder="1" applyAlignment="1">
      <alignment horizontal="left" vertical="center" wrapText="1"/>
    </xf>
    <xf numFmtId="170" fontId="0" fillId="0" borderId="61" xfId="0" applyBorder="1"/>
    <xf numFmtId="170" fontId="0" fillId="0" borderId="18" xfId="0" applyBorder="1"/>
    <xf numFmtId="170" fontId="74" fillId="12" borderId="86" xfId="0" applyFont="1" applyFill="1" applyBorder="1" applyAlignment="1">
      <alignment horizontal="left" vertical="center" wrapText="1"/>
    </xf>
    <xf numFmtId="170" fontId="74" fillId="12" borderId="16" xfId="0" applyFont="1" applyFill="1" applyBorder="1" applyAlignment="1">
      <alignment horizontal="left" vertical="center" wrapText="1"/>
    </xf>
    <xf numFmtId="170" fontId="71" fillId="0" borderId="21" xfId="0" applyFont="1" applyFill="1" applyBorder="1" applyAlignment="1">
      <alignment vertical="top" wrapText="1"/>
    </xf>
    <xf numFmtId="170" fontId="70"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6" fillId="23" borderId="19" xfId="0" applyFont="1" applyFill="1" applyBorder="1"/>
    <xf numFmtId="170" fontId="0" fillId="0" borderId="118" xfId="0" applyBorder="1"/>
    <xf numFmtId="170" fontId="70"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4" fillId="0" borderId="118" xfId="0" applyFont="1" applyBorder="1"/>
    <xf numFmtId="170" fontId="16"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2" fillId="0" borderId="110" xfId="0" applyFont="1" applyBorder="1" applyAlignment="1">
      <alignment vertical="top" wrapText="1"/>
    </xf>
    <xf numFmtId="170" fontId="22" fillId="0" borderId="113" xfId="0" applyFont="1" applyBorder="1" applyAlignment="1">
      <alignment vertical="top"/>
    </xf>
    <xf numFmtId="170" fontId="22" fillId="0" borderId="119" xfId="0" applyFont="1" applyBorder="1"/>
    <xf numFmtId="170" fontId="22" fillId="0" borderId="121" xfId="0" applyFont="1" applyBorder="1"/>
    <xf numFmtId="170" fontId="22" fillId="0" borderId="118" xfId="0" applyFont="1" applyBorder="1"/>
    <xf numFmtId="170" fontId="51" fillId="12" borderId="19" xfId="0" applyFont="1" applyFill="1" applyBorder="1" applyAlignment="1">
      <alignment horizontal="left" vertical="center" wrapText="1"/>
    </xf>
    <xf numFmtId="49" fontId="87" fillId="23" borderId="19" xfId="0" applyNumberFormat="1" applyFont="1" applyFill="1" applyBorder="1"/>
    <xf numFmtId="170" fontId="43" fillId="0" borderId="21" xfId="0" applyFont="1" applyFill="1" applyBorder="1" applyAlignment="1">
      <alignment horizontal="justify" vertical="top"/>
    </xf>
    <xf numFmtId="170" fontId="43" fillId="0" borderId="114" xfId="0" applyFont="1" applyFill="1" applyBorder="1" applyAlignment="1">
      <alignment horizontal="justify" vertical="top"/>
    </xf>
    <xf numFmtId="170" fontId="0" fillId="0" borderId="113" xfId="0" applyFill="1" applyBorder="1" applyAlignment="1">
      <alignment horizontal="left"/>
    </xf>
    <xf numFmtId="170" fontId="0" fillId="0" borderId="18" xfId="0" applyFill="1" applyBorder="1" applyAlignment="1">
      <alignment horizontal="left"/>
    </xf>
    <xf numFmtId="170" fontId="70" fillId="0" borderId="0" xfId="148" applyBorder="1" applyAlignment="1" applyProtection="1">
      <alignment vertical="top"/>
    </xf>
    <xf numFmtId="170" fontId="6" fillId="0" borderId="111" xfId="0" applyFont="1" applyBorder="1"/>
    <xf numFmtId="170" fontId="70" fillId="0" borderId="80" xfId="148" applyBorder="1" applyAlignment="1" applyProtection="1"/>
    <xf numFmtId="170" fontId="70" fillId="0" borderId="80" xfId="148" quotePrefix="1" applyBorder="1" applyAlignment="1" applyProtection="1"/>
    <xf numFmtId="170" fontId="6" fillId="0" borderId="115" xfId="0" applyFont="1" applyBorder="1"/>
    <xf numFmtId="168" fontId="10" fillId="0" borderId="5" xfId="3" applyNumberFormat="1" applyFont="1" applyFill="1" applyBorder="1" applyAlignment="1">
      <alignment horizontal="center"/>
    </xf>
    <xf numFmtId="168" fontId="10" fillId="0" borderId="5" xfId="3" quotePrefix="1" applyNumberFormat="1" applyFont="1" applyFill="1" applyBorder="1" applyAlignment="1">
      <alignment horizontal="center"/>
    </xf>
    <xf numFmtId="168" fontId="11" fillId="0" borderId="5" xfId="3" applyNumberFormat="1" applyFont="1" applyFill="1" applyBorder="1" applyAlignment="1">
      <alignment horizontal="center"/>
    </xf>
    <xf numFmtId="168" fontId="10" fillId="0" borderId="4" xfId="3" applyNumberFormat="1" applyFont="1" applyFill="1" applyBorder="1" applyAlignment="1">
      <alignment horizontal="center"/>
    </xf>
    <xf numFmtId="170" fontId="22" fillId="0" borderId="5" xfId="0" applyFont="1" applyFill="1" applyBorder="1" applyAlignment="1">
      <alignment horizontal="left" vertical="top" wrapText="1"/>
    </xf>
    <xf numFmtId="168" fontId="10" fillId="0" borderId="0" xfId="3" quotePrefix="1" applyNumberFormat="1" applyFont="1" applyFill="1" applyBorder="1" applyAlignment="1">
      <alignment horizontal="center"/>
    </xf>
    <xf numFmtId="168" fontId="10" fillId="0" borderId="0" xfId="3" applyNumberFormat="1" applyFont="1" applyFill="1" applyBorder="1" applyAlignment="1">
      <alignment horizontal="center"/>
    </xf>
    <xf numFmtId="168" fontId="11" fillId="0" borderId="0" xfId="3" applyNumberFormat="1" applyFont="1" applyFill="1" applyBorder="1" applyAlignment="1">
      <alignment horizontal="center"/>
    </xf>
    <xf numFmtId="170" fontId="22" fillId="0" borderId="3" xfId="0" applyFont="1" applyFill="1" applyBorder="1" applyAlignment="1">
      <alignment horizontal="left" vertical="top" wrapText="1"/>
    </xf>
    <xf numFmtId="170" fontId="0" fillId="0" borderId="61" xfId="0" applyFill="1" applyBorder="1"/>
    <xf numFmtId="170" fontId="5" fillId="0" borderId="0" xfId="0" applyFont="1" applyBorder="1"/>
    <xf numFmtId="170" fontId="0" fillId="0" borderId="132" xfId="0" applyBorder="1"/>
    <xf numFmtId="170" fontId="0" fillId="0" borderId="133" xfId="0" applyBorder="1"/>
    <xf numFmtId="170" fontId="22" fillId="0" borderId="0" xfId="0" applyFont="1" applyBorder="1" applyAlignment="1">
      <alignment vertical="top" wrapText="1"/>
    </xf>
    <xf numFmtId="170" fontId="22" fillId="0" borderId="80" xfId="0" applyFont="1" applyBorder="1" applyAlignment="1">
      <alignment vertical="top"/>
    </xf>
    <xf numFmtId="3" fontId="0" fillId="13" borderId="15" xfId="0" quotePrefix="1" applyNumberFormat="1" applyFill="1" applyBorder="1" applyAlignment="1">
      <alignment horizontal="center"/>
    </xf>
    <xf numFmtId="170" fontId="22" fillId="0" borderId="113" xfId="0" applyFont="1" applyBorder="1" applyAlignment="1">
      <alignment vertical="top" wrapText="1"/>
    </xf>
    <xf numFmtId="170" fontId="17" fillId="0" borderId="0" xfId="0" applyFont="1" applyFill="1" applyAlignment="1">
      <alignment horizontal="center"/>
    </xf>
    <xf numFmtId="168" fontId="0" fillId="0" borderId="0" xfId="0" applyNumberFormat="1" applyFill="1" applyBorder="1" applyAlignment="1">
      <alignment horizontal="center"/>
    </xf>
    <xf numFmtId="170" fontId="5" fillId="0" borderId="0" xfId="0" applyFont="1" applyBorder="1" applyAlignment="1">
      <alignment horizontal="left"/>
    </xf>
    <xf numFmtId="170" fontId="17"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7" fillId="0" borderId="0" xfId="0" applyNumberFormat="1" applyFont="1" applyBorder="1" applyAlignment="1">
      <alignment horizontal="center"/>
    </xf>
    <xf numFmtId="170" fontId="17" fillId="0" borderId="0" xfId="0" applyFont="1" applyFill="1" applyBorder="1" applyAlignment="1">
      <alignment horizontal="center"/>
    </xf>
    <xf numFmtId="168" fontId="0" fillId="0" borderId="0" xfId="0" quotePrefix="1" applyNumberFormat="1" applyFill="1" applyBorder="1" applyAlignment="1">
      <alignment horizontal="center"/>
    </xf>
    <xf numFmtId="170" fontId="16" fillId="0" borderId="7" xfId="5" applyFont="1" applyFill="1" applyBorder="1" applyAlignment="1">
      <alignment wrapText="1"/>
    </xf>
    <xf numFmtId="170" fontId="40" fillId="0" borderId="7" xfId="5" applyFont="1" applyFill="1" applyBorder="1" applyAlignment="1">
      <alignment wrapText="1"/>
    </xf>
    <xf numFmtId="170" fontId="5" fillId="0" borderId="8" xfId="0" applyFont="1" applyBorder="1"/>
    <xf numFmtId="170" fontId="0" fillId="0" borderId="8" xfId="0" applyBorder="1"/>
    <xf numFmtId="170" fontId="16" fillId="0" borderId="10" xfId="5" applyFont="1" applyFill="1" applyBorder="1" applyAlignment="1">
      <alignment wrapText="1"/>
    </xf>
    <xf numFmtId="170" fontId="0" fillId="0" borderId="11" xfId="0" applyBorder="1"/>
    <xf numFmtId="170" fontId="5" fillId="0" borderId="8" xfId="0" applyFont="1" applyBorder="1" applyAlignment="1">
      <alignment horizontal="left"/>
    </xf>
    <xf numFmtId="170" fontId="0" fillId="0" borderId="12" xfId="0" applyBorder="1"/>
    <xf numFmtId="170" fontId="5"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39" fillId="0" borderId="134" xfId="5" applyFont="1" applyFill="1" applyBorder="1" applyAlignment="1">
      <alignment wrapText="1"/>
    </xf>
    <xf numFmtId="170" fontId="6" fillId="23" borderId="102" xfId="0" applyFont="1" applyFill="1" applyBorder="1"/>
    <xf numFmtId="170" fontId="6" fillId="23" borderId="52" xfId="0" applyFont="1" applyFill="1" applyBorder="1"/>
    <xf numFmtId="170" fontId="6" fillId="23" borderId="101" xfId="0" applyFont="1" applyFill="1" applyBorder="1"/>
    <xf numFmtId="3" fontId="0" fillId="0" borderId="61" xfId="0" applyNumberFormat="1" applyFill="1" applyBorder="1"/>
    <xf numFmtId="170" fontId="70" fillId="0" borderId="18" xfId="148" applyBorder="1" applyAlignment="1" applyProtection="1"/>
    <xf numFmtId="170" fontId="84" fillId="0" borderId="136" xfId="0" applyFont="1" applyBorder="1"/>
    <xf numFmtId="170" fontId="5" fillId="0" borderId="61" xfId="0" applyFont="1" applyBorder="1"/>
    <xf numFmtId="170" fontId="5" fillId="0" borderId="18" xfId="0" applyFont="1" applyBorder="1"/>
    <xf numFmtId="170" fontId="70" fillId="0" borderId="18" xfId="148" quotePrefix="1" applyBorder="1" applyAlignment="1" applyProtection="1"/>
    <xf numFmtId="170" fontId="6" fillId="23" borderId="3" xfId="0" applyFont="1" applyFill="1" applyBorder="1"/>
    <xf numFmtId="170" fontId="39" fillId="23" borderId="3" xfId="5" applyFont="1" applyFill="1" applyBorder="1" applyAlignment="1">
      <alignment wrapText="1"/>
    </xf>
    <xf numFmtId="170" fontId="23" fillId="0" borderId="0" xfId="0" applyFont="1" applyBorder="1" applyAlignment="1">
      <alignment horizontal="justify"/>
    </xf>
    <xf numFmtId="170" fontId="0" fillId="0" borderId="0" xfId="0" applyFill="1" applyBorder="1" applyAlignment="1">
      <alignment horizontal="left" vertical="top" indent="2"/>
    </xf>
    <xf numFmtId="170" fontId="24"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6" fillId="0" borderId="111" xfId="0" applyFont="1" applyBorder="1" applyAlignment="1">
      <alignment horizontal="center"/>
    </xf>
    <xf numFmtId="170" fontId="0" fillId="23" borderId="5" xfId="0" applyFill="1" applyBorder="1"/>
    <xf numFmtId="170" fontId="93" fillId="23" borderId="4" xfId="0" applyFont="1" applyFill="1" applyBorder="1"/>
    <xf numFmtId="170" fontId="93" fillId="0" borderId="8" xfId="0" applyFont="1" applyFill="1" applyBorder="1"/>
    <xf numFmtId="170" fontId="40" fillId="0" borderId="134" xfId="5" applyFont="1" applyFill="1" applyBorder="1" applyAlignment="1">
      <alignment wrapText="1"/>
    </xf>
    <xf numFmtId="170" fontId="0" fillId="0" borderId="111" xfId="0" applyFill="1" applyBorder="1"/>
    <xf numFmtId="170" fontId="6" fillId="0" borderId="111" xfId="0" applyFont="1" applyFill="1" applyBorder="1"/>
    <xf numFmtId="170" fontId="93" fillId="0" borderId="8" xfId="0" applyFont="1" applyBorder="1"/>
    <xf numFmtId="170" fontId="0" fillId="0" borderId="140" xfId="0" applyBorder="1"/>
    <xf numFmtId="170" fontId="43" fillId="0" borderId="7" xfId="0" applyFont="1" applyFill="1" applyBorder="1" applyAlignment="1">
      <alignment horizontal="left" vertical="top" wrapText="1"/>
    </xf>
    <xf numFmtId="170" fontId="43" fillId="0" borderId="0" xfId="0" applyFont="1" applyFill="1" applyBorder="1" applyAlignment="1">
      <alignment horizontal="left" vertical="top" wrapText="1"/>
    </xf>
    <xf numFmtId="168" fontId="10" fillId="0" borderId="8" xfId="3" applyNumberFormat="1" applyFont="1" applyFill="1" applyBorder="1" applyAlignment="1">
      <alignment horizontal="center"/>
    </xf>
    <xf numFmtId="170" fontId="6" fillId="0" borderId="144" xfId="0" applyFont="1" applyBorder="1"/>
    <xf numFmtId="170" fontId="0" fillId="0" borderId="145" xfId="0" applyBorder="1" applyAlignment="1">
      <alignment horizontal="center"/>
    </xf>
    <xf numFmtId="170" fontId="6" fillId="0" borderId="147" xfId="0" applyFont="1" applyBorder="1"/>
    <xf numFmtId="170" fontId="0" fillId="0" borderId="143" xfId="0" applyBorder="1" applyAlignment="1">
      <alignment horizontal="center"/>
    </xf>
    <xf numFmtId="170" fontId="0" fillId="0" borderId="149" xfId="0" applyBorder="1"/>
    <xf numFmtId="170" fontId="16" fillId="0" borderId="121" xfId="5" applyFont="1" applyFill="1" applyBorder="1" applyAlignment="1">
      <alignment wrapText="1"/>
    </xf>
    <xf numFmtId="170" fontId="0" fillId="0" borderId="143" xfId="0" applyBorder="1" applyAlignment="1">
      <alignment horizontal="left"/>
    </xf>
    <xf numFmtId="170" fontId="6" fillId="0" borderId="149" xfId="0" applyFont="1" applyBorder="1"/>
    <xf numFmtId="170" fontId="43" fillId="0" borderId="135" xfId="0" applyFont="1" applyFill="1" applyBorder="1"/>
    <xf numFmtId="170" fontId="43" fillId="0" borderId="135" xfId="0" applyFont="1" applyBorder="1"/>
    <xf numFmtId="170" fontId="6" fillId="0" borderId="121" xfId="0" applyFont="1" applyFill="1" applyBorder="1"/>
    <xf numFmtId="170" fontId="0" fillId="23" borderId="4" xfId="0" applyFill="1" applyBorder="1"/>
    <xf numFmtId="170" fontId="6" fillId="0" borderId="134" xfId="0" applyFont="1" applyBorder="1"/>
    <xf numFmtId="170" fontId="43"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39"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5" fillId="0" borderId="8" xfId="0" applyFont="1" applyBorder="1" applyAlignment="1">
      <alignment horizontal="center"/>
    </xf>
    <xf numFmtId="168" fontId="0" fillId="0" borderId="12" xfId="0" quotePrefix="1" applyNumberFormat="1" applyFill="1" applyBorder="1" applyAlignment="1">
      <alignment horizontal="center"/>
    </xf>
    <xf numFmtId="170" fontId="6" fillId="0" borderId="7" xfId="0" applyFont="1" applyFill="1" applyBorder="1"/>
    <xf numFmtId="170" fontId="16" fillId="0" borderId="8" xfId="5" applyFont="1" applyFill="1" applyBorder="1" applyAlignment="1">
      <alignment wrapText="1"/>
    </xf>
    <xf numFmtId="170" fontId="17" fillId="0" borderId="149" xfId="0" applyFont="1" applyFill="1" applyBorder="1"/>
    <xf numFmtId="170" fontId="39" fillId="0" borderId="151" xfId="5" applyFont="1" applyFill="1" applyBorder="1" applyAlignment="1">
      <alignment wrapText="1"/>
    </xf>
    <xf numFmtId="170" fontId="0" fillId="0" borderId="10" xfId="0" applyFill="1" applyBorder="1"/>
    <xf numFmtId="170" fontId="0" fillId="0" borderId="11" xfId="0" applyFill="1" applyBorder="1"/>
    <xf numFmtId="170" fontId="6" fillId="0" borderId="149" xfId="0" applyFont="1" applyFill="1" applyBorder="1"/>
    <xf numFmtId="170" fontId="0" fillId="0" borderId="121" xfId="0" applyFill="1" applyBorder="1"/>
    <xf numFmtId="170" fontId="6" fillId="0" borderId="151" xfId="0" applyFont="1" applyFill="1" applyBorder="1"/>
    <xf numFmtId="170" fontId="16"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0" fontId="5" fillId="0" borderId="0" xfId="0" applyFont="1" applyFill="1"/>
    <xf numFmtId="3" fontId="94"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7" fillId="0" borderId="7" xfId="0" applyFont="1" applyFill="1" applyBorder="1"/>
    <xf numFmtId="170" fontId="0" fillId="0" borderId="147" xfId="0" applyFill="1" applyBorder="1"/>
    <xf numFmtId="170" fontId="0" fillId="0" borderId="7" xfId="0" applyFont="1" applyFill="1" applyBorder="1"/>
    <xf numFmtId="170" fontId="0" fillId="0" borderId="153" xfId="0" applyFill="1" applyBorder="1" applyAlignment="1">
      <alignment horizontal="left"/>
    </xf>
    <xf numFmtId="3" fontId="5" fillId="0" borderId="0" xfId="0" applyNumberFormat="1" applyFont="1" applyAlignment="1">
      <alignment horizontal="center"/>
    </xf>
    <xf numFmtId="170" fontId="3" fillId="0" borderId="152" xfId="1" applyBorder="1"/>
    <xf numFmtId="170" fontId="3" fillId="0" borderId="0" xfId="1" applyBorder="1"/>
    <xf numFmtId="170" fontId="0" fillId="0" borderId="152" xfId="0" applyBorder="1"/>
    <xf numFmtId="170" fontId="43" fillId="23" borderId="3" xfId="1" applyFont="1" applyFill="1" applyBorder="1"/>
    <xf numFmtId="170" fontId="22" fillId="23" borderId="5" xfId="0" applyFont="1" applyFill="1" applyBorder="1"/>
    <xf numFmtId="170" fontId="22"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2"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48"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0" fontId="0" fillId="0" borderId="8" xfId="0" applyFont="1" applyFill="1" applyBorder="1"/>
    <xf numFmtId="170" fontId="49" fillId="0" borderId="0" xfId="0" applyFont="1" applyFill="1" applyBorder="1"/>
    <xf numFmtId="10" fontId="4" fillId="0" borderId="121" xfId="52" applyNumberFormat="1" applyFont="1" applyFill="1" applyBorder="1" applyAlignment="1">
      <alignment horizontal="center" vertical="center"/>
    </xf>
    <xf numFmtId="170" fontId="6" fillId="0" borderId="3" xfId="0" applyFont="1" applyBorder="1"/>
    <xf numFmtId="170" fontId="22" fillId="0" borderId="152" xfId="0" applyFont="1" applyBorder="1"/>
    <xf numFmtId="170" fontId="22" fillId="0" borderId="152" xfId="0" applyFont="1" applyFill="1" applyBorder="1"/>
    <xf numFmtId="170" fontId="22" fillId="0" borderId="0" xfId="0" applyFont="1" applyFill="1" applyBorder="1"/>
    <xf numFmtId="9" fontId="22" fillId="0" borderId="0" xfId="0" applyNumberFormat="1" applyFont="1" applyBorder="1"/>
    <xf numFmtId="170" fontId="46" fillId="0" borderId="10" xfId="0" applyFont="1" applyBorder="1"/>
    <xf numFmtId="9" fontId="46" fillId="0" borderId="12" xfId="0" applyNumberFormat="1" applyFont="1" applyBorder="1"/>
    <xf numFmtId="170" fontId="22" fillId="0" borderId="152" xfId="1" applyFont="1" applyFill="1" applyBorder="1"/>
    <xf numFmtId="170" fontId="22" fillId="0" borderId="8" xfId="0" applyFont="1" applyFill="1" applyBorder="1"/>
    <xf numFmtId="170" fontId="22" fillId="0" borderId="149" xfId="1" applyFont="1" applyBorder="1"/>
    <xf numFmtId="170" fontId="22" fillId="0" borderId="151" xfId="0" applyFont="1" applyBorder="1"/>
    <xf numFmtId="170" fontId="6" fillId="0" borderId="3" xfId="0" applyFont="1" applyFill="1" applyBorder="1"/>
    <xf numFmtId="170" fontId="6" fillId="0" borderId="0" xfId="0" applyFont="1" applyFill="1"/>
    <xf numFmtId="9" fontId="22" fillId="3" borderId="0" xfId="0" applyNumberFormat="1" applyFont="1" applyFill="1" applyBorder="1"/>
    <xf numFmtId="170" fontId="22" fillId="0" borderId="8" xfId="0" applyFont="1" applyBorder="1"/>
    <xf numFmtId="170" fontId="0" fillId="0" borderId="80" xfId="0" applyBorder="1" applyAlignment="1">
      <alignment vertical="top" wrapText="1"/>
    </xf>
    <xf numFmtId="170" fontId="6" fillId="0" borderId="80" xfId="0" applyFont="1" applyFill="1" applyBorder="1"/>
    <xf numFmtId="170" fontId="6" fillId="0" borderId="114" xfId="0" applyFont="1" applyBorder="1"/>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170" fontId="0" fillId="0" borderId="18" xfId="0" applyFill="1" applyBorder="1"/>
    <xf numFmtId="3" fontId="58" fillId="18" borderId="156" xfId="0" applyNumberFormat="1" applyFont="1" applyFill="1" applyBorder="1" applyAlignment="1">
      <alignment horizontal="center" vertical="center"/>
    </xf>
    <xf numFmtId="170" fontId="22" fillId="0" borderId="8" xfId="0" applyFont="1" applyBorder="1" applyAlignment="1">
      <alignment horizontal="left"/>
    </xf>
    <xf numFmtId="3" fontId="22" fillId="3" borderId="15" xfId="0" applyNumberFormat="1" applyFont="1" applyFill="1" applyBorder="1" applyAlignment="1">
      <alignment horizontal="right"/>
    </xf>
    <xf numFmtId="3" fontId="95" fillId="0" borderId="0" xfId="0" applyNumberFormat="1" applyFont="1" applyFill="1" applyBorder="1" applyAlignment="1">
      <alignment horizontal="center"/>
    </xf>
    <xf numFmtId="170" fontId="0" fillId="0" borderId="0" xfId="0" applyAlignment="1">
      <alignment horizontal="left" vertical="top" wrapText="1"/>
    </xf>
    <xf numFmtId="0" fontId="22"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3" fillId="0" borderId="5" xfId="0" applyNumberFormat="1" applyFont="1" applyFill="1" applyBorder="1"/>
    <xf numFmtId="2" fontId="43" fillId="0" borderId="4" xfId="0" applyNumberFormat="1" applyFont="1" applyFill="1" applyBorder="1"/>
    <xf numFmtId="2" fontId="22" fillId="3" borderId="0" xfId="0" applyNumberFormat="1" applyFont="1" applyFill="1" applyBorder="1"/>
    <xf numFmtId="2" fontId="22" fillId="3" borderId="0" xfId="1" applyNumberFormat="1" applyFont="1" applyFill="1" applyBorder="1"/>
    <xf numFmtId="2" fontId="5" fillId="3" borderId="0" xfId="0" applyNumberFormat="1" applyFont="1" applyFill="1" applyBorder="1"/>
    <xf numFmtId="2" fontId="22" fillId="3" borderId="8" xfId="0" applyNumberFormat="1" applyFont="1" applyFill="1" applyBorder="1"/>
    <xf numFmtId="2" fontId="22" fillId="3" borderId="12" xfId="0" applyNumberFormat="1" applyFont="1" applyFill="1" applyBorder="1"/>
    <xf numFmtId="2" fontId="22" fillId="3" borderId="12" xfId="1" applyNumberFormat="1" applyFont="1" applyFill="1" applyBorder="1"/>
    <xf numFmtId="2" fontId="5" fillId="3" borderId="12" xfId="0" applyNumberFormat="1" applyFont="1" applyFill="1" applyBorder="1"/>
    <xf numFmtId="2" fontId="22" fillId="3" borderId="11" xfId="0" applyNumberFormat="1" applyFont="1" applyFill="1" applyBorder="1"/>
    <xf numFmtId="170" fontId="6" fillId="0" borderId="27" xfId="0" applyFont="1" applyBorder="1"/>
    <xf numFmtId="0" fontId="0" fillId="0" borderId="0" xfId="0" applyNumberFormat="1"/>
    <xf numFmtId="0" fontId="22" fillId="23" borderId="52" xfId="0" applyNumberFormat="1" applyFont="1" applyFill="1" applyBorder="1"/>
    <xf numFmtId="0" fontId="22" fillId="23" borderId="162" xfId="0" applyNumberFormat="1" applyFont="1" applyFill="1" applyBorder="1"/>
    <xf numFmtId="0" fontId="0" fillId="0" borderId="111" xfId="0" applyNumberFormat="1" applyBorder="1"/>
    <xf numFmtId="0" fontId="78" fillId="0" borderId="0" xfId="0" applyNumberFormat="1" applyFont="1"/>
    <xf numFmtId="0" fontId="22" fillId="23" borderId="101" xfId="0" applyNumberFormat="1" applyFont="1" applyFill="1" applyBorder="1"/>
    <xf numFmtId="0" fontId="0" fillId="0" borderId="0" xfId="0" applyNumberFormat="1" applyBorder="1"/>
    <xf numFmtId="0" fontId="22" fillId="23" borderId="0" xfId="0" applyNumberFormat="1" applyFont="1" applyFill="1" applyBorder="1"/>
    <xf numFmtId="0" fontId="43" fillId="23" borderId="0" xfId="0" applyNumberFormat="1" applyFont="1" applyFill="1" applyBorder="1"/>
    <xf numFmtId="0" fontId="22" fillId="23" borderId="80" xfId="0" applyNumberFormat="1" applyFont="1" applyFill="1" applyBorder="1"/>
    <xf numFmtId="0" fontId="22" fillId="23" borderId="129" xfId="0" applyNumberFormat="1" applyFont="1" applyFill="1" applyBorder="1"/>
    <xf numFmtId="0" fontId="43" fillId="23" borderId="116" xfId="0" applyNumberFormat="1" applyFont="1" applyFill="1" applyBorder="1"/>
    <xf numFmtId="0" fontId="43"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0" fillId="4" borderId="0" xfId="148" applyNumberFormat="1" applyFill="1" applyAlignment="1" applyProtection="1"/>
    <xf numFmtId="0" fontId="22" fillId="24" borderId="0" xfId="0" applyNumberFormat="1" applyFont="1" applyFill="1"/>
    <xf numFmtId="0" fontId="22" fillId="25" borderId="0" xfId="0" applyNumberFormat="1" applyFont="1" applyFill="1"/>
    <xf numFmtId="0" fontId="91" fillId="4" borderId="0" xfId="148" applyNumberFormat="1" applyFont="1" applyFill="1" applyAlignment="1" applyProtection="1"/>
    <xf numFmtId="0" fontId="70" fillId="25" borderId="0" xfId="148" applyNumberFormat="1" applyFill="1" applyAlignment="1" applyProtection="1"/>
    <xf numFmtId="0" fontId="22"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7"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3" fillId="23" borderId="19" xfId="0" applyNumberFormat="1" applyFont="1" applyFill="1" applyBorder="1"/>
    <xf numFmtId="0" fontId="37" fillId="23" borderId="86" xfId="0" applyNumberFormat="1" applyFont="1" applyFill="1" applyBorder="1" applyAlignment="1">
      <alignment horizontal="center" vertical="center" wrapText="1"/>
    </xf>
    <xf numFmtId="0" fontId="37"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3"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3" fillId="0" borderId="80" xfId="0" applyNumberFormat="1" applyFont="1" applyFill="1" applyBorder="1" applyAlignment="1">
      <alignment horizontal="left" vertical="top" wrapText="1"/>
    </xf>
    <xf numFmtId="0" fontId="70" fillId="0" borderId="112" xfId="148" applyNumberFormat="1" applyBorder="1" applyAlignment="1" applyProtection="1"/>
    <xf numFmtId="0" fontId="0" fillId="0" borderId="110" xfId="0" applyNumberFormat="1" applyBorder="1"/>
    <xf numFmtId="0" fontId="0" fillId="0" borderId="113" xfId="0" applyNumberFormat="1" applyBorder="1"/>
    <xf numFmtId="0" fontId="70" fillId="0" borderId="114" xfId="148" applyNumberFormat="1" applyBorder="1" applyAlignment="1" applyProtection="1"/>
    <xf numFmtId="0" fontId="0" fillId="0" borderId="115" xfId="0" applyNumberFormat="1" applyBorder="1"/>
    <xf numFmtId="0" fontId="70" fillId="0" borderId="112" xfId="148" quotePrefix="1" applyNumberFormat="1" applyBorder="1" applyAlignment="1" applyProtection="1"/>
    <xf numFmtId="0" fontId="0" fillId="0" borderId="114" xfId="0" applyNumberFormat="1" applyBorder="1"/>
    <xf numFmtId="0" fontId="22" fillId="0" borderId="0" xfId="0" applyNumberFormat="1" applyFont="1" applyBorder="1"/>
    <xf numFmtId="0" fontId="22" fillId="0" borderId="80" xfId="0" applyNumberFormat="1" applyFont="1" applyBorder="1"/>
    <xf numFmtId="0" fontId="22" fillId="0" borderId="0" xfId="0" applyNumberFormat="1" applyFont="1"/>
    <xf numFmtId="0" fontId="22" fillId="0" borderId="0" xfId="0" applyNumberFormat="1" applyFont="1" applyFill="1"/>
    <xf numFmtId="0" fontId="27" fillId="0" borderId="0" xfId="0" applyNumberFormat="1" applyFont="1"/>
    <xf numFmtId="0" fontId="22" fillId="0" borderId="21" xfId="0" applyNumberFormat="1" applyFont="1" applyBorder="1" applyAlignment="1">
      <alignment horizontal="justify" wrapText="1"/>
    </xf>
    <xf numFmtId="0" fontId="76" fillId="0" borderId="102" xfId="0" applyNumberFormat="1" applyFont="1" applyFill="1" applyBorder="1" applyAlignment="1">
      <alignment horizontal="left" vertical="center" wrapText="1"/>
    </xf>
    <xf numFmtId="0" fontId="77" fillId="0" borderId="52" xfId="0" applyNumberFormat="1" applyFont="1" applyFill="1" applyBorder="1" applyAlignment="1">
      <alignment horizontal="left" vertical="center" wrapText="1"/>
    </xf>
    <xf numFmtId="0" fontId="77" fillId="0" borderId="101" xfId="0" applyNumberFormat="1" applyFont="1" applyFill="1" applyBorder="1" applyAlignment="1">
      <alignment horizontal="left" vertical="center" wrapText="1"/>
    </xf>
    <xf numFmtId="0" fontId="78" fillId="0" borderId="0" xfId="0" applyNumberFormat="1" applyFont="1" applyFill="1"/>
    <xf numFmtId="0" fontId="76" fillId="0" borderId="21"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81" fillId="0" borderId="21" xfId="0" applyNumberFormat="1" applyFont="1" applyFill="1" applyBorder="1" applyAlignment="1">
      <alignment horizontal="left" vertical="center" wrapText="1"/>
    </xf>
    <xf numFmtId="0" fontId="80" fillId="12" borderId="102" xfId="0" applyNumberFormat="1" applyFont="1" applyFill="1" applyBorder="1" applyAlignment="1">
      <alignment horizontal="left" vertical="center"/>
    </xf>
    <xf numFmtId="0" fontId="80" fillId="12" borderId="52" xfId="0" applyNumberFormat="1" applyFont="1" applyFill="1" applyBorder="1" applyAlignment="1">
      <alignment horizontal="left" vertical="center"/>
    </xf>
    <xf numFmtId="0" fontId="80" fillId="12" borderId="101" xfId="0" applyNumberFormat="1" applyFont="1" applyFill="1" applyBorder="1" applyAlignment="1">
      <alignment horizontal="left" vertical="center" wrapText="1"/>
    </xf>
    <xf numFmtId="0" fontId="22" fillId="15" borderId="112" xfId="0" applyNumberFormat="1" applyFont="1" applyFill="1" applyBorder="1" applyAlignment="1">
      <alignment horizontal="justify" vertical="top" wrapText="1"/>
    </xf>
    <xf numFmtId="0" fontId="22" fillId="0" borderId="110" xfId="0" applyNumberFormat="1" applyFont="1" applyFill="1" applyBorder="1" applyAlignment="1">
      <alignment horizontal="justify" vertical="top" wrapText="1"/>
    </xf>
    <xf numFmtId="0" fontId="22"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2" fillId="0" borderId="0" xfId="0" applyNumberFormat="1" applyFont="1" applyFill="1" applyBorder="1" applyAlignment="1">
      <alignment horizontal="justify" vertical="top" wrapText="1"/>
    </xf>
    <xf numFmtId="0" fontId="22"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4"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2" fillId="23" borderId="16" xfId="0" applyNumberFormat="1" applyFont="1" applyFill="1" applyBorder="1" applyAlignment="1">
      <alignment horizontal="justify" wrapText="1"/>
    </xf>
    <xf numFmtId="0" fontId="74" fillId="12" borderId="86" xfId="0" applyNumberFormat="1" applyFont="1" applyFill="1" applyBorder="1" applyAlignment="1">
      <alignment horizontal="left" vertical="center" wrapText="1"/>
    </xf>
    <xf numFmtId="0" fontId="74" fillId="12" borderId="16" xfId="0" applyNumberFormat="1" applyFont="1" applyFill="1" applyBorder="1" applyAlignment="1">
      <alignment horizontal="left" vertical="center" wrapText="1"/>
    </xf>
    <xf numFmtId="0" fontId="51" fillId="12" borderId="19" xfId="0" applyNumberFormat="1" applyFont="1" applyFill="1" applyBorder="1" applyAlignment="1">
      <alignment horizontal="left" vertical="center" wrapText="1"/>
    </xf>
    <xf numFmtId="0" fontId="76" fillId="0" borderId="0" xfId="0" applyNumberFormat="1" applyFont="1" applyFill="1" applyBorder="1" applyAlignment="1">
      <alignment horizontal="left" vertical="center" wrapText="1"/>
    </xf>
    <xf numFmtId="0" fontId="76" fillId="0" borderId="80" xfId="0" applyNumberFormat="1" applyFont="1" applyFill="1" applyBorder="1" applyAlignment="1">
      <alignment horizontal="left" vertical="center" wrapText="1"/>
    </xf>
    <xf numFmtId="0" fontId="71" fillId="0" borderId="21" xfId="0" applyNumberFormat="1" applyFont="1" applyFill="1" applyBorder="1" applyAlignment="1">
      <alignment vertical="top" wrapText="1"/>
    </xf>
    <xf numFmtId="0" fontId="70"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0"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7" fillId="0" borderId="0" xfId="0" applyFont="1"/>
    <xf numFmtId="10" fontId="0" fillId="3" borderId="0" xfId="52" applyNumberFormat="1" applyFont="1" applyFill="1"/>
    <xf numFmtId="170" fontId="9" fillId="4" borderId="149" xfId="0" applyFont="1" applyFill="1" applyBorder="1" applyAlignment="1">
      <alignment vertical="center"/>
    </xf>
    <xf numFmtId="174" fontId="6" fillId="0" borderId="5" xfId="0" applyNumberFormat="1" applyFont="1" applyBorder="1"/>
    <xf numFmtId="174" fontId="22" fillId="3" borderId="0" xfId="0" applyNumberFormat="1" applyFont="1" applyFill="1" applyBorder="1"/>
    <xf numFmtId="174" fontId="22" fillId="3" borderId="8" xfId="0" applyNumberFormat="1" applyFont="1" applyFill="1" applyBorder="1"/>
    <xf numFmtId="174" fontId="22" fillId="3" borderId="0" xfId="1" applyNumberFormat="1" applyFont="1" applyFill="1" applyBorder="1"/>
    <xf numFmtId="174" fontId="22" fillId="3" borderId="12" xfId="0" applyNumberFormat="1" applyFont="1" applyFill="1" applyBorder="1"/>
    <xf numFmtId="174" fontId="22" fillId="3" borderId="12" xfId="1" applyNumberFormat="1" applyFont="1" applyFill="1" applyBorder="1"/>
    <xf numFmtId="174" fontId="22"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6"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6" fillId="0" borderId="5" xfId="0" applyNumberFormat="1" applyFont="1" applyFill="1" applyBorder="1" applyAlignment="1">
      <alignment horizontal="right"/>
    </xf>
    <xf numFmtId="174" fontId="6"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6" fillId="12" borderId="38" xfId="0" applyNumberFormat="1" applyFont="1" applyFill="1" applyBorder="1" applyAlignment="1">
      <alignment horizontal="center" vertical="center" wrapText="1"/>
    </xf>
    <xf numFmtId="0" fontId="70" fillId="0" borderId="0" xfId="148" applyNumberFormat="1" applyBorder="1" applyAlignment="1" applyProtection="1">
      <alignment vertical="top"/>
    </xf>
    <xf numFmtId="3" fontId="54" fillId="0" borderId="0" xfId="0" applyNumberFormat="1" applyFont="1"/>
    <xf numFmtId="3" fontId="56" fillId="0" borderId="0" xfId="0" applyNumberFormat="1" applyFont="1" applyAlignment="1">
      <alignment horizontal="left"/>
    </xf>
    <xf numFmtId="3" fontId="54" fillId="0" borderId="0" xfId="0" applyNumberFormat="1" applyFont="1" applyAlignment="1">
      <alignment vertical="center"/>
    </xf>
    <xf numFmtId="3" fontId="37"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2" fillId="0" borderId="9" xfId="0" applyNumberFormat="1" applyFont="1" applyBorder="1"/>
    <xf numFmtId="3" fontId="22" fillId="0" borderId="0" xfId="0" applyNumberFormat="1" applyFont="1" applyBorder="1"/>
    <xf numFmtId="3" fontId="22"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2"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7" fillId="0" borderId="120" xfId="0" applyNumberFormat="1" applyFont="1" applyBorder="1"/>
    <xf numFmtId="3" fontId="85"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2"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2" fillId="0" borderId="12" xfId="0" applyNumberFormat="1" applyFont="1" applyBorder="1" applyAlignment="1">
      <alignment horizontal="left"/>
    </xf>
    <xf numFmtId="3" fontId="22" fillId="0" borderId="11" xfId="0" applyNumberFormat="1" applyFont="1" applyBorder="1"/>
    <xf numFmtId="3" fontId="0" fillId="0" borderId="0" xfId="0" applyNumberFormat="1" applyFill="1" applyBorder="1" applyAlignment="1">
      <alignment horizontal="left"/>
    </xf>
    <xf numFmtId="3" fontId="39" fillId="23" borderId="3" xfId="5" applyNumberFormat="1" applyFont="1" applyFill="1" applyBorder="1" applyAlignment="1">
      <alignment wrapText="1"/>
    </xf>
    <xf numFmtId="3" fontId="39"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3"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3"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3"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6" fillId="13" borderId="0" xfId="0" applyNumberFormat="1" applyFont="1" applyFill="1" applyBorder="1"/>
    <xf numFmtId="175" fontId="0" fillId="3" borderId="0" xfId="0" applyNumberFormat="1" applyFill="1" applyBorder="1"/>
    <xf numFmtId="174" fontId="6"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7" fillId="12" borderId="73" xfId="0" applyNumberFormat="1" applyFont="1" applyFill="1" applyBorder="1" applyAlignment="1" applyProtection="1">
      <alignment horizontal="center" vertical="center" wrapText="1"/>
    </xf>
    <xf numFmtId="0" fontId="37" fillId="12" borderId="154" xfId="0" applyNumberFormat="1" applyFont="1" applyFill="1" applyBorder="1" applyAlignment="1" applyProtection="1">
      <alignment horizontal="center" vertical="center" wrapText="1"/>
    </xf>
    <xf numFmtId="0" fontId="37" fillId="12" borderId="74" xfId="0" applyNumberFormat="1" applyFont="1" applyFill="1" applyBorder="1" applyAlignment="1" applyProtection="1">
      <alignment horizontal="center" vertical="center" wrapText="1"/>
    </xf>
    <xf numFmtId="0" fontId="37" fillId="12" borderId="75" xfId="0" applyNumberFormat="1" applyFont="1" applyFill="1" applyBorder="1" applyAlignment="1" applyProtection="1">
      <alignment horizontal="center" vertical="center" wrapText="1"/>
    </xf>
    <xf numFmtId="170" fontId="39" fillId="0" borderId="77" xfId="0" applyFont="1" applyFill="1" applyBorder="1" applyAlignment="1" applyProtection="1">
      <alignment horizontal="center"/>
    </xf>
    <xf numFmtId="3" fontId="37" fillId="2" borderId="12" xfId="0" applyNumberFormat="1" applyFont="1" applyFill="1" applyBorder="1" applyAlignment="1" applyProtection="1">
      <alignment horizontal="right" vertical="center"/>
    </xf>
    <xf numFmtId="170" fontId="37" fillId="19" borderId="77" xfId="0" applyFont="1" applyFill="1" applyBorder="1" applyAlignment="1" applyProtection="1">
      <alignment horizontal="right" vertical="center"/>
    </xf>
    <xf numFmtId="170" fontId="37" fillId="0" borderId="47" xfId="0" applyFont="1" applyFill="1" applyBorder="1" applyAlignment="1" applyProtection="1">
      <alignment horizontal="center"/>
    </xf>
    <xf numFmtId="170" fontId="37" fillId="19" borderId="47" xfId="0" applyFont="1" applyFill="1" applyBorder="1" applyAlignment="1" applyProtection="1">
      <alignment horizontal="right" vertical="center"/>
    </xf>
    <xf numFmtId="170" fontId="39" fillId="0" borderId="47" xfId="0" applyFont="1" applyFill="1" applyBorder="1" applyAlignment="1" applyProtection="1">
      <alignment horizontal="center"/>
    </xf>
    <xf numFmtId="3" fontId="37" fillId="3" borderId="14" xfId="0" applyNumberFormat="1" applyFont="1" applyFill="1" applyBorder="1" applyAlignment="1" applyProtection="1">
      <alignment horizontal="right" vertical="center"/>
    </xf>
    <xf numFmtId="3" fontId="41" fillId="0" borderId="84" xfId="0" applyNumberFormat="1" applyFont="1" applyFill="1" applyBorder="1" applyAlignment="1" applyProtection="1">
      <alignment horizontal="right" vertical="center"/>
    </xf>
    <xf numFmtId="3" fontId="41" fillId="0" borderId="94" xfId="0" applyNumberFormat="1" applyFont="1" applyFill="1" applyBorder="1" applyAlignment="1" applyProtection="1">
      <alignment horizontal="right" vertical="center"/>
    </xf>
    <xf numFmtId="3" fontId="41" fillId="0" borderId="46" xfId="0" applyNumberFormat="1" applyFont="1" applyFill="1" applyBorder="1" applyAlignment="1" applyProtection="1">
      <alignment horizontal="right" vertical="center"/>
    </xf>
    <xf numFmtId="3" fontId="37" fillId="19" borderId="47" xfId="0" applyNumberFormat="1" applyFont="1" applyFill="1" applyBorder="1" applyAlignment="1" applyProtection="1">
      <alignment horizontal="right" vertical="center"/>
    </xf>
    <xf numFmtId="170" fontId="37" fillId="0" borderId="47" xfId="0" applyFont="1" applyFill="1" applyBorder="1" applyAlignment="1" applyProtection="1">
      <alignment horizontal="center" wrapText="1"/>
    </xf>
    <xf numFmtId="3" fontId="41" fillId="0" borderId="85" xfId="0" applyNumberFormat="1" applyFont="1" applyFill="1" applyBorder="1" applyAlignment="1" applyProtection="1">
      <alignment horizontal="right" vertical="center"/>
    </xf>
    <xf numFmtId="3" fontId="41" fillId="0" borderId="6" xfId="0" applyNumberFormat="1" applyFont="1" applyFill="1" applyBorder="1" applyAlignment="1" applyProtection="1">
      <alignment horizontal="right" vertical="center"/>
    </xf>
    <xf numFmtId="3" fontId="41" fillId="0" borderId="95" xfId="0" applyNumberFormat="1" applyFont="1" applyFill="1" applyBorder="1" applyAlignment="1" applyProtection="1">
      <alignment horizontal="right" vertical="center"/>
    </xf>
    <xf numFmtId="3" fontId="41" fillId="0" borderId="39" xfId="0" applyNumberFormat="1" applyFont="1" applyFill="1" applyBorder="1" applyAlignment="1" applyProtection="1">
      <alignment horizontal="right" vertical="center"/>
    </xf>
    <xf numFmtId="170" fontId="0" fillId="0" borderId="66" xfId="0" applyFill="1" applyBorder="1" applyProtection="1"/>
    <xf numFmtId="170" fontId="37" fillId="12" borderId="35" xfId="0" applyFont="1" applyFill="1" applyBorder="1" applyAlignment="1" applyProtection="1">
      <alignment horizontal="center"/>
    </xf>
    <xf numFmtId="3" fontId="37" fillId="19" borderId="25" xfId="0" applyNumberFormat="1" applyFont="1" applyFill="1" applyBorder="1" applyAlignment="1" applyProtection="1">
      <alignment horizontal="right" vertical="center"/>
    </xf>
    <xf numFmtId="3" fontId="37" fillId="19" borderId="55" xfId="0" applyNumberFormat="1" applyFont="1" applyFill="1" applyBorder="1" applyAlignment="1" applyProtection="1">
      <alignment horizontal="right" vertical="center"/>
    </xf>
    <xf numFmtId="3" fontId="37" fillId="19" borderId="30" xfId="0" applyNumberFormat="1" applyFont="1" applyFill="1" applyBorder="1" applyAlignment="1" applyProtection="1">
      <alignment horizontal="right" vertical="center"/>
    </xf>
    <xf numFmtId="170" fontId="41" fillId="0" borderId="29" xfId="0" applyFont="1" applyFill="1" applyBorder="1" applyAlignment="1" applyProtection="1">
      <alignment horizontal="right" vertical="center"/>
    </xf>
    <xf numFmtId="170" fontId="6"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6" fillId="0" borderId="0" xfId="0" applyFont="1" applyFill="1" applyBorder="1" applyProtection="1"/>
    <xf numFmtId="0" fontId="37" fillId="12" borderId="36" xfId="0" applyNumberFormat="1" applyFont="1" applyFill="1" applyBorder="1" applyAlignment="1" applyProtection="1">
      <alignment horizontal="center" vertical="center" wrapText="1"/>
    </xf>
    <xf numFmtId="0" fontId="37" fillId="12" borderId="87" xfId="0" applyNumberFormat="1" applyFont="1" applyFill="1" applyBorder="1" applyAlignment="1" applyProtection="1">
      <alignment horizontal="center" vertical="center" wrapText="1"/>
    </xf>
    <xf numFmtId="170" fontId="39" fillId="0" borderId="77" xfId="0" applyFont="1" applyBorder="1" applyAlignment="1" applyProtection="1">
      <alignment horizontal="center" vertical="center"/>
    </xf>
    <xf numFmtId="3" fontId="37" fillId="3" borderId="77" xfId="0" applyNumberFormat="1" applyFont="1" applyFill="1" applyBorder="1" applyAlignment="1" applyProtection="1">
      <alignment horizontal="right" vertical="center"/>
    </xf>
    <xf numFmtId="3" fontId="41" fillId="0" borderId="11" xfId="0" applyNumberFormat="1" applyFont="1" applyFill="1" applyBorder="1" applyAlignment="1" applyProtection="1">
      <alignment horizontal="right" vertical="center"/>
    </xf>
    <xf numFmtId="3" fontId="41" fillId="0" borderId="13" xfId="0" applyNumberFormat="1" applyFont="1" applyFill="1" applyBorder="1" applyAlignment="1" applyProtection="1">
      <alignment horizontal="right" vertical="center"/>
    </xf>
    <xf numFmtId="3" fontId="30" fillId="0" borderId="13" xfId="0" applyNumberFormat="1" applyFont="1" applyFill="1" applyBorder="1" applyAlignment="1" applyProtection="1">
      <alignment horizontal="right" vertical="center" wrapText="1"/>
    </xf>
    <xf numFmtId="3" fontId="41" fillId="0" borderId="98" xfId="0" applyNumberFormat="1" applyFont="1" applyFill="1" applyBorder="1" applyAlignment="1" applyProtection="1">
      <alignment horizontal="right" vertical="center"/>
    </xf>
    <xf numFmtId="3" fontId="37" fillId="19" borderId="77" xfId="0" applyNumberFormat="1" applyFont="1" applyFill="1" applyBorder="1" applyAlignment="1" applyProtection="1">
      <alignment horizontal="right" vertical="center"/>
    </xf>
    <xf numFmtId="170" fontId="37" fillId="0" borderId="47" xfId="0" applyFont="1" applyBorder="1" applyAlignment="1" applyProtection="1">
      <alignment horizontal="center" vertical="center"/>
    </xf>
    <xf numFmtId="3" fontId="37" fillId="3" borderId="47" xfId="0" applyNumberFormat="1" applyFont="1" applyFill="1" applyBorder="1" applyAlignment="1" applyProtection="1">
      <alignment horizontal="right" vertical="center"/>
    </xf>
    <xf numFmtId="3" fontId="41" fillId="0" borderId="28" xfId="0" applyNumberFormat="1" applyFont="1" applyFill="1" applyBorder="1" applyAlignment="1" applyProtection="1">
      <alignment horizontal="right" vertical="center"/>
    </xf>
    <xf numFmtId="3" fontId="37"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6" fillId="0" borderId="102" xfId="0" applyFont="1" applyFill="1" applyBorder="1" applyProtection="1"/>
    <xf numFmtId="170" fontId="44" fillId="0" borderId="21" xfId="0" applyFont="1" applyFill="1" applyBorder="1" applyProtection="1"/>
    <xf numFmtId="170" fontId="44" fillId="0" borderId="0" xfId="0" applyFont="1" applyFill="1" applyBorder="1" applyProtection="1"/>
    <xf numFmtId="170" fontId="44" fillId="0" borderId="21" xfId="0" applyFont="1" applyBorder="1" applyProtection="1"/>
    <xf numFmtId="170"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0"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0" fontId="6" fillId="0" borderId="0" xfId="0" applyFont="1" applyBorder="1" applyProtection="1"/>
    <xf numFmtId="170" fontId="6" fillId="0" borderId="0" xfId="0" applyFont="1" applyBorder="1" applyAlignment="1" applyProtection="1">
      <alignment wrapText="1"/>
    </xf>
    <xf numFmtId="170" fontId="6" fillId="0" borderId="102" xfId="0" applyFont="1" applyBorder="1" applyProtection="1"/>
    <xf numFmtId="170" fontId="44" fillId="0" borderId="0" xfId="0" applyFont="1" applyBorder="1" applyProtection="1"/>
    <xf numFmtId="170" fontId="0" fillId="0" borderId="0" xfId="0" applyBorder="1" applyProtection="1"/>
    <xf numFmtId="170" fontId="43"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6" fillId="0" borderId="21" xfId="0" applyFont="1" applyBorder="1" applyProtection="1"/>
    <xf numFmtId="170" fontId="6" fillId="0" borderId="80" xfId="0" applyFont="1" applyBorder="1" applyAlignment="1" applyProtection="1">
      <alignment wrapText="1"/>
    </xf>
    <xf numFmtId="170" fontId="6" fillId="0" borderId="21" xfId="0" applyFont="1" applyFill="1" applyBorder="1" applyProtection="1"/>
    <xf numFmtId="170" fontId="6" fillId="0" borderId="0" xfId="0" applyFont="1" applyFill="1" applyBorder="1" applyAlignment="1" applyProtection="1">
      <alignment horizontal="center" wrapText="1"/>
    </xf>
    <xf numFmtId="170"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6" fillId="0" borderId="0" xfId="0" applyFont="1" applyFill="1" applyBorder="1" applyAlignment="1" applyProtection="1">
      <alignment wrapText="1"/>
    </xf>
    <xf numFmtId="170" fontId="6"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38" fillId="22" borderId="0" xfId="0" applyNumberFormat="1" applyFont="1" applyFill="1" applyBorder="1" applyAlignment="1" applyProtection="1">
      <alignment vertical="top" wrapText="1"/>
    </xf>
    <xf numFmtId="3" fontId="38"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38" fillId="22" borderId="52" xfId="0" applyFont="1" applyFill="1" applyBorder="1" applyAlignment="1" applyProtection="1">
      <alignment vertical="top" wrapText="1"/>
      <protection locked="0"/>
    </xf>
    <xf numFmtId="3" fontId="38" fillId="22" borderId="52" xfId="0" applyNumberFormat="1" applyFont="1" applyFill="1" applyBorder="1" applyAlignment="1" applyProtection="1">
      <alignment vertical="top" wrapText="1"/>
      <protection locked="0"/>
    </xf>
    <xf numFmtId="170" fontId="38" fillId="22" borderId="101" xfId="0" applyFont="1" applyFill="1" applyBorder="1" applyAlignment="1" applyProtection="1">
      <alignment vertical="top" wrapText="1"/>
      <protection locked="0"/>
    </xf>
    <xf numFmtId="2" fontId="44" fillId="4" borderId="0" xfId="0" applyNumberFormat="1" applyFont="1" applyFill="1" applyBorder="1" applyAlignment="1" applyProtection="1">
      <alignment horizontal="center" wrapText="1"/>
      <protection locked="0"/>
    </xf>
    <xf numFmtId="2" fontId="44" fillId="4" borderId="0" xfId="0" applyNumberFormat="1" applyFont="1" applyFill="1" applyBorder="1" applyAlignment="1" applyProtection="1">
      <alignment horizontal="left" wrapText="1"/>
      <protection locked="0"/>
    </xf>
    <xf numFmtId="2" fontId="44" fillId="4" borderId="80" xfId="0" applyNumberFormat="1" applyFont="1" applyFill="1" applyBorder="1" applyAlignment="1" applyProtection="1">
      <alignment horizontal="center" wrapText="1"/>
      <protection locked="0"/>
    </xf>
    <xf numFmtId="3" fontId="44" fillId="4" borderId="0" xfId="0" applyNumberFormat="1" applyFont="1" applyFill="1" applyBorder="1" applyAlignment="1" applyProtection="1">
      <alignment horizontal="center" wrapText="1"/>
      <protection locked="0"/>
    </xf>
    <xf numFmtId="3" fontId="44"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2"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2" fillId="0" borderId="111" xfId="0" applyNumberFormat="1" applyFont="1" applyFill="1" applyBorder="1" applyAlignment="1">
      <alignment horizontal="left" vertical="top" wrapText="1"/>
    </xf>
    <xf numFmtId="2" fontId="22"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2" fillId="0" borderId="21" xfId="0" applyNumberFormat="1" applyFont="1" applyFill="1" applyBorder="1" applyAlignment="1">
      <alignment horizontal="left" vertical="top" wrapText="1"/>
    </xf>
    <xf numFmtId="2" fontId="22" fillId="0" borderId="0" xfId="0" applyNumberFormat="1" applyFont="1" applyFill="1" applyBorder="1" applyAlignment="1">
      <alignment horizontal="left" vertical="top" wrapText="1"/>
    </xf>
    <xf numFmtId="2" fontId="22"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2" fillId="0" borderId="111" xfId="0" applyNumberFormat="1" applyFont="1" applyFill="1" applyBorder="1" applyAlignment="1">
      <alignment vertical="top" wrapText="1"/>
    </xf>
    <xf numFmtId="174" fontId="16"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6"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0" fillId="0" borderId="0" xfId="5" applyNumberFormat="1" applyFont="1" applyFill="1" applyBorder="1" applyAlignment="1">
      <alignment horizontal="right" wrapText="1"/>
    </xf>
    <xf numFmtId="174" fontId="101" fillId="0" borderId="0" xfId="0" applyNumberFormat="1" applyFont="1" applyBorder="1"/>
    <xf numFmtId="2" fontId="101" fillId="0" borderId="61" xfId="0" applyNumberFormat="1" applyFont="1" applyBorder="1"/>
    <xf numFmtId="0" fontId="101" fillId="0" borderId="111" xfId="0" applyNumberFormat="1" applyFont="1" applyFill="1" applyBorder="1" applyAlignment="1">
      <alignment horizontal="right" vertical="top" wrapText="1"/>
    </xf>
    <xf numFmtId="0" fontId="101"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68" fontId="6" fillId="13" borderId="15" xfId="0" applyNumberFormat="1" applyFont="1" applyFill="1" applyBorder="1"/>
    <xf numFmtId="168" fontId="0" fillId="13" borderId="15" xfId="0" applyNumberFormat="1" applyFill="1" applyBorder="1"/>
    <xf numFmtId="170" fontId="70" fillId="25" borderId="0" xfId="148" applyFill="1" applyAlignment="1" applyProtection="1">
      <alignment vertical="center"/>
    </xf>
    <xf numFmtId="1" fontId="59" fillId="0" borderId="28" xfId="0" applyNumberFormat="1" applyFont="1" applyFill="1" applyBorder="1" applyAlignment="1" applyProtection="1">
      <alignment horizontal="center" vertical="center"/>
      <protection locked="0"/>
    </xf>
    <xf numFmtId="1" fontId="59" fillId="0" borderId="14" xfId="0" applyNumberFormat="1" applyFont="1" applyFill="1" applyBorder="1" applyAlignment="1" applyProtection="1">
      <alignment horizontal="center" vertical="center"/>
      <protection locked="0"/>
    </xf>
    <xf numFmtId="1" fontId="59" fillId="0" borderId="158" xfId="0" applyNumberFormat="1" applyFont="1" applyFill="1" applyBorder="1" applyAlignment="1" applyProtection="1">
      <alignment horizontal="center" vertical="center"/>
      <protection locked="0"/>
    </xf>
    <xf numFmtId="1" fontId="59" fillId="0" borderId="106" xfId="0" applyNumberFormat="1" applyFont="1" applyFill="1" applyBorder="1" applyAlignment="1" applyProtection="1">
      <alignment horizontal="center" vertical="center"/>
      <protection locked="0"/>
    </xf>
    <xf numFmtId="1" fontId="56" fillId="12" borderId="19" xfId="0" applyNumberFormat="1" applyFont="1" applyFill="1" applyBorder="1" applyAlignment="1">
      <alignment vertical="center"/>
    </xf>
    <xf numFmtId="1" fontId="59" fillId="18" borderId="107" xfId="0" applyNumberFormat="1" applyFont="1" applyFill="1" applyBorder="1" applyAlignment="1">
      <alignment horizontal="center" vertical="center"/>
    </xf>
    <xf numFmtId="1" fontId="56" fillId="12" borderId="103" xfId="0" applyNumberFormat="1" applyFont="1" applyFill="1" applyBorder="1" applyAlignment="1">
      <alignment vertical="center"/>
    </xf>
    <xf numFmtId="1" fontId="51" fillId="12" borderId="108" xfId="0" applyNumberFormat="1" applyFont="1" applyFill="1" applyBorder="1" applyAlignment="1">
      <alignment vertical="center"/>
    </xf>
    <xf numFmtId="1" fontId="56" fillId="19" borderId="109" xfId="0" applyNumberFormat="1" applyFont="1" applyFill="1" applyBorder="1" applyAlignment="1" applyProtection="1">
      <alignment horizontal="center" vertical="center"/>
      <protection locked="0"/>
    </xf>
    <xf numFmtId="1" fontId="51" fillId="0" borderId="0" xfId="0" applyNumberFormat="1" applyFont="1" applyFill="1" applyBorder="1" applyAlignment="1"/>
    <xf numFmtId="1" fontId="56"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xf>
    <xf numFmtId="1" fontId="59" fillId="0" borderId="57" xfId="0" applyNumberFormat="1" applyFont="1" applyFill="1" applyBorder="1" applyAlignment="1" applyProtection="1">
      <alignment horizontal="center" vertical="center"/>
      <protection locked="0"/>
    </xf>
    <xf numFmtId="1" fontId="56" fillId="0" borderId="0" xfId="0" applyNumberFormat="1" applyFont="1" applyFill="1" applyBorder="1" applyAlignment="1">
      <alignment horizontal="center"/>
    </xf>
    <xf numFmtId="1" fontId="99" fillId="0" borderId="0" xfId="0" applyNumberFormat="1" applyFont="1" applyFill="1" applyBorder="1" applyAlignment="1">
      <alignment horizontal="center" vertical="center"/>
    </xf>
    <xf numFmtId="1" fontId="56" fillId="0" borderId="25" xfId="0" applyNumberFormat="1" applyFont="1" applyBorder="1" applyAlignment="1">
      <alignment horizontal="justify" vertical="center" wrapText="1"/>
    </xf>
    <xf numFmtId="1" fontId="59" fillId="0" borderId="57" xfId="0" quotePrefix="1" applyNumberFormat="1" applyFont="1" applyFill="1" applyBorder="1" applyAlignment="1" applyProtection="1">
      <alignment horizontal="center" vertical="center"/>
      <protection locked="0"/>
    </xf>
    <xf numFmtId="1" fontId="60" fillId="0" borderId="0" xfId="0" applyNumberFormat="1" applyFont="1" applyBorder="1" applyAlignment="1">
      <alignment horizontal="center"/>
    </xf>
    <xf numFmtId="1" fontId="61" fillId="0" borderId="0" xfId="0" applyNumberFormat="1" applyFont="1" applyBorder="1" applyAlignment="1">
      <alignment horizontal="center"/>
    </xf>
    <xf numFmtId="1" fontId="9" fillId="0" borderId="0" xfId="0" applyNumberFormat="1" applyFont="1" applyBorder="1" applyAlignment="1">
      <alignment horizontal="center"/>
    </xf>
    <xf numFmtId="1" fontId="27" fillId="0" borderId="0" xfId="0" applyNumberFormat="1" applyFont="1" applyBorder="1" applyAlignment="1">
      <alignment horizontal="center"/>
    </xf>
    <xf numFmtId="1" fontId="51" fillId="0" borderId="0" xfId="0" applyNumberFormat="1" applyFont="1" applyBorder="1" applyAlignment="1">
      <alignment horizontal="justify"/>
    </xf>
    <xf numFmtId="1" fontId="56" fillId="0" borderId="0" xfId="0" applyNumberFormat="1" applyFont="1" applyAlignment="1">
      <alignment horizontal="left"/>
    </xf>
    <xf numFmtId="1" fontId="56" fillId="0" borderId="0" xfId="0" applyNumberFormat="1" applyFont="1" applyAlignment="1">
      <alignment horizontal="center"/>
    </xf>
    <xf numFmtId="1" fontId="56" fillId="12" borderId="39" xfId="0" applyNumberFormat="1" applyFont="1" applyFill="1" applyBorder="1" applyAlignment="1">
      <alignment horizontal="center" vertical="center" wrapText="1"/>
    </xf>
    <xf numFmtId="1" fontId="56" fillId="12" borderId="58" xfId="0" applyNumberFormat="1" applyFont="1" applyFill="1" applyBorder="1" applyAlignment="1">
      <alignment horizontal="center" vertical="center" wrapText="1"/>
    </xf>
    <xf numFmtId="1" fontId="56" fillId="18" borderId="59" xfId="0" applyNumberFormat="1" applyFont="1" applyFill="1" applyBorder="1" applyAlignment="1">
      <alignment horizontal="center" vertical="center"/>
    </xf>
    <xf numFmtId="1" fontId="56" fillId="18" borderId="60" xfId="0" applyNumberFormat="1" applyFont="1" applyFill="1" applyBorder="1" applyAlignment="1">
      <alignment horizontal="center" vertical="center"/>
    </xf>
    <xf numFmtId="1" fontId="56" fillId="18" borderId="9" xfId="0" applyNumberFormat="1" applyFont="1" applyFill="1" applyBorder="1" applyAlignment="1">
      <alignment horizontal="center" vertical="center"/>
    </xf>
    <xf numFmtId="1" fontId="56" fillId="18" borderId="159" xfId="0" applyNumberFormat="1" applyFont="1" applyFill="1" applyBorder="1" applyAlignment="1">
      <alignment horizontal="center" vertical="center"/>
    </xf>
    <xf numFmtId="1" fontId="56" fillId="18" borderId="50" xfId="0" applyNumberFormat="1" applyFont="1" applyFill="1" applyBorder="1" applyAlignment="1">
      <alignment horizontal="center" vertical="center"/>
    </xf>
    <xf numFmtId="1" fontId="59" fillId="0" borderId="47" xfId="0" applyNumberFormat="1" applyFont="1" applyFill="1" applyBorder="1" applyAlignment="1" applyProtection="1">
      <alignment horizontal="center" vertical="center"/>
      <protection locked="0"/>
    </xf>
    <xf numFmtId="1" fontId="59" fillId="0" borderId="99" xfId="0" applyNumberFormat="1" applyFont="1" applyFill="1" applyBorder="1" applyAlignment="1" applyProtection="1">
      <alignment horizontal="center" vertical="center"/>
      <protection locked="0"/>
    </xf>
    <xf numFmtId="1" fontId="59" fillId="19" borderId="160" xfId="0" applyNumberFormat="1" applyFont="1" applyFill="1" applyBorder="1" applyAlignment="1" applyProtection="1">
      <alignment horizontal="center" vertical="center"/>
      <protection locked="0"/>
    </xf>
    <xf numFmtId="1" fontId="59" fillId="19" borderId="86" xfId="0" applyNumberFormat="1" applyFont="1" applyFill="1" applyBorder="1" applyAlignment="1" applyProtection="1">
      <alignment horizontal="center" vertical="center"/>
      <protection locked="0"/>
    </xf>
    <xf numFmtId="1" fontId="59" fillId="19" borderId="161" xfId="0" applyNumberFormat="1" applyFont="1" applyFill="1" applyBorder="1" applyAlignment="1" applyProtection="1">
      <alignment horizontal="center" vertical="center"/>
      <protection locked="0"/>
    </xf>
    <xf numFmtId="1" fontId="56" fillId="18" borderId="62" xfId="0" applyNumberFormat="1" applyFont="1" applyFill="1" applyBorder="1" applyAlignment="1">
      <alignment horizontal="center" vertical="center"/>
    </xf>
    <xf numFmtId="1" fontId="57" fillId="18" borderId="53" xfId="0" applyNumberFormat="1" applyFont="1" applyFill="1" applyBorder="1" applyAlignment="1">
      <alignment vertical="center"/>
    </xf>
    <xf numFmtId="1" fontId="56" fillId="18" borderId="64" xfId="0" applyNumberFormat="1" applyFont="1" applyFill="1" applyBorder="1" applyAlignment="1">
      <alignment horizontal="center" vertical="center"/>
    </xf>
    <xf numFmtId="1" fontId="56" fillId="20" borderId="47" xfId="0" applyNumberFormat="1" applyFont="1" applyFill="1" applyBorder="1" applyAlignment="1" applyProtection="1">
      <alignment horizontal="center" vertical="center"/>
      <protection locked="0"/>
    </xf>
    <xf numFmtId="1" fontId="56" fillId="0" borderId="47" xfId="0" applyNumberFormat="1" applyFont="1" applyFill="1" applyBorder="1" applyAlignment="1" applyProtection="1">
      <alignment horizontal="center" vertical="center"/>
      <protection locked="0"/>
    </xf>
    <xf numFmtId="1" fontId="56" fillId="19" borderId="73" xfId="0" applyNumberFormat="1" applyFont="1" applyFill="1" applyBorder="1" applyAlignment="1" applyProtection="1">
      <alignment horizontal="center" vertical="center"/>
      <protection locked="0"/>
    </xf>
    <xf numFmtId="1" fontId="27"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1" fillId="0" borderId="25" xfId="0" applyNumberFormat="1" applyFont="1" applyBorder="1" applyAlignment="1">
      <alignment horizontal="justify"/>
    </xf>
    <xf numFmtId="1" fontId="65" fillId="0" borderId="0" xfId="0" applyNumberFormat="1" applyFont="1" applyBorder="1" applyAlignment="1"/>
    <xf numFmtId="1" fontId="51" fillId="0" borderId="0" xfId="0" applyNumberFormat="1" applyFont="1" applyBorder="1" applyAlignment="1"/>
    <xf numFmtId="1" fontId="65" fillId="0" borderId="0" xfId="0" applyNumberFormat="1" applyFont="1" applyBorder="1" applyAlignment="1">
      <alignment horizontal="center"/>
    </xf>
    <xf numFmtId="1" fontId="9" fillId="0" borderId="0" xfId="0" applyNumberFormat="1" applyFont="1" applyFill="1" applyBorder="1" applyAlignment="1">
      <alignment horizontal="center"/>
    </xf>
    <xf numFmtId="1" fontId="55" fillId="0" borderId="0" xfId="0" applyNumberFormat="1" applyFont="1" applyFill="1" applyBorder="1" applyAlignment="1">
      <alignment horizontal="center" vertical="center" wrapText="1"/>
    </xf>
    <xf numFmtId="1" fontId="56" fillId="12" borderId="8" xfId="0" applyNumberFormat="1" applyFont="1" applyFill="1" applyBorder="1" applyAlignment="1">
      <alignment horizontal="center" vertical="center" wrapText="1"/>
    </xf>
    <xf numFmtId="1" fontId="66" fillId="0" borderId="77" xfId="0" applyNumberFormat="1" applyFont="1" applyFill="1" applyBorder="1" applyAlignment="1">
      <alignment horizontal="center"/>
    </xf>
    <xf numFmtId="1" fontId="56" fillId="0" borderId="47" xfId="0" applyNumberFormat="1" applyFont="1" applyFill="1" applyBorder="1" applyAlignment="1">
      <alignment horizontal="center"/>
    </xf>
    <xf numFmtId="1" fontId="66" fillId="0" borderId="47" xfId="0" applyNumberFormat="1" applyFont="1" applyFill="1" applyBorder="1" applyAlignment="1">
      <alignment horizontal="center"/>
    </xf>
    <xf numFmtId="1" fontId="56" fillId="0" borderId="47" xfId="0" applyNumberFormat="1" applyFont="1" applyFill="1" applyBorder="1" applyAlignment="1" applyProtection="1">
      <alignment horizontal="center" wrapText="1"/>
      <protection locked="0"/>
    </xf>
    <xf numFmtId="1" fontId="56" fillId="12" borderId="35" xfId="0" applyNumberFormat="1" applyFont="1" applyFill="1" applyBorder="1" applyAlignment="1">
      <alignment horizontal="center"/>
    </xf>
    <xf numFmtId="1" fontId="56" fillId="19" borderId="25" xfId="0" applyNumberFormat="1" applyFont="1" applyFill="1" applyBorder="1" applyAlignment="1" applyProtection="1">
      <alignment horizontal="center" vertical="center"/>
      <protection locked="0"/>
    </xf>
    <xf numFmtId="1" fontId="56" fillId="19" borderId="55" xfId="0" applyNumberFormat="1" applyFont="1" applyFill="1" applyBorder="1" applyAlignment="1" applyProtection="1">
      <alignment horizontal="center" vertical="center"/>
      <protection locked="0"/>
    </xf>
    <xf numFmtId="1" fontId="56" fillId="19" borderId="30" xfId="0" applyNumberFormat="1" applyFont="1" applyFill="1" applyBorder="1" applyAlignment="1" applyProtection="1">
      <alignment horizontal="center" vertical="center"/>
      <protection locked="0"/>
    </xf>
    <xf numFmtId="1" fontId="56" fillId="0" borderId="56" xfId="0" applyNumberFormat="1" applyFont="1" applyBorder="1" applyAlignment="1">
      <alignment horizontal="justify"/>
    </xf>
    <xf numFmtId="1" fontId="56"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1" fillId="0" borderId="0" xfId="0" applyNumberFormat="1" applyFont="1" applyFill="1" applyBorder="1" applyAlignment="1">
      <alignment horizontal="left"/>
    </xf>
    <xf numFmtId="1" fontId="51" fillId="0" borderId="0" xfId="0" applyNumberFormat="1" applyFont="1" applyFill="1" applyBorder="1" applyAlignment="1">
      <alignment horizontal="center"/>
    </xf>
    <xf numFmtId="1" fontId="56" fillId="12" borderId="87" xfId="0" applyNumberFormat="1" applyFont="1" applyFill="1" applyBorder="1" applyAlignment="1">
      <alignment horizontal="center" vertical="center" wrapText="1"/>
    </xf>
    <xf numFmtId="1" fontId="66" fillId="0" borderId="77" xfId="0" applyNumberFormat="1" applyFont="1" applyBorder="1" applyAlignment="1">
      <alignment horizontal="center" vertical="center"/>
    </xf>
    <xf numFmtId="1" fontId="56" fillId="0" borderId="77" xfId="0" applyNumberFormat="1" applyFont="1" applyBorder="1" applyAlignment="1" applyProtection="1">
      <alignment horizontal="center" vertical="center"/>
      <protection locked="0"/>
    </xf>
    <xf numFmtId="1" fontId="56" fillId="0" borderId="47" xfId="0" applyNumberFormat="1" applyFont="1" applyBorder="1" applyAlignment="1">
      <alignment horizontal="center" vertical="center"/>
    </xf>
    <xf numFmtId="1" fontId="56" fillId="0" borderId="35" xfId="0" applyNumberFormat="1" applyFont="1" applyFill="1" applyBorder="1" applyAlignment="1">
      <alignment horizontal="center" vertical="center"/>
    </xf>
    <xf numFmtId="1" fontId="69" fillId="0" borderId="56" xfId="0" applyNumberFormat="1" applyFont="1" applyBorder="1" applyAlignment="1">
      <alignment horizontal="justify"/>
    </xf>
    <xf numFmtId="1" fontId="69" fillId="0" borderId="56" xfId="0" applyNumberFormat="1" applyFont="1" applyBorder="1" applyAlignment="1">
      <alignment horizontal="center"/>
    </xf>
    <xf numFmtId="1" fontId="56" fillId="0" borderId="56" xfId="0" applyNumberFormat="1" applyFont="1" applyBorder="1" applyAlignment="1">
      <alignment horizontal="center"/>
    </xf>
    <xf numFmtId="1" fontId="27" fillId="0" borderId="56" xfId="0" applyNumberFormat="1" applyFont="1" applyBorder="1" applyAlignment="1">
      <alignment horizontal="center"/>
    </xf>
    <xf numFmtId="0" fontId="0" fillId="0" borderId="0" xfId="0" applyNumberFormat="1" applyFill="1" applyBorder="1"/>
    <xf numFmtId="1" fontId="59" fillId="0" borderId="54" xfId="0" applyNumberFormat="1" applyFont="1" applyFill="1" applyBorder="1" applyAlignment="1" applyProtection="1">
      <alignment horizontal="center" vertical="center"/>
      <protection locked="0"/>
    </xf>
    <xf numFmtId="1" fontId="59" fillId="0" borderId="100" xfId="0" applyNumberFormat="1" applyFont="1" applyFill="1" applyBorder="1" applyAlignment="1" applyProtection="1">
      <alignment horizontal="center" vertical="center"/>
      <protection locked="0"/>
    </xf>
    <xf numFmtId="1" fontId="59" fillId="0" borderId="39" xfId="0" applyNumberFormat="1" applyFont="1" applyFill="1" applyBorder="1" applyAlignment="1" applyProtection="1">
      <alignment horizontal="center" vertical="center"/>
      <protection locked="0"/>
    </xf>
    <xf numFmtId="1" fontId="59" fillId="0" borderId="11" xfId="0" applyNumberFormat="1" applyFont="1" applyFill="1" applyBorder="1" applyAlignment="1" applyProtection="1">
      <alignment horizontal="center" vertical="center"/>
      <protection locked="0"/>
    </xf>
    <xf numFmtId="170" fontId="70" fillId="0" borderId="0" xfId="148" applyAlignment="1" applyProtection="1">
      <alignment vertical="center"/>
    </xf>
    <xf numFmtId="14" fontId="0" fillId="0" borderId="0" xfId="0" applyNumberFormat="1"/>
    <xf numFmtId="170" fontId="70" fillId="0" borderId="0" xfId="148" quotePrefix="1" applyAlignment="1" applyProtection="1"/>
    <xf numFmtId="170" fontId="6" fillId="0" borderId="0" xfId="0" applyFont="1" applyAlignment="1">
      <alignment horizontal="right"/>
    </xf>
    <xf numFmtId="177" fontId="0" fillId="0" borderId="0" xfId="0" applyNumberFormat="1"/>
    <xf numFmtId="4" fontId="22" fillId="0" borderId="0" xfId="0" applyNumberFormat="1" applyFont="1" applyBorder="1"/>
    <xf numFmtId="2" fontId="59" fillId="19" borderId="55" xfId="0" applyNumberFormat="1" applyFont="1" applyFill="1" applyBorder="1" applyAlignment="1" applyProtection="1">
      <alignment horizontal="center" vertical="center"/>
      <protection locked="0"/>
    </xf>
    <xf numFmtId="2" fontId="59" fillId="0" borderId="30" xfId="0" applyNumberFormat="1" applyFont="1" applyFill="1" applyBorder="1" applyAlignment="1" applyProtection="1">
      <alignment horizontal="center" vertical="center"/>
      <protection locked="0"/>
    </xf>
    <xf numFmtId="2" fontId="52" fillId="0" borderId="29" xfId="0" applyNumberFormat="1" applyFont="1" applyFill="1" applyBorder="1" applyAlignment="1">
      <alignment horizontal="center" vertical="center"/>
    </xf>
    <xf numFmtId="2" fontId="99" fillId="0" borderId="0" xfId="0" applyNumberFormat="1" applyFont="1" applyFill="1" applyBorder="1" applyAlignment="1">
      <alignment horizontal="center" vertical="center"/>
    </xf>
    <xf numFmtId="2" fontId="52" fillId="0" borderId="0" xfId="0" applyNumberFormat="1" applyFont="1" applyFill="1" applyBorder="1" applyAlignment="1">
      <alignment horizontal="center" vertical="center"/>
    </xf>
    <xf numFmtId="4" fontId="0" fillId="14" borderId="0" xfId="0" applyNumberFormat="1" applyFill="1"/>
    <xf numFmtId="3" fontId="86"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0" fontId="70" fillId="0" borderId="0" xfId="148" applyAlignment="1" applyProtection="1"/>
    <xf numFmtId="3" fontId="16"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4" fillId="4" borderId="0" xfId="0" applyNumberFormat="1" applyFont="1" applyFill="1" applyBorder="1" applyAlignment="1" applyProtection="1">
      <alignment horizontal="center" wrapText="1"/>
      <protection locked="0"/>
    </xf>
    <xf numFmtId="0" fontId="44" fillId="4" borderId="0" xfId="0" applyNumberFormat="1" applyFont="1" applyFill="1" applyBorder="1" applyAlignment="1" applyProtection="1">
      <alignment horizontal="center" wrapText="1"/>
      <protection locked="0"/>
    </xf>
    <xf numFmtId="176" fontId="0" fillId="0" borderId="0" xfId="0" applyNumberFormat="1"/>
    <xf numFmtId="0" fontId="74" fillId="12" borderId="86" xfId="0" applyNumberFormat="1" applyFont="1" applyFill="1" applyBorder="1" applyAlignment="1">
      <alignment horizontal="left" vertical="center" wrapText="1"/>
    </xf>
    <xf numFmtId="170" fontId="102" fillId="0" borderId="0" xfId="0" applyFont="1"/>
    <xf numFmtId="0" fontId="22" fillId="24" borderId="0" xfId="0" quotePrefix="1" applyNumberFormat="1" applyFont="1" applyFill="1" applyAlignment="1">
      <alignment horizontal="left"/>
    </xf>
    <xf numFmtId="3" fontId="51" fillId="12" borderId="52" xfId="0" applyNumberFormat="1" applyFont="1" applyFill="1" applyBorder="1" applyAlignment="1">
      <alignment horizontal="center" vertical="center" wrapText="1"/>
    </xf>
    <xf numFmtId="3" fontId="51" fillId="12" borderId="0" xfId="0" applyNumberFormat="1" applyFont="1" applyFill="1" applyBorder="1" applyAlignment="1">
      <alignment horizontal="center" vertical="center" wrapText="1"/>
    </xf>
    <xf numFmtId="3" fontId="51" fillId="12" borderId="165" xfId="0" applyNumberFormat="1" applyFont="1" applyFill="1" applyBorder="1" applyAlignment="1">
      <alignment horizontal="center" vertical="center" wrapText="1"/>
    </xf>
    <xf numFmtId="1" fontId="57" fillId="18" borderId="52" xfId="0" applyNumberFormat="1" applyFont="1" applyFill="1" applyBorder="1" applyAlignment="1">
      <alignment vertical="center"/>
    </xf>
    <xf numFmtId="1" fontId="51" fillId="12" borderId="70" xfId="0" applyNumberFormat="1" applyFont="1" applyFill="1" applyBorder="1" applyAlignment="1">
      <alignment vertical="center"/>
    </xf>
    <xf numFmtId="1" fontId="59" fillId="0" borderId="14" xfId="0" applyNumberFormat="1" applyFont="1" applyFill="1" applyBorder="1" applyAlignment="1"/>
    <xf numFmtId="1" fontId="56" fillId="0" borderId="30" xfId="0" applyNumberFormat="1" applyFont="1" applyBorder="1" applyAlignment="1">
      <alignment wrapText="1"/>
    </xf>
    <xf numFmtId="1" fontId="56" fillId="0" borderId="0" xfId="0" applyNumberFormat="1" applyFont="1" applyBorder="1" applyAlignment="1">
      <alignment horizontal="justify"/>
    </xf>
    <xf numFmtId="3" fontId="57" fillId="18" borderId="79" xfId="0" applyNumberFormat="1" applyFont="1" applyFill="1" applyBorder="1" applyAlignment="1"/>
    <xf numFmtId="1" fontId="59" fillId="0" borderId="91" xfId="0" applyNumberFormat="1" applyFont="1" applyFill="1" applyBorder="1" applyAlignment="1">
      <alignment vertical="center"/>
    </xf>
    <xf numFmtId="1" fontId="59" fillId="0" borderId="91" xfId="0" applyNumberFormat="1" applyFont="1" applyFill="1" applyBorder="1" applyAlignment="1">
      <alignment vertical="center" wrapText="1"/>
    </xf>
    <xf numFmtId="1" fontId="57" fillId="18" borderId="102" xfId="0" applyNumberFormat="1" applyFont="1" applyFill="1" applyBorder="1" applyAlignment="1">
      <alignment vertical="center"/>
    </xf>
    <xf numFmtId="1" fontId="59" fillId="19" borderId="74" xfId="0" applyNumberFormat="1" applyFont="1" applyFill="1" applyBorder="1" applyAlignment="1" applyProtection="1">
      <alignment horizontal="center" vertical="center"/>
      <protection locked="0"/>
    </xf>
    <xf numFmtId="3" fontId="57" fillId="18" borderId="45" xfId="0" applyNumberFormat="1" applyFont="1" applyFill="1" applyBorder="1" applyAlignment="1"/>
    <xf numFmtId="1" fontId="59" fillId="0" borderId="46" xfId="0" applyNumberFormat="1" applyFont="1" applyFill="1" applyBorder="1" applyAlignment="1">
      <alignment vertical="center"/>
    </xf>
    <xf numFmtId="1" fontId="59" fillId="0" borderId="46" xfId="0" applyNumberFormat="1" applyFont="1" applyFill="1" applyBorder="1" applyAlignment="1">
      <alignment vertical="center" wrapText="1"/>
    </xf>
    <xf numFmtId="1" fontId="56" fillId="12" borderId="166" xfId="0" applyNumberFormat="1" applyFont="1" applyFill="1" applyBorder="1" applyAlignment="1">
      <alignment vertical="center"/>
    </xf>
    <xf numFmtId="1" fontId="56" fillId="12" borderId="34" xfId="0" applyNumberFormat="1" applyFont="1" applyFill="1" applyBorder="1" applyAlignment="1">
      <alignment vertical="center"/>
    </xf>
    <xf numFmtId="1" fontId="59" fillId="0" borderId="54" xfId="0" applyNumberFormat="1" applyFont="1" applyFill="1" applyBorder="1" applyAlignment="1">
      <alignment vertical="center"/>
    </xf>
    <xf numFmtId="1" fontId="51" fillId="12" borderId="56" xfId="0" applyNumberFormat="1" applyFont="1" applyFill="1" applyBorder="1" applyAlignment="1">
      <alignment horizontal="center" vertical="center" wrapText="1"/>
    </xf>
    <xf numFmtId="1" fontId="51" fillId="12" borderId="0" xfId="0" applyNumberFormat="1" applyFont="1" applyFill="1" applyBorder="1" applyAlignment="1">
      <alignment horizontal="center" vertical="center" wrapText="1"/>
    </xf>
    <xf numFmtId="1" fontId="51" fillId="0" borderId="26" xfId="0" applyNumberFormat="1" applyFont="1" applyBorder="1" applyAlignment="1">
      <alignment horizontal="justify"/>
    </xf>
    <xf numFmtId="1" fontId="59" fillId="0" borderId="81" xfId="0" applyNumberFormat="1" applyFont="1" applyFill="1" applyBorder="1" applyAlignment="1"/>
    <xf numFmtId="1" fontId="56" fillId="12" borderId="19" xfId="0" applyNumberFormat="1" applyFont="1" applyFill="1" applyBorder="1" applyAlignment="1"/>
    <xf numFmtId="1" fontId="57" fillId="18" borderId="51" xfId="0" applyNumberFormat="1" applyFont="1" applyFill="1" applyBorder="1" applyAlignment="1">
      <alignment vertical="center"/>
    </xf>
    <xf numFmtId="1" fontId="59" fillId="0" borderId="65" xfId="0" applyNumberFormat="1" applyFont="1" applyFill="1" applyBorder="1" applyAlignment="1"/>
    <xf numFmtId="1" fontId="59" fillId="20" borderId="81" xfId="0" applyNumberFormat="1" applyFont="1" applyFill="1" applyBorder="1" applyAlignment="1">
      <alignment vertical="center"/>
    </xf>
    <xf numFmtId="1" fontId="59" fillId="0" borderId="81" xfId="0" applyNumberFormat="1" applyFont="1" applyFill="1" applyBorder="1" applyAlignment="1">
      <alignment vertical="center"/>
    </xf>
    <xf numFmtId="1" fontId="56" fillId="0" borderId="25" xfId="0" applyNumberFormat="1" applyFont="1" applyBorder="1" applyAlignment="1">
      <alignment wrapText="1"/>
    </xf>
    <xf numFmtId="1" fontId="59" fillId="0" borderId="168" xfId="0" applyNumberFormat="1" applyFont="1" applyFill="1" applyBorder="1" applyAlignment="1"/>
    <xf numFmtId="1" fontId="59" fillId="0" borderId="168" xfId="0" applyNumberFormat="1" applyFont="1" applyFill="1" applyBorder="1" applyAlignment="1">
      <alignment vertical="center" wrapText="1"/>
    </xf>
    <xf numFmtId="1" fontId="59" fillId="0" borderId="93" xfId="0" applyNumberFormat="1" applyFont="1" applyFill="1" applyBorder="1" applyAlignment="1">
      <alignment vertical="center"/>
    </xf>
    <xf numFmtId="1" fontId="57" fillId="18" borderId="155" xfId="0" applyNumberFormat="1" applyFont="1" applyFill="1" applyBorder="1" applyAlignment="1"/>
    <xf numFmtId="1" fontId="57" fillId="18" borderId="169" xfId="0" applyNumberFormat="1" applyFont="1" applyFill="1" applyBorder="1" applyAlignment="1"/>
    <xf numFmtId="1" fontId="57" fillId="18" borderId="101" xfId="0" applyNumberFormat="1" applyFont="1" applyFill="1" applyBorder="1" applyAlignment="1">
      <alignment vertical="center"/>
    </xf>
    <xf numFmtId="1" fontId="59" fillId="0" borderId="170" xfId="0" applyNumberFormat="1" applyFont="1" applyFill="1" applyBorder="1" applyAlignment="1"/>
    <xf numFmtId="1" fontId="56" fillId="12" borderId="16" xfId="0" applyNumberFormat="1" applyFont="1" applyFill="1" applyBorder="1" applyAlignment="1"/>
    <xf numFmtId="1" fontId="59" fillId="0" borderId="94" xfId="0" applyNumberFormat="1" applyFont="1" applyFill="1" applyBorder="1" applyAlignment="1"/>
    <xf numFmtId="1" fontId="63" fillId="0" borderId="48" xfId="0" applyNumberFormat="1" applyFont="1" applyFill="1" applyBorder="1" applyAlignment="1" applyProtection="1">
      <protection locked="0"/>
    </xf>
    <xf numFmtId="1" fontId="63" fillId="0" borderId="61" xfId="0" applyNumberFormat="1" applyFont="1" applyFill="1" applyBorder="1" applyAlignment="1" applyProtection="1">
      <protection locked="0"/>
    </xf>
    <xf numFmtId="1" fontId="59" fillId="20" borderId="46" xfId="0" applyNumberFormat="1" applyFont="1" applyFill="1" applyBorder="1" applyAlignment="1">
      <alignment vertical="center"/>
    </xf>
    <xf numFmtId="1" fontId="51" fillId="12" borderId="104" xfId="0" applyNumberFormat="1" applyFont="1" applyFill="1" applyBorder="1" applyAlignment="1"/>
    <xf numFmtId="1" fontId="51" fillId="12" borderId="105" xfId="0" applyNumberFormat="1" applyFont="1" applyFill="1" applyBorder="1" applyAlignment="1"/>
    <xf numFmtId="1" fontId="66" fillId="0" borderId="171" xfId="0" applyNumberFormat="1" applyFont="1" applyFill="1" applyBorder="1" applyAlignment="1">
      <alignment horizontal="center"/>
    </xf>
    <xf numFmtId="1" fontId="56"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6" fillId="0" borderId="44" xfId="0" applyNumberFormat="1" applyFont="1" applyFill="1" applyBorder="1" applyAlignment="1" applyProtection="1">
      <alignment horizontal="center" vertical="center"/>
      <protection locked="0"/>
    </xf>
    <xf numFmtId="1" fontId="56" fillId="0" borderId="46" xfId="0" applyNumberFormat="1" applyFont="1" applyFill="1" applyBorder="1" applyAlignment="1" applyProtection="1">
      <alignment horizontal="center" vertical="center"/>
      <protection locked="0"/>
    </xf>
    <xf numFmtId="1" fontId="56" fillId="0" borderId="96" xfId="0" applyNumberFormat="1" applyFont="1" applyFill="1" applyBorder="1" applyAlignment="1" applyProtection="1">
      <alignment horizontal="center" vertical="center"/>
      <protection locked="0"/>
    </xf>
    <xf numFmtId="1" fontId="59" fillId="0" borderId="33" xfId="0" applyNumberFormat="1" applyFont="1" applyFill="1" applyBorder="1" applyAlignment="1" applyProtection="1">
      <alignment horizontal="center" vertical="center"/>
      <protection locked="0"/>
    </xf>
    <xf numFmtId="1" fontId="59" fillId="0" borderId="46" xfId="0" applyNumberFormat="1" applyFont="1" applyFill="1" applyBorder="1" applyAlignment="1" applyProtection="1">
      <alignment horizontal="center" vertical="center"/>
      <protection locked="0"/>
    </xf>
    <xf numFmtId="1" fontId="56" fillId="0" borderId="172" xfId="0" applyNumberFormat="1" applyFont="1" applyFill="1" applyBorder="1" applyAlignment="1" applyProtection="1">
      <alignment horizontal="center" vertical="center"/>
      <protection locked="0"/>
    </xf>
    <xf numFmtId="1" fontId="56" fillId="0" borderId="54" xfId="0" applyNumberFormat="1" applyFont="1" applyFill="1" applyBorder="1" applyAlignment="1" applyProtection="1">
      <alignment horizontal="center" vertical="center"/>
      <protection locked="0"/>
    </xf>
    <xf numFmtId="1" fontId="56" fillId="0" borderId="84" xfId="0" applyNumberFormat="1" applyFont="1" applyFill="1" applyBorder="1" applyAlignment="1" applyProtection="1">
      <alignment horizontal="center" vertical="center"/>
      <protection locked="0"/>
    </xf>
    <xf numFmtId="1" fontId="56" fillId="0" borderId="100" xfId="0" applyNumberFormat="1" applyFont="1" applyFill="1" applyBorder="1" applyAlignment="1" applyProtection="1">
      <alignment horizontal="center" vertical="center"/>
      <protection locked="0"/>
    </xf>
    <xf numFmtId="1" fontId="56" fillId="0" borderId="40" xfId="0" applyNumberFormat="1" applyFont="1" applyFill="1" applyBorder="1" applyAlignment="1" applyProtection="1">
      <alignment horizontal="center" vertical="center"/>
      <protection locked="0"/>
    </xf>
    <xf numFmtId="1" fontId="56" fillId="12" borderId="173" xfId="0" applyNumberFormat="1" applyFont="1" applyFill="1" applyBorder="1" applyAlignment="1">
      <alignment horizontal="center" vertical="center" wrapText="1"/>
    </xf>
    <xf numFmtId="1" fontId="56"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6" fillId="0" borderId="175" xfId="0" applyNumberFormat="1" applyFont="1" applyFill="1" applyBorder="1" applyAlignment="1" applyProtection="1">
      <alignment horizontal="center" vertical="center"/>
      <protection locked="0"/>
    </xf>
    <xf numFmtId="1" fontId="56" fillId="19" borderId="57" xfId="0" applyNumberFormat="1" applyFont="1" applyFill="1" applyBorder="1" applyAlignment="1" applyProtection="1">
      <alignment horizontal="center" vertical="center"/>
      <protection locked="0"/>
    </xf>
    <xf numFmtId="168" fontId="6" fillId="0" borderId="145" xfId="2" applyNumberFormat="1" applyFont="1" applyBorder="1" applyAlignment="1">
      <alignment horizontal="center"/>
    </xf>
    <xf numFmtId="168" fontId="6" fillId="0" borderId="146" xfId="2" applyNumberFormat="1" applyFont="1" applyBorder="1" applyAlignment="1">
      <alignment horizontal="center"/>
    </xf>
    <xf numFmtId="168" fontId="13" fillId="0" borderId="145" xfId="2" applyNumberFormat="1" applyFont="1" applyBorder="1" applyAlignment="1">
      <alignment horizontal="center"/>
    </xf>
    <xf numFmtId="172" fontId="6" fillId="0" borderId="143" xfId="2" applyNumberFormat="1" applyFont="1" applyBorder="1" applyAlignment="1">
      <alignment horizontal="center"/>
    </xf>
    <xf numFmtId="172" fontId="6" fillId="0" borderId="148" xfId="2" applyNumberFormat="1" applyFont="1" applyBorder="1" applyAlignment="1">
      <alignment horizontal="center"/>
    </xf>
    <xf numFmtId="172" fontId="13" fillId="0" borderId="143" xfId="2" applyNumberFormat="1" applyFont="1" applyBorder="1" applyAlignment="1">
      <alignment horizontal="center"/>
    </xf>
    <xf numFmtId="168" fontId="4" fillId="2" borderId="0" xfId="2" applyNumberFormat="1" applyFill="1" applyBorder="1" applyAlignment="1">
      <alignment horizontal="center"/>
    </xf>
    <xf numFmtId="168" fontId="6" fillId="0" borderId="9" xfId="2" applyNumberFormat="1" applyFont="1" applyBorder="1" applyAlignment="1">
      <alignment horizontal="center"/>
    </xf>
    <xf numFmtId="168" fontId="14" fillId="2" borderId="0" xfId="2" applyNumberFormat="1" applyFont="1" applyFill="1" applyBorder="1" applyAlignment="1">
      <alignment horizontal="center"/>
    </xf>
    <xf numFmtId="168" fontId="4" fillId="2" borderId="121" xfId="2" applyNumberFormat="1" applyFill="1" applyBorder="1" applyAlignment="1">
      <alignment horizontal="center"/>
    </xf>
    <xf numFmtId="168" fontId="6" fillId="0" borderId="150" xfId="2" applyNumberFormat="1" applyFont="1" applyBorder="1" applyAlignment="1">
      <alignment horizontal="center"/>
    </xf>
    <xf numFmtId="168" fontId="14" fillId="2" borderId="121" xfId="2" applyNumberFormat="1" applyFont="1" applyFill="1" applyBorder="1" applyAlignment="1">
      <alignment horizontal="center"/>
    </xf>
    <xf numFmtId="168" fontId="6" fillId="0" borderId="143" xfId="2" applyNumberFormat="1" applyFont="1" applyBorder="1" applyAlignment="1">
      <alignment horizontal="center"/>
    </xf>
    <xf numFmtId="168" fontId="6" fillId="0" borderId="148" xfId="2" applyNumberFormat="1" applyFont="1" applyBorder="1" applyAlignment="1">
      <alignment horizontal="center"/>
    </xf>
    <xf numFmtId="168" fontId="13"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6" fillId="0" borderId="0" xfId="2" applyNumberFormat="1" applyFont="1" applyBorder="1" applyAlignment="1">
      <alignment horizontal="center"/>
    </xf>
    <xf numFmtId="172" fontId="6" fillId="0" borderId="0" xfId="2" applyNumberFormat="1" applyFont="1" applyBorder="1" applyAlignment="1">
      <alignment horizontal="center"/>
    </xf>
    <xf numFmtId="168" fontId="13" fillId="0" borderId="0" xfId="2" applyNumberFormat="1" applyFont="1" applyBorder="1" applyAlignment="1">
      <alignment horizontal="center"/>
    </xf>
    <xf numFmtId="172" fontId="6" fillId="0" borderId="9" xfId="2" applyNumberFormat="1" applyFont="1" applyBorder="1" applyAlignment="1">
      <alignment horizontal="center"/>
    </xf>
    <xf numFmtId="172" fontId="6" fillId="0" borderId="0" xfId="2" applyNumberFormat="1" applyFont="1" applyFill="1" applyBorder="1" applyAlignment="1">
      <alignment horizontal="center"/>
    </xf>
    <xf numFmtId="168" fontId="95" fillId="0" borderId="0" xfId="2" applyNumberFormat="1" applyFont="1" applyBorder="1" applyAlignment="1">
      <alignment horizontal="center"/>
    </xf>
    <xf numFmtId="168" fontId="6" fillId="0" borderId="13" xfId="2" applyNumberFormat="1" applyFont="1" applyBorder="1" applyAlignment="1">
      <alignment horizontal="center"/>
    </xf>
    <xf numFmtId="168" fontId="4" fillId="2" borderId="12" xfId="2" applyNumberFormat="1" applyFill="1" applyBorder="1" applyAlignment="1">
      <alignment horizontal="center"/>
    </xf>
    <xf numFmtId="168" fontId="14" fillId="2" borderId="12" xfId="2" applyNumberFormat="1" applyFont="1" applyFill="1" applyBorder="1" applyAlignment="1">
      <alignment horizontal="center"/>
    </xf>
    <xf numFmtId="176" fontId="0" fillId="0" borderId="12" xfId="0" applyNumberFormat="1" applyBorder="1"/>
    <xf numFmtId="1" fontId="0" fillId="0" borderId="121" xfId="0" applyNumberFormat="1" applyFont="1" applyFill="1" applyBorder="1" applyAlignment="1">
      <alignment horizontal="center" vertical="center"/>
    </xf>
    <xf numFmtId="174" fontId="0" fillId="0" borderId="0" xfId="0" applyNumberFormat="1"/>
    <xf numFmtId="171" fontId="0" fillId="0" borderId="0" xfId="0" applyNumberFormat="1"/>
    <xf numFmtId="1" fontId="0" fillId="0" borderId="0" xfId="0" applyNumberFormat="1"/>
    <xf numFmtId="3" fontId="0" fillId="0" borderId="0" xfId="0" applyNumberFormat="1" applyFont="1" applyBorder="1" applyAlignment="1">
      <alignment horizontal="left"/>
    </xf>
    <xf numFmtId="3" fontId="47" fillId="15" borderId="0" xfId="0" applyNumberFormat="1" applyFont="1" applyFill="1"/>
    <xf numFmtId="14" fontId="0" fillId="0" borderId="0" xfId="0" applyNumberFormat="1" applyFill="1"/>
    <xf numFmtId="14" fontId="70" fillId="0" borderId="0" xfId="148" applyNumberFormat="1" applyFill="1" applyAlignment="1" applyProtection="1"/>
    <xf numFmtId="14" fontId="70" fillId="0" borderId="0" xfId="148" quotePrefix="1" applyNumberFormat="1" applyFill="1" applyAlignment="1" applyProtection="1"/>
    <xf numFmtId="0" fontId="0" fillId="0" borderId="0" xfId="196" applyNumberFormat="1" applyFont="1" applyFill="1"/>
    <xf numFmtId="0" fontId="4" fillId="0" borderId="0" xfId="196" applyNumberFormat="1" applyFill="1"/>
    <xf numFmtId="170" fontId="22" fillId="0" borderId="121" xfId="0" applyFont="1" applyFill="1" applyBorder="1"/>
    <xf numFmtId="170" fontId="43" fillId="23" borderId="185" xfId="1" applyFont="1" applyFill="1" applyBorder="1"/>
    <xf numFmtId="170" fontId="43" fillId="23" borderId="186" xfId="1" applyFont="1" applyFill="1" applyBorder="1"/>
    <xf numFmtId="170" fontId="22" fillId="23" borderId="186" xfId="0" applyFont="1" applyFill="1" applyBorder="1"/>
    <xf numFmtId="170" fontId="22" fillId="23" borderId="187"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0" fontId="22" fillId="24" borderId="0" xfId="197" applyNumberFormat="1" applyFont="1" applyFill="1"/>
    <xf numFmtId="0" fontId="22" fillId="25" borderId="0" xfId="197" applyNumberFormat="1" applyFont="1" applyFill="1"/>
    <xf numFmtId="0" fontId="22" fillId="4" borderId="0" xfId="197" applyNumberFormat="1" applyFont="1" applyFill="1"/>
    <xf numFmtId="0" fontId="120" fillId="4" borderId="0" xfId="148" applyNumberFormat="1" applyFont="1" applyFill="1" applyAlignment="1" applyProtection="1"/>
    <xf numFmtId="17" fontId="22" fillId="24" borderId="0" xfId="197" quotePrefix="1" applyNumberFormat="1" applyFont="1" applyFill="1"/>
    <xf numFmtId="0" fontId="22" fillId="4" borderId="0" xfId="0" applyNumberFormat="1" applyFont="1" applyFill="1"/>
    <xf numFmtId="0" fontId="22" fillId="24" borderId="0" xfId="197" quotePrefix="1" applyNumberFormat="1" applyFont="1" applyFill="1" applyAlignment="1">
      <alignment horizontal="left"/>
    </xf>
    <xf numFmtId="0" fontId="4" fillId="25" borderId="0" xfId="197" applyNumberFormat="1" applyFill="1"/>
    <xf numFmtId="0" fontId="4" fillId="4" borderId="0" xfId="197" applyNumberFormat="1" applyFill="1"/>
    <xf numFmtId="170" fontId="84" fillId="0" borderId="103" xfId="0" applyFont="1" applyBorder="1"/>
    <xf numFmtId="3" fontId="6" fillId="13" borderId="183" xfId="0" applyNumberFormat="1" applyFont="1" applyFill="1" applyBorder="1" applyAlignment="1">
      <alignment horizontal="center"/>
    </xf>
    <xf numFmtId="0" fontId="0" fillId="24" borderId="0" xfId="0" quotePrefix="1" applyNumberFormat="1" applyFill="1" applyAlignment="1">
      <alignment horizontal="left"/>
    </xf>
    <xf numFmtId="17" fontId="0" fillId="24" borderId="0" xfId="0" quotePrefix="1" applyNumberFormat="1" applyFill="1" applyAlignment="1">
      <alignment horizontal="left"/>
    </xf>
    <xf numFmtId="3" fontId="21" fillId="0" borderId="0" xfId="0" applyNumberFormat="1" applyFont="1"/>
    <xf numFmtId="3" fontId="21" fillId="0" borderId="10" xfId="0" applyNumberFormat="1" applyFont="1" applyBorder="1" applyAlignment="1">
      <alignment horizontal="left" vertical="top"/>
    </xf>
    <xf numFmtId="3" fontId="123" fillId="0" borderId="27" xfId="0" applyNumberFormat="1" applyFont="1" applyBorder="1"/>
    <xf numFmtId="3" fontId="6" fillId="0" borderId="191" xfId="0" applyNumberFormat="1" applyFont="1" applyBorder="1"/>
    <xf numFmtId="3" fontId="6" fillId="0" borderId="183" xfId="0" applyNumberFormat="1" applyFont="1" applyBorder="1"/>
    <xf numFmtId="3" fontId="0" fillId="0" borderId="190"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3" fillId="0" borderId="0" xfId="0" applyNumberFormat="1" applyFont="1" applyAlignment="1">
      <alignment vertical="top"/>
    </xf>
    <xf numFmtId="3" fontId="0" fillId="61" borderId="0" xfId="0" applyNumberFormat="1" applyFont="1" applyFill="1" applyAlignment="1">
      <alignment horizontal="left" vertical="top" wrapText="1"/>
    </xf>
    <xf numFmtId="3" fontId="124" fillId="60" borderId="0" xfId="0" applyNumberFormat="1" applyFont="1" applyFill="1" applyAlignment="1">
      <alignment horizontal="left" vertical="top" wrapText="1"/>
    </xf>
    <xf numFmtId="3" fontId="0" fillId="62" borderId="0" xfId="0" applyNumberFormat="1" applyFill="1" applyAlignment="1">
      <alignment vertical="top" wrapText="1"/>
    </xf>
    <xf numFmtId="3" fontId="121" fillId="12" borderId="183" xfId="0" applyNumberFormat="1" applyFont="1" applyFill="1" applyBorder="1" applyAlignment="1">
      <alignment horizontal="center" vertical="center" wrapText="1"/>
    </xf>
    <xf numFmtId="3" fontId="0" fillId="60" borderId="189" xfId="0" applyNumberFormat="1" applyFill="1" applyBorder="1" applyAlignment="1">
      <alignment horizontal="left" vertical="top" wrapText="1"/>
    </xf>
    <xf numFmtId="3" fontId="0" fillId="61" borderId="189" xfId="0" applyNumberFormat="1" applyFill="1" applyBorder="1" applyAlignment="1">
      <alignment horizontal="left" vertical="top" wrapText="1"/>
    </xf>
    <xf numFmtId="3" fontId="22" fillId="62" borderId="8" xfId="0" applyNumberFormat="1" applyFont="1" applyFill="1" applyBorder="1" applyAlignment="1">
      <alignment horizontal="left" vertical="top" wrapText="1"/>
    </xf>
    <xf numFmtId="3" fontId="21" fillId="0" borderId="192" xfId="0" applyNumberFormat="1" applyFont="1" applyBorder="1" applyAlignment="1">
      <alignment horizontal="left" vertical="top"/>
    </xf>
    <xf numFmtId="3" fontId="21" fillId="0" borderId="193" xfId="0" applyNumberFormat="1" applyFont="1" applyBorder="1" applyAlignment="1">
      <alignment horizontal="left" vertical="top"/>
    </xf>
    <xf numFmtId="3" fontId="22" fillId="60" borderId="194" xfId="0" applyNumberFormat="1" applyFont="1" applyFill="1" applyBorder="1" applyAlignment="1">
      <alignment horizontal="left" vertical="top" wrapText="1"/>
    </xf>
    <xf numFmtId="3" fontId="0" fillId="60" borderId="194" xfId="0" applyNumberFormat="1" applyFill="1" applyBorder="1" applyAlignment="1">
      <alignment horizontal="left" vertical="top" wrapText="1"/>
    </xf>
    <xf numFmtId="3" fontId="22" fillId="62" borderId="194" xfId="0" applyNumberFormat="1" applyFont="1" applyFill="1" applyBorder="1" applyAlignment="1">
      <alignment horizontal="left" vertical="top" wrapText="1"/>
    </xf>
    <xf numFmtId="3" fontId="22" fillId="0" borderId="194" xfId="0" applyNumberFormat="1" applyFont="1" applyFill="1" applyBorder="1" applyAlignment="1">
      <alignment horizontal="left" vertical="top" wrapText="1"/>
    </xf>
    <xf numFmtId="170" fontId="0" fillId="60" borderId="194" xfId="0" applyFill="1" applyBorder="1" applyAlignment="1">
      <alignment horizontal="left" vertical="top" wrapText="1"/>
    </xf>
    <xf numFmtId="3" fontId="22" fillId="61" borderId="194" xfId="0" applyNumberFormat="1" applyFont="1" applyFill="1" applyBorder="1" applyAlignment="1">
      <alignment horizontal="left" vertical="top" wrapText="1"/>
    </xf>
    <xf numFmtId="3" fontId="0" fillId="0" borderId="194" xfId="0" applyNumberFormat="1" applyFill="1" applyBorder="1" applyAlignment="1">
      <alignment horizontal="left" vertical="top" wrapText="1"/>
    </xf>
    <xf numFmtId="3" fontId="22" fillId="0" borderId="194" xfId="0" applyNumberFormat="1" applyFont="1" applyBorder="1" applyAlignment="1">
      <alignment horizontal="left" vertical="top" wrapText="1"/>
    </xf>
    <xf numFmtId="3" fontId="0" fillId="0" borderId="194" xfId="0" applyNumberFormat="1" applyBorder="1" applyAlignment="1">
      <alignment horizontal="left" vertical="top" wrapText="1"/>
    </xf>
    <xf numFmtId="3" fontId="122" fillId="0" borderId="193" xfId="0" applyNumberFormat="1" applyFont="1" applyBorder="1" applyAlignment="1">
      <alignment horizontal="left" vertical="top"/>
    </xf>
    <xf numFmtId="3" fontId="0" fillId="0" borderId="194" xfId="0" applyNumberFormat="1" applyBorder="1"/>
    <xf numFmtId="3" fontId="121" fillId="12" borderId="28" xfId="0" applyNumberFormat="1" applyFont="1" applyFill="1" applyBorder="1" applyAlignment="1">
      <alignment horizontal="center" vertical="center" wrapText="1"/>
    </xf>
    <xf numFmtId="170" fontId="0" fillId="60" borderId="195" xfId="0" applyFill="1" applyBorder="1" applyAlignment="1">
      <alignment horizontal="left" vertical="top" wrapText="1"/>
    </xf>
    <xf numFmtId="3" fontId="22" fillId="0" borderId="195" xfId="0" applyNumberFormat="1" applyFont="1" applyBorder="1" applyAlignment="1">
      <alignment horizontal="left" vertical="top" wrapText="1"/>
    </xf>
    <xf numFmtId="3" fontId="0" fillId="0" borderId="195" xfId="0" applyNumberFormat="1" applyFill="1" applyBorder="1" applyAlignment="1">
      <alignment horizontal="left" vertical="top" wrapText="1"/>
    </xf>
    <xf numFmtId="3" fontId="22" fillId="0" borderId="195" xfId="0" applyNumberFormat="1" applyFont="1" applyFill="1" applyBorder="1" applyAlignment="1">
      <alignment horizontal="left" vertical="top" wrapText="1"/>
    </xf>
    <xf numFmtId="3" fontId="0" fillId="0" borderId="195" xfId="0" applyNumberFormat="1" applyBorder="1"/>
    <xf numFmtId="3" fontId="22" fillId="60" borderId="196" xfId="0" applyNumberFormat="1" applyFont="1" applyFill="1" applyBorder="1" applyAlignment="1">
      <alignment horizontal="left" vertical="top" wrapText="1"/>
    </xf>
    <xf numFmtId="3" fontId="0" fillId="0" borderId="196" xfId="0" applyNumberFormat="1" applyFill="1" applyBorder="1" applyAlignment="1">
      <alignment horizontal="left" vertical="top" wrapText="1"/>
    </xf>
    <xf numFmtId="3" fontId="0" fillId="61" borderId="196" xfId="0" applyNumberFormat="1" applyFill="1" applyBorder="1" applyAlignment="1">
      <alignment horizontal="left" vertical="top" wrapText="1"/>
    </xf>
    <xf numFmtId="3" fontId="22" fillId="62" borderId="196" xfId="0" applyNumberFormat="1" applyFont="1" applyFill="1" applyBorder="1" applyAlignment="1">
      <alignment horizontal="left" vertical="top" wrapText="1"/>
    </xf>
    <xf numFmtId="3" fontId="22" fillId="0" borderId="196" xfId="0" applyNumberFormat="1" applyFont="1" applyFill="1" applyBorder="1" applyAlignment="1">
      <alignment horizontal="left" vertical="top" wrapText="1"/>
    </xf>
    <xf numFmtId="170" fontId="0" fillId="60" borderId="196" xfId="0" applyFill="1" applyBorder="1" applyAlignment="1">
      <alignment horizontal="left" vertical="top" wrapText="1"/>
    </xf>
    <xf numFmtId="170" fontId="0" fillId="60" borderId="197" xfId="0" applyFill="1" applyBorder="1" applyAlignment="1">
      <alignment horizontal="left" vertical="top" wrapText="1"/>
    </xf>
    <xf numFmtId="3" fontId="0" fillId="60" borderId="198" xfId="0" applyNumberFormat="1" applyFill="1" applyBorder="1" applyAlignment="1">
      <alignment horizontal="left" vertical="top" wrapText="1"/>
    </xf>
    <xf numFmtId="3" fontId="0" fillId="0" borderId="200" xfId="0" applyNumberFormat="1" applyBorder="1"/>
    <xf numFmtId="3" fontId="0" fillId="0" borderId="199" xfId="0" applyNumberFormat="1" applyBorder="1"/>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76" xfId="0" applyNumberFormat="1" applyFont="1" applyFill="1" applyBorder="1" applyAlignment="1">
      <alignment horizontal="center" vertical="center" wrapText="1"/>
    </xf>
    <xf numFmtId="1" fontId="27" fillId="0" borderId="0" xfId="0" applyNumberFormat="1" applyFont="1" applyBorder="1" applyAlignment="1">
      <alignment horizontal="justify"/>
    </xf>
    <xf numFmtId="1" fontId="56" fillId="12" borderId="36"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0" fontId="37" fillId="12" borderId="38" xfId="0" applyNumberFormat="1" applyFont="1" applyFill="1" applyBorder="1" applyAlignment="1" applyProtection="1">
      <alignment horizontal="center" vertical="center" wrapText="1"/>
    </xf>
    <xf numFmtId="3" fontId="41" fillId="0" borderId="201" xfId="0" applyNumberFormat="1" applyFont="1" applyFill="1" applyBorder="1" applyAlignment="1" applyProtection="1">
      <alignment horizontal="right" vertical="center"/>
    </xf>
    <xf numFmtId="3" fontId="37" fillId="19" borderId="26" xfId="0" applyNumberFormat="1" applyFont="1" applyFill="1" applyBorder="1" applyAlignment="1" applyProtection="1">
      <alignment horizontal="right" vertical="center"/>
    </xf>
    <xf numFmtId="3" fontId="41" fillId="0" borderId="33" xfId="0" applyNumberFormat="1" applyFont="1" applyFill="1" applyBorder="1" applyAlignment="1" applyProtection="1">
      <alignment horizontal="right" vertical="center"/>
    </xf>
    <xf numFmtId="3" fontId="41" fillId="0" borderId="12" xfId="0" applyNumberFormat="1" applyFont="1" applyFill="1" applyBorder="1" applyAlignment="1" applyProtection="1">
      <alignment horizontal="right" vertical="center"/>
    </xf>
    <xf numFmtId="2" fontId="41" fillId="21" borderId="34" xfId="0" applyNumberFormat="1" applyFont="1" applyFill="1" applyBorder="1" applyAlignment="1" applyProtection="1">
      <alignment horizontal="center" vertical="center"/>
    </xf>
    <xf numFmtId="2" fontId="41" fillId="21" borderId="33" xfId="0" applyNumberFormat="1" applyFont="1" applyFill="1" applyBorder="1" applyAlignment="1" applyProtection="1">
      <alignment horizontal="center" vertical="center"/>
    </xf>
    <xf numFmtId="3" fontId="41" fillId="0" borderId="183" xfId="0" applyNumberFormat="1" applyFont="1" applyFill="1" applyBorder="1" applyAlignment="1" applyProtection="1">
      <alignment horizontal="right" vertical="center"/>
    </xf>
    <xf numFmtId="3" fontId="30" fillId="0" borderId="183" xfId="0" applyNumberFormat="1" applyFont="1" applyFill="1" applyBorder="1" applyAlignment="1" applyProtection="1">
      <alignment horizontal="right" vertical="center" wrapText="1"/>
    </xf>
    <xf numFmtId="1" fontId="59" fillId="0" borderId="21" xfId="0" applyNumberFormat="1" applyFont="1" applyFill="1" applyBorder="1" applyAlignment="1">
      <alignment vertical="center"/>
    </xf>
    <xf numFmtId="1" fontId="59" fillId="0" borderId="202" xfId="0" applyNumberFormat="1" applyFont="1" applyFill="1" applyBorder="1" applyAlignment="1">
      <alignment vertical="center"/>
    </xf>
    <xf numFmtId="1" fontId="59" fillId="0" borderId="8" xfId="0" applyNumberFormat="1" applyFont="1" applyFill="1" applyBorder="1" applyAlignment="1" applyProtection="1">
      <alignment horizontal="center" vertical="center"/>
      <protection locked="0"/>
    </xf>
    <xf numFmtId="1" fontId="59" fillId="0" borderId="0" xfId="0" applyNumberFormat="1" applyFont="1" applyFill="1" applyBorder="1" applyAlignment="1" applyProtection="1">
      <alignment horizontal="center" vertical="center"/>
      <protection locked="0"/>
    </xf>
    <xf numFmtId="1" fontId="56" fillId="18" borderId="152" xfId="0" applyNumberFormat="1" applyFont="1" applyFill="1" applyBorder="1" applyAlignment="1">
      <alignment horizontal="center" vertical="center"/>
    </xf>
    <xf numFmtId="1" fontId="59" fillId="0" borderId="44" xfId="0" applyNumberFormat="1" applyFont="1" applyFill="1" applyBorder="1" applyAlignment="1" applyProtection="1">
      <alignment horizontal="center" vertical="center"/>
      <protection locked="0"/>
    </xf>
    <xf numFmtId="1" fontId="59" fillId="0" borderId="80" xfId="0" applyNumberFormat="1" applyFont="1" applyFill="1" applyBorder="1" applyAlignment="1"/>
    <xf numFmtId="1" fontId="59" fillId="0" borderId="31" xfId="0" applyNumberFormat="1" applyFont="1" applyFill="1" applyBorder="1" applyAlignment="1" applyProtection="1">
      <alignment horizontal="center" vertical="center"/>
      <protection locked="0"/>
    </xf>
    <xf numFmtId="1" fontId="59" fillId="0" borderId="187" xfId="0" applyNumberFormat="1" applyFont="1" applyFill="1" applyBorder="1" applyAlignment="1" applyProtection="1">
      <alignment horizontal="center" vertical="center"/>
      <protection locked="0"/>
    </xf>
    <xf numFmtId="1" fontId="59" fillId="0" borderId="186" xfId="0" applyNumberFormat="1" applyFont="1" applyFill="1" applyBorder="1" applyAlignment="1" applyProtection="1">
      <alignment horizontal="center" vertical="center"/>
      <protection locked="0"/>
    </xf>
    <xf numFmtId="169" fontId="59" fillId="19" borderId="55" xfId="0" applyNumberFormat="1" applyFont="1" applyFill="1" applyBorder="1" applyAlignment="1" applyProtection="1">
      <alignment horizontal="center" vertical="center"/>
      <protection locked="0"/>
    </xf>
    <xf numFmtId="1" fontId="56" fillId="12" borderId="45" xfId="0" applyNumberFormat="1" applyFont="1" applyFill="1" applyBorder="1" applyAlignment="1">
      <alignment vertical="center" wrapText="1"/>
    </xf>
    <xf numFmtId="1" fontId="56" fillId="12" borderId="34" xfId="0" applyNumberFormat="1" applyFont="1" applyFill="1" applyBorder="1" applyAlignment="1">
      <alignment vertical="center" wrapText="1"/>
    </xf>
    <xf numFmtId="1" fontId="56" fillId="12" borderId="64" xfId="0" applyNumberFormat="1" applyFont="1" applyFill="1" applyBorder="1" applyAlignment="1">
      <alignment horizontal="center" vertical="center" wrapText="1"/>
    </xf>
    <xf numFmtId="1" fontId="56" fillId="12" borderId="9" xfId="0" applyNumberFormat="1" applyFont="1" applyFill="1" applyBorder="1" applyAlignment="1">
      <alignment horizontal="center" vertical="center" wrapText="1"/>
    </xf>
    <xf numFmtId="1" fontId="56" fillId="12" borderId="101" xfId="0" applyNumberFormat="1" applyFont="1" applyFill="1" applyBorder="1" applyAlignment="1">
      <alignment horizontal="center" vertical="center" wrapText="1"/>
    </xf>
    <xf numFmtId="1" fontId="56"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3" xfId="0" applyNumberFormat="1" applyFont="1" applyFill="1" applyBorder="1" applyAlignment="1">
      <alignment horizontal="center" vertical="center"/>
    </xf>
    <xf numFmtId="1" fontId="59" fillId="0" borderId="203" xfId="0" applyNumberFormat="1" applyFont="1" applyFill="1" applyBorder="1" applyAlignment="1" applyProtection="1">
      <alignment horizontal="center" vertical="center"/>
      <protection locked="0"/>
    </xf>
    <xf numFmtId="1" fontId="59" fillId="0" borderId="13" xfId="0" applyNumberFormat="1" applyFont="1" applyFill="1" applyBorder="1" applyAlignment="1" applyProtection="1">
      <alignment horizontal="center" vertical="center"/>
      <protection locked="0"/>
    </xf>
    <xf numFmtId="1" fontId="59"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175" fontId="0" fillId="0" borderId="0" xfId="0" applyNumberFormat="1" applyBorder="1"/>
    <xf numFmtId="170" fontId="22" fillId="0" borderId="0" xfId="0" applyFont="1" applyBorder="1"/>
    <xf numFmtId="170" fontId="5" fillId="0" borderId="0" xfId="0" applyFont="1" applyFill="1" applyBorder="1"/>
    <xf numFmtId="3" fontId="37" fillId="12" borderId="183" xfId="0" applyNumberFormat="1" applyFont="1" applyFill="1" applyBorder="1" applyAlignment="1">
      <alignment horizontal="center" vertical="center" wrapText="1"/>
    </xf>
    <xf numFmtId="3" fontId="0" fillId="0" borderId="187" xfId="0" applyNumberFormat="1" applyBorder="1"/>
    <xf numFmtId="170" fontId="41" fillId="0" borderId="0" xfId="0" applyFont="1" applyFill="1" applyBorder="1" applyAlignment="1" applyProtection="1">
      <alignment horizontal="right" vertical="center"/>
    </xf>
    <xf numFmtId="170" fontId="37" fillId="0" borderId="0" xfId="0" applyFont="1" applyFill="1" applyBorder="1" applyAlignment="1" applyProtection="1">
      <alignment horizontal="center" vertical="center"/>
    </xf>
    <xf numFmtId="170" fontId="37" fillId="0" borderId="0" xfId="0" applyFont="1" applyFill="1" applyBorder="1" applyAlignment="1" applyProtection="1">
      <alignment horizontal="right"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0" fontId="37" fillId="12" borderId="37" xfId="0" applyNumberFormat="1" applyFont="1" applyFill="1" applyBorder="1" applyAlignment="1" applyProtection="1">
      <alignment horizontal="center" vertical="center" wrapText="1"/>
    </xf>
    <xf numFmtId="3" fontId="37" fillId="3" borderId="186" xfId="0" applyNumberFormat="1" applyFont="1" applyFill="1" applyBorder="1" applyAlignment="1" applyProtection="1">
      <alignment horizontal="right" vertical="center"/>
    </xf>
    <xf numFmtId="170" fontId="6" fillId="17" borderId="183" xfId="0" applyFont="1" applyFill="1" applyBorder="1" applyProtection="1"/>
    <xf numFmtId="172" fontId="0" fillId="17" borderId="183" xfId="0" applyNumberFormat="1" applyFill="1" applyBorder="1" applyAlignment="1" applyProtection="1">
      <alignment horizontal="center"/>
    </xf>
    <xf numFmtId="3" fontId="22" fillId="61" borderId="13" xfId="0" applyNumberFormat="1" applyFont="1" applyFill="1" applyBorder="1" applyAlignment="1">
      <alignment horizontal="left" vertical="top" wrapText="1"/>
    </xf>
    <xf numFmtId="1" fontId="43" fillId="12" borderId="183" xfId="0" applyNumberFormat="1" applyFont="1" applyFill="1" applyBorder="1" applyAlignment="1">
      <alignment horizontal="center" vertical="center" wrapText="1"/>
    </xf>
    <xf numFmtId="1" fontId="126" fillId="0" borderId="183" xfId="0" applyNumberFormat="1" applyFont="1" applyFill="1" applyBorder="1" applyAlignment="1">
      <alignment horizontal="left"/>
    </xf>
    <xf numFmtId="1" fontId="127" fillId="0" borderId="183" xfId="0" applyNumberFormat="1" applyFont="1" applyFill="1" applyBorder="1" applyAlignment="1">
      <alignment horizontal="center"/>
    </xf>
    <xf numFmtId="1" fontId="22" fillId="0" borderId="183" xfId="0" applyNumberFormat="1" applyFont="1" applyFill="1" applyBorder="1" applyAlignment="1" applyProtection="1">
      <alignment horizontal="center" vertical="center"/>
      <protection locked="0"/>
    </xf>
    <xf numFmtId="1" fontId="43" fillId="0" borderId="183" xfId="0" applyNumberFormat="1" applyFont="1" applyFill="1" applyBorder="1" applyAlignment="1">
      <alignment horizontal="left"/>
    </xf>
    <xf numFmtId="1" fontId="43" fillId="0" borderId="183" xfId="0" applyNumberFormat="1" applyFont="1" applyFill="1" applyBorder="1" applyAlignment="1" applyProtection="1">
      <alignment horizontal="left" wrapText="1"/>
      <protection locked="0"/>
    </xf>
    <xf numFmtId="1" fontId="43" fillId="0" borderId="183" xfId="0" applyNumberFormat="1" applyFont="1" applyFill="1" applyBorder="1" applyAlignment="1" applyProtection="1">
      <alignment horizontal="center" vertical="center"/>
      <protection locked="0"/>
    </xf>
    <xf numFmtId="170" fontId="0" fillId="0" borderId="0" xfId="0" applyFont="1"/>
    <xf numFmtId="1" fontId="126" fillId="0" borderId="183" xfId="0" applyNumberFormat="1" applyFont="1" applyBorder="1" applyAlignment="1">
      <alignment horizontal="left" vertical="center"/>
    </xf>
    <xf numFmtId="1" fontId="22" fillId="0" borderId="183" xfId="0" applyNumberFormat="1" applyFont="1" applyBorder="1" applyAlignment="1" applyProtection="1">
      <alignment horizontal="center" vertical="center"/>
      <protection locked="0"/>
    </xf>
    <xf numFmtId="1" fontId="43" fillId="0" borderId="183" xfId="0" applyNumberFormat="1" applyFont="1" applyBorder="1" applyAlignment="1">
      <alignment horizontal="left" vertical="center"/>
    </xf>
    <xf numFmtId="1" fontId="43" fillId="0" borderId="183" xfId="0" applyNumberFormat="1" applyFont="1" applyFill="1" applyBorder="1" applyAlignment="1">
      <alignment horizontal="left" vertical="center"/>
    </xf>
    <xf numFmtId="1" fontId="126" fillId="0" borderId="183" xfId="0" applyNumberFormat="1" applyFont="1" applyFill="1" applyBorder="1" applyAlignment="1">
      <alignment horizontal="left" vertical="top"/>
    </xf>
    <xf numFmtId="1" fontId="127" fillId="15" borderId="183" xfId="0" applyNumberFormat="1" applyFont="1" applyFill="1" applyBorder="1" applyAlignment="1">
      <alignment horizontal="left" vertical="top" wrapText="1"/>
    </xf>
    <xf numFmtId="1" fontId="127" fillId="0" borderId="183" xfId="0" applyNumberFormat="1" applyFont="1" applyFill="1" applyBorder="1" applyAlignment="1">
      <alignment horizontal="left" vertical="top"/>
    </xf>
    <xf numFmtId="1" fontId="22"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lignment horizontal="left" vertical="top"/>
    </xf>
    <xf numFmtId="1" fontId="22" fillId="15" borderId="183" xfId="0" applyNumberFormat="1" applyFont="1" applyFill="1" applyBorder="1" applyAlignment="1" applyProtection="1">
      <alignment horizontal="left" vertical="top"/>
      <protection locked="0"/>
    </xf>
    <xf numFmtId="1" fontId="43" fillId="0" borderId="183" xfId="0" applyNumberFormat="1" applyFont="1" applyFill="1" applyBorder="1" applyAlignment="1" applyProtection="1">
      <alignment horizontal="left" vertical="top" wrapText="1"/>
      <protection locked="0"/>
    </xf>
    <xf numFmtId="1" fontId="43"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2" fillId="15" borderId="183" xfId="0" applyNumberFormat="1" applyFont="1" applyFill="1" applyBorder="1" applyAlignment="1" applyProtection="1">
      <alignment horizontal="center" vertical="center"/>
      <protection locked="0"/>
    </xf>
    <xf numFmtId="9" fontId="0" fillId="0" borderId="0" xfId="52" applyFont="1"/>
    <xf numFmtId="178" fontId="114" fillId="0" borderId="0" xfId="52" applyNumberFormat="1" applyFont="1"/>
    <xf numFmtId="178" fontId="0" fillId="0" borderId="0" xfId="52" applyNumberFormat="1" applyFont="1" applyFill="1" applyBorder="1"/>
    <xf numFmtId="0" fontId="22" fillId="24" borderId="0" xfId="197" applyNumberFormat="1" applyFont="1" applyFill="1"/>
    <xf numFmtId="17" fontId="22" fillId="24" borderId="0" xfId="197" quotePrefix="1" applyNumberFormat="1" applyFont="1" applyFill="1"/>
    <xf numFmtId="0" fontId="22" fillId="24" borderId="0" xfId="197" applyNumberFormat="1" applyFont="1" applyFill="1" applyAlignment="1"/>
    <xf numFmtId="0" fontId="22" fillId="24" borderId="0" xfId="197" applyNumberFormat="1" applyFont="1" applyFill="1"/>
    <xf numFmtId="17" fontId="22" fillId="24" borderId="0" xfId="197" quotePrefix="1" applyNumberFormat="1" applyFont="1" applyFill="1"/>
    <xf numFmtId="9" fontId="22" fillId="0" borderId="0" xfId="0" applyNumberFormat="1" applyFont="1" applyFill="1" applyBorder="1"/>
    <xf numFmtId="11" fontId="0" fillId="0" borderId="0" xfId="0" applyNumberFormat="1" applyFill="1"/>
    <xf numFmtId="0" fontId="22" fillId="24" borderId="0" xfId="197" applyNumberFormat="1" applyFont="1" applyFill="1"/>
    <xf numFmtId="0" fontId="22" fillId="24" borderId="0" xfId="197" quotePrefix="1" applyNumberFormat="1" applyFont="1" applyFill="1"/>
    <xf numFmtId="2" fontId="0" fillId="0" borderId="0" xfId="0" applyNumberFormat="1" applyBorder="1"/>
    <xf numFmtId="170" fontId="22" fillId="0" borderId="0" xfId="0" applyFont="1" applyFill="1" applyBorder="1" applyAlignment="1">
      <alignment horizontal="left" vertical="top" wrapText="1"/>
    </xf>
    <xf numFmtId="11" fontId="4" fillId="0" borderId="0" xfId="196" applyNumberFormat="1" applyFill="1"/>
    <xf numFmtId="11" fontId="0" fillId="0" borderId="0" xfId="0" applyNumberFormat="1"/>
    <xf numFmtId="170" fontId="0" fillId="0" borderId="0" xfId="0"/>
    <xf numFmtId="170" fontId="70" fillId="0" borderId="0" xfId="148" quotePrefix="1" applyAlignment="1" applyProtection="1"/>
    <xf numFmtId="170" fontId="70" fillId="0" borderId="0" xfId="148" applyAlignment="1" applyProtection="1"/>
    <xf numFmtId="14" fontId="0" fillId="0" borderId="0" xfId="0" applyNumberFormat="1" applyFill="1"/>
    <xf numFmtId="0" fontId="22"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3" fillId="12" borderId="86" xfId="0" applyNumberFormat="1" applyFont="1" applyFill="1" applyBorder="1" applyAlignment="1">
      <alignment horizontal="center" vertical="center" wrapText="1"/>
    </xf>
    <xf numFmtId="0" fontId="73" fillId="12" borderId="16" xfId="0" applyNumberFormat="1" applyFont="1" applyFill="1" applyBorder="1" applyAlignment="1">
      <alignment horizontal="center" vertical="center" wrapText="1"/>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56" fillId="12" borderId="29" xfId="0" applyNumberFormat="1" applyFont="1" applyFill="1" applyBorder="1" applyAlignment="1">
      <alignment horizontal="center" vertical="center" wrapText="1"/>
    </xf>
    <xf numFmtId="1" fontId="56" fillId="12" borderId="45" xfId="0" applyNumberFormat="1" applyFont="1" applyFill="1" applyBorder="1" applyAlignment="1">
      <alignment horizontal="center" vertical="center" wrapText="1"/>
    </xf>
    <xf numFmtId="1" fontId="59" fillId="12" borderId="49" xfId="0" applyNumberFormat="1" applyFont="1" applyFill="1" applyBorder="1" applyAlignment="1">
      <alignment horizontal="center" vertical="center" wrapText="1"/>
    </xf>
    <xf numFmtId="1" fontId="59" fillId="12" borderId="86" xfId="0" applyNumberFormat="1" applyFont="1" applyFill="1" applyBorder="1" applyAlignment="1">
      <alignment horizontal="center" vertical="center" wrapText="1"/>
    </xf>
    <xf numFmtId="1" fontId="59" fillId="12" borderId="16" xfId="0" applyNumberFormat="1" applyFont="1" applyFill="1" applyBorder="1" applyAlignment="1">
      <alignment horizontal="center" vertical="center" wrapText="1"/>
    </xf>
    <xf numFmtId="1" fontId="56" fillId="12" borderId="204" xfId="0" applyNumberFormat="1" applyFont="1" applyFill="1" applyBorder="1" applyAlignment="1">
      <alignment horizontal="center" vertical="center" wrapText="1"/>
    </xf>
    <xf numFmtId="1" fontId="56" fillId="12" borderId="205" xfId="0" applyNumberFormat="1" applyFont="1" applyFill="1" applyBorder="1" applyAlignment="1">
      <alignment horizontal="center" vertical="center" wrapText="1"/>
    </xf>
    <xf numFmtId="1" fontId="56" fillId="12" borderId="152" xfId="0" applyNumberFormat="1" applyFont="1" applyFill="1" applyBorder="1" applyAlignment="1">
      <alignment horizontal="center" vertical="center" wrapText="1"/>
    </xf>
    <xf numFmtId="1" fontId="56" fillId="12" borderId="38" xfId="0" applyNumberFormat="1" applyFont="1" applyFill="1" applyBorder="1" applyAlignment="1">
      <alignment horizontal="center" vertical="center" wrapText="1"/>
    </xf>
    <xf numFmtId="1" fontId="56" fillId="12" borderId="60" xfId="0" applyNumberFormat="1" applyFont="1" applyFill="1" applyBorder="1" applyAlignment="1">
      <alignment horizontal="center" vertical="center" wrapText="1"/>
    </xf>
    <xf numFmtId="1" fontId="56" fillId="12" borderId="37" xfId="0" applyNumberFormat="1" applyFont="1" applyFill="1" applyBorder="1" applyAlignment="1">
      <alignment horizontal="center" vertical="center" wrapText="1"/>
    </xf>
    <xf numFmtId="1" fontId="56" fillId="12" borderId="59" xfId="0" applyNumberFormat="1" applyFont="1" applyFill="1" applyBorder="1" applyAlignment="1">
      <alignment horizontal="center" vertical="center" wrapText="1"/>
    </xf>
    <xf numFmtId="1" fontId="56" fillId="12" borderId="68" xfId="0" applyNumberFormat="1" applyFont="1" applyFill="1" applyBorder="1" applyAlignment="1">
      <alignment horizontal="center" vertical="center" wrapText="1"/>
    </xf>
    <xf numFmtId="1" fontId="56" fillId="12" borderId="63" xfId="0" applyNumberFormat="1" applyFont="1" applyFill="1" applyBorder="1" applyAlignment="1">
      <alignment horizontal="center" vertical="center" wrapText="1"/>
    </xf>
    <xf numFmtId="1" fontId="68" fillId="12" borderId="76"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202" xfId="0" applyNumberFormat="1" applyFont="1" applyFill="1" applyBorder="1" applyAlignment="1">
      <alignment horizontal="center" vertical="center"/>
    </xf>
    <xf numFmtId="1" fontId="55" fillId="0" borderId="0" xfId="0" applyNumberFormat="1" applyFont="1" applyFill="1" applyBorder="1" applyAlignment="1">
      <alignment horizontal="left" vertical="center" wrapText="1"/>
    </xf>
    <xf numFmtId="1" fontId="56" fillId="12" borderId="42" xfId="0" applyNumberFormat="1" applyFont="1" applyFill="1" applyBorder="1" applyAlignment="1">
      <alignment horizontal="center" vertical="center" wrapText="1"/>
    </xf>
    <xf numFmtId="1" fontId="56" fillId="12" borderId="31" xfId="0" applyNumberFormat="1" applyFont="1" applyFill="1" applyBorder="1" applyAlignment="1">
      <alignment horizontal="center" vertical="center" wrapText="1"/>
    </xf>
    <xf numFmtId="1" fontId="56" fillId="12" borderId="35" xfId="0" applyNumberFormat="1" applyFont="1" applyFill="1" applyBorder="1" applyAlignment="1">
      <alignment horizontal="center" vertical="center" wrapText="1"/>
    </xf>
    <xf numFmtId="1" fontId="56" fillId="12" borderId="56" xfId="0" applyNumberFormat="1" applyFont="1" applyFill="1" applyBorder="1" applyAlignment="1">
      <alignment horizontal="center" vertical="center" wrapText="1"/>
    </xf>
    <xf numFmtId="1" fontId="56" fillId="12" borderId="66" xfId="0" applyNumberFormat="1" applyFont="1" applyFill="1" applyBorder="1" applyAlignment="1">
      <alignment horizontal="center" vertical="center" wrapText="1"/>
    </xf>
    <xf numFmtId="1" fontId="56" fillId="12" borderId="34" xfId="0" applyNumberFormat="1" applyFont="1" applyFill="1" applyBorder="1" applyAlignment="1">
      <alignment horizontal="center" vertical="center" wrapText="1"/>
    </xf>
    <xf numFmtId="1" fontId="51" fillId="12" borderId="19" xfId="0" applyNumberFormat="1" applyFont="1" applyFill="1" applyBorder="1" applyAlignment="1">
      <alignment horizontal="center" vertical="center"/>
    </xf>
    <xf numFmtId="1" fontId="51" fillId="12" borderId="86" xfId="0" applyNumberFormat="1" applyFont="1" applyFill="1" applyBorder="1" applyAlignment="1">
      <alignment horizontal="center" vertical="center"/>
    </xf>
    <xf numFmtId="1" fontId="51" fillId="12" borderId="16" xfId="0" applyNumberFormat="1" applyFont="1" applyFill="1" applyBorder="1" applyAlignment="1">
      <alignment horizontal="center" vertical="center"/>
    </xf>
    <xf numFmtId="1" fontId="56" fillId="21" borderId="52" xfId="0" applyNumberFormat="1" applyFont="1" applyFill="1" applyBorder="1" applyAlignment="1">
      <alignment horizontal="center" vertical="center" wrapText="1"/>
    </xf>
    <xf numFmtId="1" fontId="56" fillId="21" borderId="0" xfId="0" applyNumberFormat="1" applyFont="1" applyFill="1" applyBorder="1" applyAlignment="1">
      <alignment horizontal="center" vertical="center" wrapText="1"/>
    </xf>
    <xf numFmtId="1" fontId="56"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56" fillId="12" borderId="72" xfId="0" applyNumberFormat="1" applyFont="1" applyFill="1" applyBorder="1" applyAlignment="1">
      <alignment horizontal="center" vertical="center" wrapText="1"/>
    </xf>
    <xf numFmtId="1" fontId="56" fillId="12" borderId="41" xfId="0" applyNumberFormat="1" applyFont="1" applyFill="1" applyBorder="1" applyAlignment="1">
      <alignment horizontal="center" vertical="center" wrapText="1"/>
    </xf>
    <xf numFmtId="1" fontId="51" fillId="12" borderId="69" xfId="0" applyNumberFormat="1" applyFont="1" applyFill="1" applyBorder="1" applyAlignment="1">
      <alignment horizontal="center" vertical="center"/>
    </xf>
    <xf numFmtId="1" fontId="51" fillId="12" borderId="70" xfId="0" applyNumberFormat="1" applyFont="1" applyFill="1" applyBorder="1" applyAlignment="1">
      <alignment horizontal="center" vertical="center"/>
    </xf>
    <xf numFmtId="1" fontId="51" fillId="12" borderId="71" xfId="0" applyNumberFormat="1" applyFont="1" applyFill="1" applyBorder="1" applyAlignment="1">
      <alignment horizontal="center" vertical="center"/>
    </xf>
    <xf numFmtId="1" fontId="56" fillId="12" borderId="25" xfId="0" applyNumberFormat="1" applyFont="1" applyFill="1" applyBorder="1" applyAlignment="1">
      <alignment horizontal="center" vertical="center" wrapText="1"/>
    </xf>
    <xf numFmtId="1" fontId="56" fillId="12" borderId="30" xfId="0" applyNumberFormat="1" applyFont="1" applyFill="1" applyBorder="1" applyAlignment="1">
      <alignment horizontal="center" vertical="center" wrapText="1"/>
    </xf>
    <xf numFmtId="1" fontId="59" fillId="12" borderId="48" xfId="0" applyNumberFormat="1" applyFont="1" applyFill="1" applyBorder="1" applyAlignment="1">
      <alignment horizontal="center" vertical="center" wrapText="1"/>
    </xf>
    <xf numFmtId="1" fontId="59" fillId="12" borderId="61" xfId="0" applyNumberFormat="1" applyFont="1" applyFill="1" applyBorder="1" applyAlignment="1">
      <alignment horizontal="center" vertical="center" wrapText="1"/>
    </xf>
    <xf numFmtId="1" fontId="59" fillId="12" borderId="18" xfId="0" applyNumberFormat="1" applyFont="1" applyFill="1" applyBorder="1" applyAlignment="1">
      <alignment horizontal="center" vertical="center" wrapText="1"/>
    </xf>
    <xf numFmtId="1" fontId="59" fillId="21" borderId="65" xfId="0" applyNumberFormat="1" applyFont="1" applyFill="1" applyBorder="1" applyAlignment="1">
      <alignment horizontal="center" vertical="center"/>
    </xf>
    <xf numFmtId="1" fontId="59" fillId="21" borderId="186" xfId="0" applyNumberFormat="1" applyFont="1" applyFill="1" applyBorder="1" applyAlignment="1">
      <alignment horizontal="center" vertical="center"/>
    </xf>
    <xf numFmtId="1" fontId="59" fillId="21" borderId="66" xfId="0" applyNumberFormat="1" applyFont="1" applyFill="1" applyBorder="1" applyAlignment="1">
      <alignment horizontal="center" vertical="center"/>
    </xf>
    <xf numFmtId="1" fontId="59" fillId="21" borderId="0" xfId="0" applyNumberFormat="1" applyFont="1" applyFill="1" applyBorder="1" applyAlignment="1">
      <alignment horizontal="center" vertical="center"/>
    </xf>
    <xf numFmtId="3" fontId="58" fillId="18" borderId="43" xfId="0" applyNumberFormat="1" applyFont="1" applyFill="1" applyBorder="1" applyAlignment="1">
      <alignment horizontal="center" vertical="center"/>
    </xf>
    <xf numFmtId="1" fontId="59" fillId="18" borderId="52" xfId="0" applyNumberFormat="1" applyFont="1" applyFill="1" applyBorder="1" applyAlignment="1">
      <alignment horizontal="center" vertical="center"/>
    </xf>
    <xf numFmtId="1" fontId="27" fillId="0" borderId="0" xfId="0" applyNumberFormat="1" applyFont="1" applyBorder="1" applyAlignment="1">
      <alignment horizontal="justify"/>
    </xf>
    <xf numFmtId="1" fontId="51" fillId="12" borderId="29" xfId="0" applyNumberFormat="1" applyFont="1" applyFill="1" applyBorder="1" applyAlignment="1">
      <alignment horizontal="center" vertical="center" wrapText="1"/>
    </xf>
    <xf numFmtId="1" fontId="51" fillId="12" borderId="66" xfId="0" applyNumberFormat="1" applyFont="1" applyFill="1" applyBorder="1" applyAlignment="1">
      <alignment horizontal="center" vertical="center" wrapText="1"/>
    </xf>
    <xf numFmtId="1" fontId="51" fillId="12" borderId="25" xfId="0" applyNumberFormat="1" applyFont="1" applyFill="1" applyBorder="1" applyAlignment="1">
      <alignment horizontal="center" vertical="top" wrapText="1"/>
    </xf>
    <xf numFmtId="1" fontId="51" fillId="12" borderId="26" xfId="0" applyNumberFormat="1" applyFont="1" applyFill="1" applyBorder="1" applyAlignment="1">
      <alignment horizontal="center" vertical="top" wrapText="1"/>
    </xf>
    <xf numFmtId="1" fontId="51" fillId="12" borderId="30" xfId="0" applyNumberFormat="1" applyFont="1" applyFill="1" applyBorder="1" applyAlignment="1">
      <alignment horizontal="center" vertical="top" wrapText="1"/>
    </xf>
    <xf numFmtId="1" fontId="56" fillId="12" borderId="32" xfId="0" applyNumberFormat="1" applyFont="1" applyFill="1" applyBorder="1" applyAlignment="1">
      <alignment horizontal="center" vertical="center" wrapText="1"/>
    </xf>
    <xf numFmtId="1" fontId="56" fillId="12" borderId="36" xfId="0" applyNumberFormat="1" applyFont="1" applyFill="1" applyBorder="1" applyAlignment="1">
      <alignment horizontal="center" vertical="center" wrapText="1"/>
    </xf>
    <xf numFmtId="1" fontId="56" fillId="12" borderId="10" xfId="0" applyNumberFormat="1" applyFont="1" applyFill="1" applyBorder="1" applyAlignment="1">
      <alignment horizontal="center" vertical="center" wrapText="1"/>
    </xf>
    <xf numFmtId="1" fontId="56" fillId="12" borderId="12" xfId="0" applyNumberFormat="1" applyFont="1" applyFill="1" applyBorder="1" applyAlignment="1">
      <alignment horizontal="center" vertical="center" wrapText="1"/>
    </xf>
    <xf numFmtId="1" fontId="56" fillId="12" borderId="11" xfId="0" applyNumberFormat="1" applyFont="1" applyFill="1" applyBorder="1" applyAlignment="1">
      <alignment horizontal="center" vertical="center" wrapText="1"/>
    </xf>
    <xf numFmtId="3" fontId="51" fillId="0" borderId="0" xfId="0" applyNumberFormat="1" applyFont="1" applyAlignment="1">
      <alignment horizontal="justify" wrapText="1"/>
    </xf>
    <xf numFmtId="3" fontId="55" fillId="0" borderId="0" xfId="0" applyNumberFormat="1" applyFont="1" applyFill="1" applyBorder="1" applyAlignment="1">
      <alignment horizontal="left" vertical="center" wrapText="1"/>
    </xf>
    <xf numFmtId="3" fontId="51" fillId="12" borderId="102" xfId="0" applyNumberFormat="1" applyFont="1" applyFill="1" applyBorder="1" applyAlignment="1">
      <alignment horizontal="center" vertical="center" wrapText="1"/>
    </xf>
    <xf numFmtId="3" fontId="51" fillId="12" borderId="21" xfId="0" applyNumberFormat="1" applyFont="1" applyFill="1" applyBorder="1" applyAlignment="1">
      <alignment horizontal="center" vertical="center" wrapText="1"/>
    </xf>
    <xf numFmtId="3" fontId="51" fillId="12" borderId="167" xfId="0" applyNumberFormat="1" applyFont="1" applyFill="1" applyBorder="1" applyAlignment="1">
      <alignment horizontal="center" vertical="center" wrapText="1"/>
    </xf>
    <xf numFmtId="3" fontId="51" fillId="12" borderId="104" xfId="0" applyNumberFormat="1" applyFont="1" applyFill="1" applyBorder="1" applyAlignment="1">
      <alignment horizontal="center" vertical="top" wrapText="1"/>
    </xf>
    <xf numFmtId="3" fontId="51" fillId="12" borderId="105" xfId="0" applyNumberFormat="1" applyFont="1" applyFill="1" applyBorder="1" applyAlignment="1">
      <alignment horizontal="center" vertical="top" wrapText="1"/>
    </xf>
    <xf numFmtId="3" fontId="51" fillId="12" borderId="75" xfId="0" applyNumberFormat="1" applyFont="1" applyFill="1" applyBorder="1" applyAlignment="1">
      <alignment horizontal="center" vertical="top" wrapText="1"/>
    </xf>
    <xf numFmtId="3" fontId="56" fillId="12" borderId="32" xfId="0" applyNumberFormat="1" applyFont="1" applyFill="1" applyBorder="1" applyAlignment="1">
      <alignment horizontal="center" vertical="center" wrapText="1"/>
    </xf>
    <xf numFmtId="3" fontId="56" fillId="12" borderId="36" xfId="0" applyNumberFormat="1" applyFont="1" applyFill="1" applyBorder="1" applyAlignment="1">
      <alignment horizontal="center" vertical="center" wrapText="1"/>
    </xf>
    <xf numFmtId="3" fontId="56" fillId="12" borderId="152" xfId="0" applyNumberFormat="1" applyFont="1" applyFill="1" applyBorder="1" applyAlignment="1">
      <alignment horizontal="center" vertical="center" wrapText="1"/>
    </xf>
    <xf numFmtId="3" fontId="56" fillId="12" borderId="37" xfId="0" applyNumberFormat="1" applyFont="1" applyFill="1" applyBorder="1" applyAlignment="1">
      <alignment horizontal="center" vertical="center" wrapText="1"/>
    </xf>
    <xf numFmtId="3" fontId="56" fillId="12" borderId="10" xfId="0" applyNumberFormat="1" applyFont="1" applyFill="1" applyBorder="1" applyAlignment="1">
      <alignment horizontal="center" vertical="center" wrapText="1"/>
    </xf>
    <xf numFmtId="3" fontId="56" fillId="12" borderId="12" xfId="0" applyNumberFormat="1" applyFont="1" applyFill="1" applyBorder="1" applyAlignment="1">
      <alignment horizontal="center" vertical="center" wrapText="1"/>
    </xf>
    <xf numFmtId="3" fontId="56" fillId="12" borderId="11" xfId="0" applyNumberFormat="1" applyFont="1" applyFill="1" applyBorder="1" applyAlignment="1">
      <alignment horizontal="center" vertical="center" wrapText="1"/>
    </xf>
    <xf numFmtId="3" fontId="56" fillId="12" borderId="156" xfId="0" applyNumberFormat="1" applyFont="1" applyFill="1" applyBorder="1" applyAlignment="1">
      <alignment horizontal="center" vertical="center" wrapText="1"/>
    </xf>
    <xf numFmtId="3" fontId="56" fillId="12" borderId="157" xfId="0" applyNumberFormat="1" applyFont="1" applyFill="1" applyBorder="1" applyAlignment="1">
      <alignment horizontal="center" vertical="center" wrapText="1"/>
    </xf>
    <xf numFmtId="3" fontId="36" fillId="12" borderId="183" xfId="0" applyNumberFormat="1" applyFont="1" applyFill="1" applyBorder="1" applyAlignment="1">
      <alignment horizontal="center" vertical="center" wrapText="1"/>
    </xf>
    <xf numFmtId="3" fontId="36" fillId="12" borderId="14" xfId="0" applyNumberFormat="1" applyFont="1" applyFill="1" applyBorder="1" applyAlignment="1">
      <alignment horizontal="center" vertical="top" wrapText="1"/>
    </xf>
    <xf numFmtId="3" fontId="36" fillId="12" borderId="28" xfId="0" applyNumberFormat="1" applyFont="1" applyFill="1" applyBorder="1" applyAlignment="1">
      <alignment horizontal="center" vertical="top" wrapText="1"/>
    </xf>
    <xf numFmtId="3" fontId="37" fillId="12" borderId="8" xfId="0" applyNumberFormat="1" applyFont="1" applyFill="1" applyBorder="1" applyAlignment="1">
      <alignment horizontal="center" vertical="center" wrapText="1"/>
    </xf>
    <xf numFmtId="3" fontId="37" fillId="12" borderId="11" xfId="0" applyNumberFormat="1" applyFont="1" applyFill="1" applyBorder="1" applyAlignment="1">
      <alignment horizontal="center" vertical="center" wrapText="1"/>
    </xf>
    <xf numFmtId="3" fontId="37" fillId="12" borderId="9" xfId="0" applyNumberFormat="1" applyFont="1" applyFill="1" applyBorder="1" applyAlignment="1">
      <alignment horizontal="center" vertical="center" wrapText="1"/>
    </xf>
    <xf numFmtId="3" fontId="37" fillId="12" borderId="13" xfId="0" applyNumberFormat="1" applyFont="1" applyFill="1" applyBorder="1" applyAlignment="1">
      <alignment horizontal="center" vertical="center" wrapText="1"/>
    </xf>
    <xf numFmtId="3" fontId="37" fillId="12" borderId="10" xfId="0" applyNumberFormat="1" applyFont="1" applyFill="1" applyBorder="1" applyAlignment="1">
      <alignment horizontal="center" vertical="center" wrapText="1"/>
    </xf>
    <xf numFmtId="3" fontId="37" fillId="12" borderId="12" xfId="0" applyNumberFormat="1" applyFont="1" applyFill="1" applyBorder="1" applyAlignment="1">
      <alignment horizontal="center" vertical="center" wrapText="1"/>
    </xf>
    <xf numFmtId="3" fontId="121" fillId="12" borderId="183" xfId="0" applyNumberFormat="1" applyFont="1" applyFill="1" applyBorder="1" applyAlignment="1">
      <alignment horizontal="center" vertical="center" wrapText="1"/>
    </xf>
    <xf numFmtId="3" fontId="121" fillId="12" borderId="14" xfId="0" applyNumberFormat="1" applyFont="1" applyFill="1" applyBorder="1" applyAlignment="1">
      <alignment horizontal="center" vertical="top" wrapText="1"/>
    </xf>
    <xf numFmtId="3" fontId="121" fillId="12" borderId="28" xfId="0" applyNumberFormat="1" applyFont="1" applyFill="1" applyBorder="1" applyAlignment="1">
      <alignment horizontal="center" vertical="top" wrapText="1"/>
    </xf>
    <xf numFmtId="3" fontId="121" fillId="12" borderId="8" xfId="0" applyNumberFormat="1" applyFont="1" applyFill="1" applyBorder="1" applyAlignment="1">
      <alignment horizontal="center" vertical="center" wrapText="1"/>
    </xf>
    <xf numFmtId="3" fontId="121" fillId="12" borderId="11" xfId="0" applyNumberFormat="1" applyFont="1" applyFill="1" applyBorder="1" applyAlignment="1">
      <alignment horizontal="center" vertical="center" wrapText="1"/>
    </xf>
    <xf numFmtId="3" fontId="121" fillId="12" borderId="9" xfId="0" applyNumberFormat="1" applyFont="1" applyFill="1" applyBorder="1" applyAlignment="1">
      <alignment horizontal="center" vertical="center" wrapText="1"/>
    </xf>
    <xf numFmtId="3" fontId="121" fillId="12" borderId="13" xfId="0" applyNumberFormat="1" applyFont="1" applyFill="1" applyBorder="1" applyAlignment="1">
      <alignment horizontal="center" vertical="center" wrapText="1"/>
    </xf>
    <xf numFmtId="3" fontId="121" fillId="12" borderId="10" xfId="0" applyNumberFormat="1" applyFont="1" applyFill="1" applyBorder="1" applyAlignment="1">
      <alignment horizontal="center" vertical="center" wrapText="1"/>
    </xf>
    <xf numFmtId="3" fontId="121" fillId="12" borderId="12" xfId="0" applyNumberFormat="1" applyFont="1" applyFill="1" applyBorder="1" applyAlignment="1">
      <alignment horizontal="center" vertical="center" wrapText="1"/>
    </xf>
    <xf numFmtId="1" fontId="43" fillId="12" borderId="183" xfId="0" applyNumberFormat="1" applyFont="1" applyFill="1" applyBorder="1" applyAlignment="1">
      <alignment horizontal="left" vertical="center" wrapText="1"/>
    </xf>
    <xf numFmtId="1" fontId="43" fillId="12" borderId="183" xfId="0" applyNumberFormat="1" applyFont="1" applyFill="1" applyBorder="1" applyAlignment="1">
      <alignment horizontal="center" vertical="center" wrapText="1"/>
    </xf>
    <xf numFmtId="1" fontId="125" fillId="12" borderId="183" xfId="0" applyNumberFormat="1" applyFont="1" applyFill="1" applyBorder="1" applyAlignment="1">
      <alignment horizontal="center" vertical="center"/>
    </xf>
    <xf numFmtId="1" fontId="22" fillId="12" borderId="183" xfId="0" applyNumberFormat="1" applyFont="1" applyFill="1" applyBorder="1" applyAlignment="1">
      <alignment horizontal="center" vertical="center" wrapText="1"/>
    </xf>
    <xf numFmtId="1" fontId="129" fillId="12" borderId="183" xfId="0" applyNumberFormat="1" applyFont="1" applyFill="1" applyBorder="1" applyAlignment="1">
      <alignment horizontal="center" vertical="center" wrapText="1"/>
    </xf>
    <xf numFmtId="3" fontId="36" fillId="12" borderId="15" xfId="0" applyNumberFormat="1" applyFont="1" applyFill="1" applyBorder="1" applyAlignment="1">
      <alignment horizontal="center" vertical="center" wrapText="1"/>
    </xf>
    <xf numFmtId="3" fontId="36" fillId="12" borderId="25" xfId="0" applyNumberFormat="1" applyFont="1" applyFill="1" applyBorder="1" applyAlignment="1">
      <alignment horizontal="center" vertical="top" wrapText="1"/>
    </xf>
    <xf numFmtId="3" fontId="36" fillId="12" borderId="26" xfId="0" applyNumberFormat="1" applyFont="1" applyFill="1" applyBorder="1" applyAlignment="1">
      <alignment horizontal="center" vertical="top" wrapText="1"/>
    </xf>
    <xf numFmtId="3" fontId="37" fillId="12" borderId="6" xfId="0" applyNumberFormat="1" applyFont="1" applyFill="1" applyBorder="1" applyAlignment="1">
      <alignment horizontal="center" vertical="center" wrapText="1"/>
    </xf>
    <xf numFmtId="3" fontId="37" fillId="12" borderId="27"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center" wrapText="1"/>
    </xf>
    <xf numFmtId="3" fontId="37" fillId="12" borderId="28" xfId="0" applyNumberFormat="1" applyFont="1" applyFill="1" applyBorder="1" applyAlignment="1">
      <alignment horizontal="center" vertical="center" wrapText="1"/>
    </xf>
    <xf numFmtId="3" fontId="86" fillId="0" borderId="0" xfId="0" applyNumberFormat="1" applyFont="1" applyBorder="1" applyAlignment="1">
      <alignment horizontal="center" vertical="top"/>
    </xf>
    <xf numFmtId="3" fontId="59" fillId="0" borderId="0" xfId="0" applyNumberFormat="1" applyFont="1" applyFill="1" applyBorder="1" applyAlignment="1">
      <alignment horizontal="center" vertical="center" wrapText="1"/>
    </xf>
    <xf numFmtId="3" fontId="98"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0" fontId="51" fillId="12" borderId="19" xfId="0" applyFont="1" applyFill="1" applyBorder="1" applyAlignment="1">
      <alignment horizontal="left" vertical="center" wrapText="1"/>
    </xf>
    <xf numFmtId="170" fontId="51" fillId="12" borderId="86" xfId="0" applyFont="1" applyFill="1" applyBorder="1" applyAlignment="1">
      <alignment horizontal="left" vertical="center" wrapText="1"/>
    </xf>
    <xf numFmtId="0" fontId="36" fillId="12" borderId="15" xfId="0" applyNumberFormat="1" applyFont="1" applyFill="1" applyBorder="1" applyAlignment="1">
      <alignment horizontal="center" vertical="center" wrapText="1"/>
    </xf>
    <xf numFmtId="0" fontId="36" fillId="12" borderId="25" xfId="0" applyNumberFormat="1" applyFont="1" applyFill="1" applyBorder="1" applyAlignment="1">
      <alignment horizontal="center" vertical="top" wrapText="1"/>
    </xf>
    <xf numFmtId="0" fontId="36" fillId="12" borderId="26" xfId="0" applyNumberFormat="1" applyFont="1" applyFill="1" applyBorder="1" applyAlignment="1">
      <alignment horizontal="center" vertical="top" wrapText="1"/>
    </xf>
    <xf numFmtId="0" fontId="37" fillId="12" borderId="6" xfId="0" applyNumberFormat="1" applyFont="1" applyFill="1" applyBorder="1" applyAlignment="1">
      <alignment horizontal="center" vertical="center" wrapText="1"/>
    </xf>
    <xf numFmtId="0" fontId="37" fillId="12" borderId="13" xfId="0" applyNumberFormat="1" applyFont="1" applyFill="1" applyBorder="1" applyAlignment="1">
      <alignment horizontal="center" vertical="center" wrapText="1"/>
    </xf>
    <xf numFmtId="0" fontId="37" fillId="12" borderId="27" xfId="0" applyNumberFormat="1" applyFont="1" applyFill="1" applyBorder="1" applyAlignment="1">
      <alignment horizontal="center" vertical="center" wrapText="1"/>
    </xf>
    <xf numFmtId="0" fontId="37" fillId="12" borderId="14" xfId="0" applyNumberFormat="1" applyFont="1" applyFill="1" applyBorder="1" applyAlignment="1">
      <alignment horizontal="center" vertical="center" wrapText="1"/>
    </xf>
    <xf numFmtId="0" fontId="37" fillId="12" borderId="28" xfId="0" applyNumberFormat="1" applyFont="1" applyFill="1" applyBorder="1" applyAlignment="1">
      <alignment horizontal="center" vertical="center" wrapText="1"/>
    </xf>
    <xf numFmtId="170" fontId="36" fillId="12" borderId="89" xfId="0" applyFont="1" applyFill="1" applyBorder="1" applyAlignment="1">
      <alignment horizontal="center" vertical="center" wrapText="1"/>
    </xf>
    <xf numFmtId="170" fontId="36" fillId="12" borderId="91" xfId="0" applyFont="1" applyFill="1" applyBorder="1" applyAlignment="1">
      <alignment horizontal="center" vertical="center" wrapText="1"/>
    </xf>
    <xf numFmtId="170" fontId="36" fillId="12" borderId="93" xfId="0" applyFont="1" applyFill="1" applyBorder="1" applyAlignment="1">
      <alignment horizontal="center" vertical="center" wrapText="1"/>
    </xf>
    <xf numFmtId="170" fontId="36" fillId="12" borderId="90" xfId="0" applyFont="1" applyFill="1" applyBorder="1" applyAlignment="1">
      <alignment horizontal="center" vertical="center" wrapText="1"/>
    </xf>
    <xf numFmtId="170" fontId="36" fillId="12" borderId="92" xfId="0" applyFont="1" applyFill="1" applyBorder="1" applyAlignment="1">
      <alignment horizontal="center" vertical="center" wrapText="1"/>
    </xf>
    <xf numFmtId="170" fontId="36" fillId="12" borderId="17" xfId="0" applyFont="1" applyFill="1" applyBorder="1" applyAlignment="1">
      <alignment horizontal="center" vertical="center" wrapText="1"/>
    </xf>
    <xf numFmtId="170" fontId="36" fillId="12" borderId="15" xfId="0" applyFont="1" applyFill="1" applyBorder="1" applyAlignment="1">
      <alignment horizontal="center" vertical="center" wrapText="1"/>
    </xf>
    <xf numFmtId="170" fontId="36" fillId="12" borderId="25" xfId="0" applyFont="1" applyFill="1" applyBorder="1" applyAlignment="1">
      <alignment horizontal="center" vertical="top" wrapText="1"/>
    </xf>
    <xf numFmtId="170" fontId="36" fillId="12" borderId="26" xfId="0" applyFont="1" applyFill="1" applyBorder="1" applyAlignment="1">
      <alignment horizontal="center" vertical="top" wrapText="1"/>
    </xf>
    <xf numFmtId="170" fontId="37" fillId="12" borderId="6" xfId="0" applyFont="1" applyFill="1" applyBorder="1" applyAlignment="1">
      <alignment horizontal="center" vertical="center" wrapText="1"/>
    </xf>
    <xf numFmtId="170" fontId="37" fillId="12" borderId="13" xfId="0" applyFont="1" applyFill="1" applyBorder="1" applyAlignment="1">
      <alignment horizontal="center" vertical="center" wrapText="1"/>
    </xf>
    <xf numFmtId="170" fontId="37" fillId="12" borderId="27" xfId="0" applyFont="1" applyFill="1" applyBorder="1" applyAlignment="1">
      <alignment horizontal="center" vertical="center" wrapText="1"/>
    </xf>
    <xf numFmtId="170" fontId="37" fillId="12" borderId="14" xfId="0" applyFont="1" applyFill="1" applyBorder="1" applyAlignment="1">
      <alignment horizontal="center" vertical="center" wrapText="1"/>
    </xf>
    <xf numFmtId="170" fontId="37" fillId="12" borderId="28" xfId="0" applyFont="1" applyFill="1" applyBorder="1" applyAlignment="1">
      <alignment horizontal="center" vertical="center" wrapText="1"/>
    </xf>
    <xf numFmtId="170" fontId="41" fillId="0" borderId="66" xfId="0" applyFont="1" applyBorder="1" applyAlignment="1" applyProtection="1">
      <alignment horizontal="right" vertical="center"/>
    </xf>
    <xf numFmtId="170" fontId="41" fillId="0" borderId="0" xfId="0" applyFont="1" applyBorder="1" applyAlignment="1" applyProtection="1">
      <alignment horizontal="right" vertical="center"/>
    </xf>
    <xf numFmtId="170" fontId="41" fillId="0" borderId="0" xfId="0" applyFont="1" applyFill="1" applyBorder="1" applyAlignment="1" applyProtection="1">
      <alignment horizontal="right" vertical="center"/>
    </xf>
    <xf numFmtId="170" fontId="37" fillId="19" borderId="11" xfId="0" applyFont="1" applyFill="1" applyBorder="1" applyAlignment="1" applyProtection="1">
      <alignment horizontal="center" vertical="center"/>
    </xf>
    <xf numFmtId="170" fontId="37" fillId="19" borderId="88" xfId="0" applyFont="1" applyFill="1" applyBorder="1" applyAlignment="1" applyProtection="1">
      <alignment horizontal="center" vertical="center"/>
    </xf>
    <xf numFmtId="170" fontId="37" fillId="0" borderId="0" xfId="0" applyFont="1" applyFill="1" applyBorder="1" applyAlignment="1" applyProtection="1">
      <alignment horizontal="center" vertical="center"/>
    </xf>
    <xf numFmtId="170" fontId="37" fillId="19" borderId="28" xfId="0" applyFont="1" applyFill="1" applyBorder="1" applyAlignment="1" applyProtection="1">
      <alignment horizontal="right" vertical="center"/>
    </xf>
    <xf numFmtId="170" fontId="37" fillId="19" borderId="54" xfId="0" applyFont="1" applyFill="1" applyBorder="1" applyAlignment="1" applyProtection="1">
      <alignment horizontal="right" vertical="center"/>
    </xf>
    <xf numFmtId="170" fontId="37" fillId="0" borderId="0" xfId="0" applyFont="1" applyFill="1" applyBorder="1" applyAlignment="1" applyProtection="1">
      <alignment horizontal="right" vertical="center"/>
    </xf>
    <xf numFmtId="170" fontId="37" fillId="19" borderId="100" xfId="0" applyFont="1" applyFill="1" applyBorder="1" applyAlignment="1" applyProtection="1">
      <alignment horizontal="right" vertical="center"/>
    </xf>
    <xf numFmtId="170" fontId="37" fillId="19" borderId="40" xfId="0" applyFont="1" applyFill="1" applyBorder="1" applyAlignment="1" applyProtection="1">
      <alignment horizontal="right" vertical="center"/>
    </xf>
    <xf numFmtId="170" fontId="37" fillId="0" borderId="0" xfId="0" applyFont="1" applyFill="1" applyBorder="1" applyAlignment="1" applyProtection="1">
      <alignment horizontal="center" vertical="center" wrapText="1"/>
    </xf>
    <xf numFmtId="0" fontId="37" fillId="12" borderId="29" xfId="0" applyNumberFormat="1" applyFont="1" applyFill="1" applyBorder="1" applyAlignment="1" applyProtection="1">
      <alignment horizontal="center" vertical="center" wrapText="1"/>
    </xf>
    <xf numFmtId="0" fontId="37" fillId="12" borderId="45" xfId="0" applyNumberFormat="1" applyFont="1" applyFill="1" applyBorder="1" applyAlignment="1" applyProtection="1">
      <alignment horizontal="center" vertical="center" wrapText="1"/>
    </xf>
    <xf numFmtId="0" fontId="37" fillId="12" borderId="66" xfId="0" applyNumberFormat="1" applyFont="1" applyFill="1" applyBorder="1" applyAlignment="1" applyProtection="1">
      <alignment horizontal="center" vertical="center" wrapText="1"/>
    </xf>
    <xf numFmtId="0" fontId="37" fillId="12" borderId="34" xfId="0" applyNumberFormat="1" applyFont="1" applyFill="1" applyBorder="1" applyAlignment="1" applyProtection="1">
      <alignment horizontal="center" vertical="center" wrapText="1"/>
    </xf>
    <xf numFmtId="0" fontId="37" fillId="12" borderId="72" xfId="0" applyNumberFormat="1" applyFont="1" applyFill="1" applyBorder="1" applyAlignment="1" applyProtection="1">
      <alignment horizontal="center" vertical="center" wrapText="1"/>
    </xf>
    <xf numFmtId="0" fontId="37" fillId="12" borderId="41" xfId="0" applyNumberFormat="1" applyFont="1" applyFill="1" applyBorder="1" applyAlignment="1" applyProtection="1">
      <alignment horizontal="center" vertical="center" wrapText="1"/>
    </xf>
    <xf numFmtId="170" fontId="37" fillId="19" borderId="155" xfId="0" applyFont="1" applyFill="1" applyBorder="1" applyAlignment="1" applyProtection="1">
      <alignment horizontal="center" vertical="center"/>
    </xf>
    <xf numFmtId="170" fontId="37" fillId="19" borderId="44" xfId="0" applyFont="1" applyFill="1" applyBorder="1" applyAlignment="1" applyProtection="1">
      <alignment horizontal="center" vertical="center"/>
    </xf>
    <xf numFmtId="170" fontId="37" fillId="19" borderId="81" xfId="0" applyFont="1" applyFill="1" applyBorder="1" applyAlignment="1" applyProtection="1">
      <alignment horizontal="center" vertical="center"/>
    </xf>
    <xf numFmtId="170" fontId="37" fillId="19" borderId="46" xfId="0" applyFont="1" applyFill="1" applyBorder="1" applyAlignment="1" applyProtection="1">
      <alignment horizontal="center" vertical="center"/>
    </xf>
    <xf numFmtId="170" fontId="37" fillId="19" borderId="97" xfId="0" applyFont="1" applyFill="1" applyBorder="1" applyAlignment="1" applyProtection="1">
      <alignment horizontal="center" vertical="center"/>
    </xf>
    <xf numFmtId="170" fontId="37" fillId="19" borderId="96" xfId="0" applyFont="1" applyFill="1" applyBorder="1" applyAlignment="1" applyProtection="1">
      <alignment horizontal="center" vertical="center"/>
    </xf>
    <xf numFmtId="0" fontId="37" fillId="12" borderId="42" xfId="0" applyNumberFormat="1" applyFont="1" applyFill="1" applyBorder="1" applyAlignment="1" applyProtection="1">
      <alignment horizontal="center" vertical="center" wrapText="1"/>
    </xf>
    <xf numFmtId="0" fontId="37" fillId="12" borderId="31" xfId="0" applyNumberFormat="1" applyFont="1" applyFill="1" applyBorder="1" applyAlignment="1" applyProtection="1">
      <alignment horizontal="center" vertical="center" wrapText="1"/>
    </xf>
    <xf numFmtId="0" fontId="37" fillId="12" borderId="35" xfId="0" applyNumberFormat="1" applyFont="1" applyFill="1" applyBorder="1" applyAlignment="1" applyProtection="1">
      <alignment horizontal="center" vertical="center" wrapText="1"/>
    </xf>
    <xf numFmtId="0" fontId="30" fillId="12" borderId="49" xfId="0" applyNumberFormat="1" applyFont="1" applyFill="1" applyBorder="1" applyAlignment="1" applyProtection="1">
      <alignment horizontal="center" vertical="center" wrapText="1"/>
    </xf>
    <xf numFmtId="0" fontId="30" fillId="12" borderId="86" xfId="0" applyNumberFormat="1" applyFont="1" applyFill="1" applyBorder="1" applyAlignment="1" applyProtection="1">
      <alignment horizontal="center" vertical="center" wrapText="1"/>
    </xf>
    <xf numFmtId="0" fontId="30" fillId="12" borderId="16" xfId="0" applyNumberFormat="1" applyFont="1" applyFill="1" applyBorder="1" applyAlignment="1" applyProtection="1">
      <alignment horizontal="center" vertical="center" wrapText="1"/>
    </xf>
    <xf numFmtId="0" fontId="37" fillId="12" borderId="59" xfId="0" applyNumberFormat="1" applyFont="1" applyFill="1" applyBorder="1" applyAlignment="1" applyProtection="1">
      <alignment horizontal="center" vertical="center" wrapText="1"/>
    </xf>
    <xf numFmtId="0" fontId="37" fillId="12" borderId="68" xfId="0" applyNumberFormat="1" applyFont="1" applyFill="1" applyBorder="1" applyAlignment="1" applyProtection="1">
      <alignment horizontal="center" vertical="center" wrapText="1"/>
    </xf>
    <xf numFmtId="0" fontId="36" fillId="12" borderId="29" xfId="0" applyNumberFormat="1" applyFont="1" applyFill="1" applyBorder="1" applyAlignment="1" applyProtection="1">
      <alignment horizontal="center" vertical="center"/>
    </xf>
    <xf numFmtId="0" fontId="36" fillId="12" borderId="56" xfId="0" applyNumberFormat="1" applyFont="1" applyFill="1" applyBorder="1" applyAlignment="1" applyProtection="1">
      <alignment horizontal="center" vertical="center"/>
    </xf>
    <xf numFmtId="0" fontId="36" fillId="12" borderId="45" xfId="0" applyNumberFormat="1" applyFont="1" applyFill="1" applyBorder="1" applyAlignment="1" applyProtection="1">
      <alignment horizontal="center" vertical="center"/>
    </xf>
    <xf numFmtId="0" fontId="37" fillId="12" borderId="63" xfId="0" applyNumberFormat="1" applyFont="1" applyFill="1" applyBorder="1" applyAlignment="1" applyProtection="1">
      <alignment horizontal="center" vertical="center" wrapText="1"/>
    </xf>
    <xf numFmtId="0" fontId="37" fillId="12" borderId="76" xfId="0" applyNumberFormat="1" applyFont="1" applyFill="1" applyBorder="1" applyAlignment="1" applyProtection="1">
      <alignment horizontal="center" vertical="center" wrapText="1"/>
    </xf>
    <xf numFmtId="2" fontId="41" fillId="21" borderId="56" xfId="0" applyNumberFormat="1" applyFont="1" applyFill="1" applyBorder="1" applyAlignment="1" applyProtection="1">
      <alignment horizontal="center" vertical="center"/>
    </xf>
    <xf numFmtId="2" fontId="41" fillId="21" borderId="0" xfId="0" applyNumberFormat="1" applyFont="1" applyFill="1" applyBorder="1" applyAlignment="1" applyProtection="1">
      <alignment horizontal="center" vertical="center"/>
    </xf>
    <xf numFmtId="2" fontId="41" fillId="21" borderId="12" xfId="0" applyNumberFormat="1" applyFont="1" applyFill="1" applyBorder="1" applyAlignment="1" applyProtection="1">
      <alignment horizontal="center" vertical="center"/>
    </xf>
    <xf numFmtId="0" fontId="37" fillId="12" borderId="9" xfId="0" applyNumberFormat="1" applyFont="1" applyFill="1" applyBorder="1" applyAlignment="1" applyProtection="1">
      <alignment horizontal="center" vertical="center" wrapText="1"/>
    </xf>
    <xf numFmtId="0" fontId="37" fillId="12" borderId="37" xfId="0" applyNumberFormat="1" applyFont="1" applyFill="1" applyBorder="1" applyAlignment="1" applyProtection="1">
      <alignment horizontal="center" vertical="center" wrapText="1"/>
    </xf>
    <xf numFmtId="170" fontId="30" fillId="12" borderId="48" xfId="0" applyFont="1" applyFill="1" applyBorder="1" applyAlignment="1" applyProtection="1">
      <alignment horizontal="center" vertical="center" wrapText="1"/>
    </xf>
    <xf numFmtId="170" fontId="30" fillId="12" borderId="61" xfId="0" applyFont="1" applyFill="1" applyBorder="1" applyAlignment="1" applyProtection="1">
      <alignment horizontal="center" vertical="center" wrapText="1"/>
    </xf>
    <xf numFmtId="170" fontId="30" fillId="12" borderId="18" xfId="0" applyFont="1" applyFill="1" applyBorder="1" applyAlignment="1" applyProtection="1">
      <alignment horizontal="center" vertical="center" wrapText="1"/>
    </xf>
    <xf numFmtId="0" fontId="37" fillId="12" borderId="8" xfId="0" applyNumberFormat="1" applyFont="1" applyFill="1" applyBorder="1" applyAlignment="1" applyProtection="1">
      <alignment horizontal="center" vertical="center" wrapText="1"/>
    </xf>
    <xf numFmtId="0" fontId="36" fillId="12" borderId="19" xfId="0" applyNumberFormat="1" applyFont="1" applyFill="1" applyBorder="1" applyAlignment="1" applyProtection="1">
      <alignment horizontal="center" vertical="center"/>
    </xf>
    <xf numFmtId="0" fontId="36" fillId="12" borderId="86" xfId="0" applyNumberFormat="1" applyFont="1" applyFill="1" applyBorder="1" applyAlignment="1" applyProtection="1">
      <alignment horizontal="center" vertical="center"/>
    </xf>
    <xf numFmtId="0" fontId="36" fillId="12" borderId="16" xfId="0" applyNumberFormat="1" applyFont="1" applyFill="1" applyBorder="1" applyAlignment="1" applyProtection="1">
      <alignment horizontal="center" vertical="center"/>
    </xf>
    <xf numFmtId="2" fontId="41" fillId="21" borderId="79" xfId="0" applyNumberFormat="1" applyFont="1" applyFill="1" applyBorder="1" applyAlignment="1" applyProtection="1">
      <alignment horizontal="center" vertical="center"/>
    </xf>
    <xf numFmtId="2" fontId="41" fillId="21" borderId="21" xfId="0" applyNumberFormat="1" applyFont="1" applyFill="1" applyBorder="1" applyAlignment="1" applyProtection="1">
      <alignment horizontal="center" vertical="center"/>
    </xf>
    <xf numFmtId="2" fontId="41" fillId="21" borderId="83" xfId="0" applyNumberFormat="1" applyFont="1" applyFill="1" applyBorder="1" applyAlignment="1" applyProtection="1">
      <alignment horizontal="center" vertical="center"/>
    </xf>
    <xf numFmtId="2" fontId="41" fillId="21" borderId="29" xfId="0" applyNumberFormat="1" applyFont="1" applyFill="1" applyBorder="1" applyAlignment="1" applyProtection="1">
      <alignment horizontal="center" vertical="center"/>
    </xf>
    <xf numFmtId="2" fontId="41" fillId="21" borderId="66" xfId="0" applyNumberFormat="1" applyFont="1" applyFill="1" applyBorder="1" applyAlignment="1" applyProtection="1">
      <alignment horizontal="center" vertical="center"/>
    </xf>
    <xf numFmtId="2" fontId="41" fillId="21" borderId="67" xfId="0" applyNumberFormat="1" applyFont="1" applyFill="1" applyBorder="1" applyAlignment="1" applyProtection="1">
      <alignment horizontal="center" vertical="center"/>
    </xf>
    <xf numFmtId="2" fontId="37" fillId="21" borderId="56" xfId="0" applyNumberFormat="1" applyFont="1" applyFill="1" applyBorder="1" applyAlignment="1" applyProtection="1">
      <alignment horizontal="center" vertical="center" wrapText="1"/>
    </xf>
    <xf numFmtId="2" fontId="37" fillId="21" borderId="0" xfId="0" applyNumberFormat="1" applyFont="1" applyFill="1" applyBorder="1" applyAlignment="1" applyProtection="1">
      <alignment horizontal="center" vertical="center" wrapText="1"/>
    </xf>
    <xf numFmtId="2" fontId="37" fillId="21" borderId="12" xfId="0" applyNumberFormat="1" applyFont="1" applyFill="1" applyBorder="1" applyAlignment="1" applyProtection="1">
      <alignment horizontal="center" vertical="center" wrapText="1"/>
    </xf>
    <xf numFmtId="2" fontId="41" fillId="21" borderId="78" xfId="0" applyNumberFormat="1" applyFont="1" applyFill="1" applyBorder="1" applyAlignment="1" applyProtection="1">
      <alignment horizontal="center" vertical="center"/>
    </xf>
    <xf numFmtId="2" fontId="41" fillId="21" borderId="80" xfId="0" applyNumberFormat="1" applyFont="1" applyFill="1" applyBorder="1" applyAlignment="1" applyProtection="1">
      <alignment horizontal="center" vertical="center"/>
    </xf>
    <xf numFmtId="2" fontId="41" fillId="21" borderId="82" xfId="0" applyNumberFormat="1" applyFont="1" applyFill="1" applyBorder="1" applyAlignment="1" applyProtection="1">
      <alignment horizontal="center" vertical="center"/>
    </xf>
    <xf numFmtId="0" fontId="87" fillId="23" borderId="123" xfId="222" applyFont="1" applyFill="1" applyBorder="1"/>
    <xf numFmtId="0" fontId="43" fillId="23" borderId="123" xfId="222" applyFont="1" applyFill="1" applyBorder="1"/>
    <xf numFmtId="0" fontId="43" fillId="23" borderId="131" xfId="222" applyFont="1" applyFill="1" applyBorder="1"/>
    <xf numFmtId="0" fontId="82" fillId="0" borderId="0" xfId="221" applyFont="1" applyBorder="1"/>
    <xf numFmtId="0" fontId="83" fillId="0" borderId="0" xfId="205" applyFont="1" applyBorder="1"/>
    <xf numFmtId="0" fontId="88" fillId="23" borderId="102" xfId="221" applyFont="1" applyFill="1" applyBorder="1"/>
    <xf numFmtId="0" fontId="43" fillId="23" borderId="122" xfId="222" applyFont="1" applyFill="1" applyBorder="1"/>
    <xf numFmtId="0" fontId="43" fillId="23" borderId="123" xfId="222" applyFont="1" applyFill="1" applyBorder="1" applyAlignment="1">
      <alignment horizontal="left"/>
    </xf>
    <xf numFmtId="0" fontId="22" fillId="0" borderId="111" xfId="223" applyFont="1" applyBorder="1"/>
    <xf numFmtId="179" fontId="0" fillId="0" borderId="111" xfId="3405" applyNumberFormat="1" applyFont="1" applyBorder="1"/>
    <xf numFmtId="0" fontId="43" fillId="23" borderId="124" xfId="222" applyFont="1" applyFill="1" applyBorder="1"/>
    <xf numFmtId="0" fontId="43" fillId="23" borderId="125" xfId="222" applyFont="1" applyFill="1" applyBorder="1"/>
    <xf numFmtId="0" fontId="43" fillId="23" borderId="126" xfId="222" applyFont="1" applyFill="1" applyBorder="1"/>
    <xf numFmtId="0" fontId="22" fillId="0" borderId="0" xfId="223" applyFont="1"/>
    <xf numFmtId="179" fontId="0" fillId="0" borderId="0" xfId="3405" applyNumberFormat="1" applyFont="1"/>
    <xf numFmtId="0" fontId="22" fillId="0" borderId="0" xfId="223" applyFont="1" applyBorder="1"/>
    <xf numFmtId="179" fontId="22" fillId="0" borderId="0" xfId="3405" applyNumberFormat="1" applyFont="1" applyBorder="1"/>
    <xf numFmtId="179" fontId="22" fillId="0" borderId="111" xfId="3405" applyNumberFormat="1" applyFont="1" applyBorder="1"/>
    <xf numFmtId="0" fontId="43" fillId="23" borderId="127" xfId="223" applyFont="1" applyFill="1" applyBorder="1"/>
    <xf numFmtId="0" fontId="43" fillId="23" borderId="117" xfId="223" applyFont="1" applyFill="1" applyBorder="1"/>
    <xf numFmtId="0" fontId="43" fillId="23" borderId="128" xfId="223" applyFont="1" applyFill="1" applyBorder="1"/>
    <xf numFmtId="0" fontId="43" fillId="23" borderId="124" xfId="223" applyFont="1" applyFill="1" applyBorder="1"/>
    <xf numFmtId="0" fontId="43" fillId="23" borderId="125" xfId="223" applyFont="1" applyFill="1" applyBorder="1"/>
    <xf numFmtId="0" fontId="43" fillId="23" borderId="126" xfId="223" applyFont="1" applyFill="1" applyBorder="1"/>
    <xf numFmtId="0" fontId="88" fillId="23" borderId="21" xfId="221" applyFont="1" applyFill="1" applyBorder="1"/>
    <xf numFmtId="0" fontId="43" fillId="23" borderId="125" xfId="3406" applyNumberFormat="1" applyFont="1" applyFill="1" applyBorder="1" applyAlignment="1">
      <alignment horizontal="left"/>
    </xf>
    <xf numFmtId="0" fontId="43" fillId="23" borderId="125" xfId="222" applyFont="1" applyFill="1" applyBorder="1" applyAlignment="1">
      <alignment horizontal="left"/>
    </xf>
    <xf numFmtId="0" fontId="4" fillId="0" borderId="0" xfId="218" applyNumberFormat="1"/>
    <xf numFmtId="179" fontId="0" fillId="0" borderId="0" xfId="3405" applyNumberFormat="1" applyFont="1" applyFill="1"/>
    <xf numFmtId="179" fontId="22" fillId="0" borderId="111" xfId="3405" applyNumberFormat="1" applyFont="1" applyFill="1" applyBorder="1"/>
    <xf numFmtId="3" fontId="22" fillId="0" borderId="111" xfId="223" applyNumberFormat="1" applyFont="1" applyBorder="1"/>
    <xf numFmtId="0" fontId="79" fillId="0" borderId="0" xfId="223" applyFont="1"/>
    <xf numFmtId="0" fontId="22" fillId="23" borderId="52" xfId="223" applyFont="1" applyFill="1" applyBorder="1"/>
    <xf numFmtId="0" fontId="3" fillId="0" borderId="0" xfId="223"/>
    <xf numFmtId="0" fontId="22" fillId="0" borderId="216" xfId="223" applyFont="1" applyBorder="1"/>
    <xf numFmtId="179" fontId="0" fillId="0" borderId="216" xfId="3405" applyNumberFormat="1" applyFont="1" applyBorder="1"/>
    <xf numFmtId="179" fontId="0" fillId="0" borderId="0" xfId="3405" applyNumberFormat="1" applyFont="1" applyBorder="1"/>
    <xf numFmtId="0" fontId="0" fillId="0" borderId="216" xfId="0" applyNumberFormat="1" applyBorder="1"/>
  </cellXfs>
  <cellStyles count="3407">
    <cellStyle name="20% - Accent1" xfId="173" builtinId="30" customBuiltin="1"/>
    <cellStyle name="20% - Accent1 2" xfId="208"/>
    <cellStyle name="20% - Accent2" xfId="177" builtinId="34" customBuiltin="1"/>
    <cellStyle name="20% - Accent3" xfId="181" builtinId="38" customBuiltin="1"/>
    <cellStyle name="20% - Accent4" xfId="185" builtinId="42" customBuiltin="1"/>
    <cellStyle name="20% - Accent5" xfId="189" builtinId="46" customBuiltin="1"/>
    <cellStyle name="20% - Accent6" xfId="193" builtinId="50" customBuiltin="1"/>
    <cellStyle name="2x indented GHG Textfiels" xfId="224"/>
    <cellStyle name="2x indented GHG Textfiels 10" xfId="584"/>
    <cellStyle name="2x indented GHG Textfiels 2" xfId="392"/>
    <cellStyle name="2x indented GHG Textfiels 2 2" xfId="450"/>
    <cellStyle name="2x indented GHG Textfiels 2 2 2" xfId="550"/>
    <cellStyle name="2x indented GHG Textfiels 2 2 2 2" xfId="1796"/>
    <cellStyle name="2x indented GHG Textfiels 2 2 2 2 2" xfId="3035"/>
    <cellStyle name="2x indented GHG Textfiels 2 2 2 3" xfId="1476"/>
    <cellStyle name="2x indented GHG Textfiels 2 2 2 4" xfId="2716"/>
    <cellStyle name="2x indented GHG Textfiels 2 2 3" xfId="1393"/>
    <cellStyle name="2x indented GHG Textfiels 2 2 3 2" xfId="2633"/>
    <cellStyle name="2x indented GHG Textfiels 2 2 4" xfId="1178"/>
    <cellStyle name="2x indented GHG Textfiels 2 2 4 2" xfId="2419"/>
    <cellStyle name="2x indented GHG Textfiels 2 2 5" xfId="1215"/>
    <cellStyle name="2x indented GHG Textfiels 2 2 5 2" xfId="2456"/>
    <cellStyle name="2x indented GHG Textfiels 2 2 6" xfId="854"/>
    <cellStyle name="2x indented GHG Textfiels 2 2 6 2" xfId="3329"/>
    <cellStyle name="2x indented GHG Textfiels 2 2 7" xfId="2098"/>
    <cellStyle name="2x indented GHG Textfiels 2 3" xfId="599"/>
    <cellStyle name="2x indented GHG Textfiels 2 3 2" xfId="1829"/>
    <cellStyle name="2x indented GHG Textfiels 2 3 2 2" xfId="3068"/>
    <cellStyle name="2x indented GHG Textfiels 2 3 3" xfId="1277"/>
    <cellStyle name="2x indented GHG Textfiels 2 3 3 2" xfId="2518"/>
    <cellStyle name="2x indented GHG Textfiels 2 3 4" xfId="903"/>
    <cellStyle name="2x indented GHG Textfiels 2 3 5" xfId="2146"/>
    <cellStyle name="2x indented GHG Textfiels 2 4" xfId="663"/>
    <cellStyle name="2x indented GHG Textfiels 2 4 2" xfId="1893"/>
    <cellStyle name="2x indented GHG Textfiels 2 4 2 2" xfId="3132"/>
    <cellStyle name="2x indented GHG Textfiels 2 4 3" xfId="1575"/>
    <cellStyle name="2x indented GHG Textfiels 2 4 3 2" xfId="2815"/>
    <cellStyle name="2x indented GHG Textfiels 2 4 4" xfId="967"/>
    <cellStyle name="2x indented GHG Textfiels 2 4 5" xfId="2210"/>
    <cellStyle name="2x indented GHG Textfiels 2 5" xfId="725"/>
    <cellStyle name="2x indented GHG Textfiels 2 5 2" xfId="1955"/>
    <cellStyle name="2x indented GHG Textfiels 2 5 2 2" xfId="3194"/>
    <cellStyle name="2x indented GHG Textfiels 2 5 3" xfId="1633"/>
    <cellStyle name="2x indented GHG Textfiels 2 5 3 2" xfId="2872"/>
    <cellStyle name="2x indented GHG Textfiels 2 5 4" xfId="1029"/>
    <cellStyle name="2x indented GHG Textfiels 2 5 5" xfId="2272"/>
    <cellStyle name="2x indented GHG Textfiels 2 6" xfId="530"/>
    <cellStyle name="2x indented GHG Textfiels 2 6 2" xfId="1457"/>
    <cellStyle name="2x indented GHG Textfiels 2 6 3" xfId="2697"/>
    <cellStyle name="2x indented GHG Textfiels 2 7" xfId="1136"/>
    <cellStyle name="2x indented GHG Textfiels 2 7 2" xfId="2378"/>
    <cellStyle name="2x indented GHG Textfiels 2 8" xfId="831"/>
    <cellStyle name="2x indented GHG Textfiels 2 8 2" xfId="3290"/>
    <cellStyle name="2x indented GHG Textfiels 2 9" xfId="2075"/>
    <cellStyle name="2x indented GHG Textfiels 3" xfId="332"/>
    <cellStyle name="2x indented GHG Textfiels 3 10" xfId="2037"/>
    <cellStyle name="2x indented GHG Textfiels 3 2" xfId="429"/>
    <cellStyle name="2x indented GHG Textfiels 3 2 2" xfId="578"/>
    <cellStyle name="2x indented GHG Textfiels 3 2 2 2" xfId="1504"/>
    <cellStyle name="2x indented GHG Textfiels 3 2 2 3" xfId="2744"/>
    <cellStyle name="2x indented GHG Textfiels 3 2 3" xfId="1708"/>
    <cellStyle name="2x indented GHG Textfiels 3 2 3 2" xfId="2947"/>
    <cellStyle name="2x indented GHG Textfiels 3 2 4" xfId="1257"/>
    <cellStyle name="2x indented GHG Textfiels 3 2 4 2" xfId="2498"/>
    <cellStyle name="2x indented GHG Textfiels 3 2 5" xfId="882"/>
    <cellStyle name="2x indented GHG Textfiels 3 2 5 2" xfId="3356"/>
    <cellStyle name="2x indented GHG Textfiels 3 2 6" xfId="2126"/>
    <cellStyle name="2x indented GHG Textfiels 3 3" xfId="627"/>
    <cellStyle name="2x indented GHG Textfiels 3 3 2" xfId="1542"/>
    <cellStyle name="2x indented GHG Textfiels 3 3 2 2" xfId="1857"/>
    <cellStyle name="2x indented GHG Textfiels 3 3 2 2 2" xfId="3096"/>
    <cellStyle name="2x indented GHG Textfiels 3 3 2 3" xfId="2782"/>
    <cellStyle name="2x indented GHG Textfiels 3 3 3" xfId="1194"/>
    <cellStyle name="2x indented GHG Textfiels 3 3 3 2" xfId="2435"/>
    <cellStyle name="2x indented GHG Textfiels 3 3 4" xfId="1315"/>
    <cellStyle name="2x indented GHG Textfiels 3 3 4 2" xfId="2556"/>
    <cellStyle name="2x indented GHG Textfiels 3 3 5" xfId="931"/>
    <cellStyle name="2x indented GHG Textfiels 3 3 6" xfId="2174"/>
    <cellStyle name="2x indented GHG Textfiels 3 4" xfId="691"/>
    <cellStyle name="2x indented GHG Textfiels 3 4 2" xfId="1921"/>
    <cellStyle name="2x indented GHG Textfiels 3 4 2 2" xfId="3160"/>
    <cellStyle name="2x indented GHG Textfiels 3 4 3" xfId="1603"/>
    <cellStyle name="2x indented GHG Textfiels 3 4 3 2" xfId="2843"/>
    <cellStyle name="2x indented GHG Textfiels 3 4 4" xfId="995"/>
    <cellStyle name="2x indented GHG Textfiels 3 4 5" xfId="2238"/>
    <cellStyle name="2x indented GHG Textfiels 3 5" xfId="753"/>
    <cellStyle name="2x indented GHG Textfiels 3 5 2" xfId="1983"/>
    <cellStyle name="2x indented GHG Textfiels 3 5 2 2" xfId="3222"/>
    <cellStyle name="2x indented GHG Textfiels 3 5 3" xfId="1661"/>
    <cellStyle name="2x indented GHG Textfiels 3 5 3 2" xfId="2900"/>
    <cellStyle name="2x indented GHG Textfiels 3 5 4" xfId="1057"/>
    <cellStyle name="2x indented GHG Textfiels 3 5 5" xfId="2300"/>
    <cellStyle name="2x indented GHG Textfiels 3 6" xfId="496"/>
    <cellStyle name="2x indented GHG Textfiels 3 6 2" xfId="1429"/>
    <cellStyle name="2x indented GHG Textfiels 3 6 3" xfId="2669"/>
    <cellStyle name="2x indented GHG Textfiels 3 7" xfId="1362"/>
    <cellStyle name="2x indented GHG Textfiels 3 7 2" xfId="2603"/>
    <cellStyle name="2x indented GHG Textfiels 3 8" xfId="1084"/>
    <cellStyle name="2x indented GHG Textfiels 3 8 2" xfId="2327"/>
    <cellStyle name="2x indented GHG Textfiels 3 9" xfId="789"/>
    <cellStyle name="2x indented GHG Textfiels 3 9 2" xfId="3312"/>
    <cellStyle name="2x indented GHG Textfiels 4" xfId="424"/>
    <cellStyle name="2x indented GHG Textfiels 4 2" xfId="1382"/>
    <cellStyle name="2x indented GHG Textfiels 4 2 2" xfId="1759"/>
    <cellStyle name="2x indented GHG Textfiels 4 2 2 2" xfId="2998"/>
    <cellStyle name="2x indented GHG Textfiels 4 2 3" xfId="2623"/>
    <cellStyle name="2x indented GHG Textfiels 4 3" xfId="1690"/>
    <cellStyle name="2x indented GHG Textfiels 4 3 2" xfId="2929"/>
    <cellStyle name="2x indented GHG Textfiels 4 4" xfId="1170"/>
    <cellStyle name="2x indented GHG Textfiels 4 4 2" xfId="2412"/>
    <cellStyle name="2x indented GHG Textfiels 4 5" xfId="774"/>
    <cellStyle name="2x indented GHG Textfiels 4 5 2" xfId="3274"/>
    <cellStyle name="2x indented GHG Textfiels 4 6" xfId="2022"/>
    <cellStyle name="2x indented GHG Textfiels 5" xfId="270"/>
    <cellStyle name="2x indented GHG Textfiels 5 2" xfId="1751"/>
    <cellStyle name="2x indented GHG Textfiels 5 2 2" xfId="2990"/>
    <cellStyle name="2x indented GHG Textfiels 5 3" xfId="1160"/>
    <cellStyle name="2x indented GHG Textfiels 5 3 2" xfId="2402"/>
    <cellStyle name="2x indented GHG Textfiels 5 4" xfId="367"/>
    <cellStyle name="2x indented GHG Textfiels 5 4 2" xfId="3289"/>
    <cellStyle name="2x indented GHG Textfiels 5 5" xfId="2012"/>
    <cellStyle name="2x indented GHG Textfiels 6" xfId="281"/>
    <cellStyle name="2x indented GHG Textfiels 6 2" xfId="1749"/>
    <cellStyle name="2x indented GHG Textfiels 6 2 2" xfId="2988"/>
    <cellStyle name="2x indented GHG Textfiels 6 3" xfId="1139"/>
    <cellStyle name="2x indented GHG Textfiels 6 3 2" xfId="2381"/>
    <cellStyle name="2x indented GHG Textfiels 6 4" xfId="279"/>
    <cellStyle name="2x indented GHG Textfiels 6 5" xfId="2010"/>
    <cellStyle name="2x indented GHG Textfiels 7" xfId="341"/>
    <cellStyle name="2x indented GHG Textfiels 7 2" xfId="1762"/>
    <cellStyle name="2x indented GHG Textfiels 7 2 2" xfId="3001"/>
    <cellStyle name="2x indented GHG Textfiels 7 3" xfId="1338"/>
    <cellStyle name="2x indented GHG Textfiels 7 4" xfId="2579"/>
    <cellStyle name="2x indented GHG Textfiels 8" xfId="1421"/>
    <cellStyle name="2x indented GHG Textfiels 8 2" xfId="2661"/>
    <cellStyle name="2x indented GHG Textfiels 9" xfId="471"/>
    <cellStyle name="2x indented GHG Textfiels 9 2" xfId="3310"/>
    <cellStyle name="40% - Accent1" xfId="174" builtinId="31" customBuiltin="1"/>
    <cellStyle name="40% - Accent2" xfId="178" builtinId="35" customBuiltin="1"/>
    <cellStyle name="40% - Accent3" xfId="182" builtinId="39" customBuiltin="1"/>
    <cellStyle name="40% - Accent4" xfId="186" builtinId="43" customBuiltin="1"/>
    <cellStyle name="40% - Accent5" xfId="190" builtinId="47" customBuiltin="1"/>
    <cellStyle name="40% - Accent6" xfId="194" builtinId="51" customBuiltin="1"/>
    <cellStyle name="5x indented GHG Textfiels" xfId="225"/>
    <cellStyle name="60% - Accent1" xfId="175" builtinId="32" customBuiltin="1"/>
    <cellStyle name="60% - Accent1 2" xfId="323"/>
    <cellStyle name="60% - Accent2" xfId="179" builtinId="36" customBuiltin="1"/>
    <cellStyle name="60% - Accent2 2" xfId="322"/>
    <cellStyle name="60% - Accent3" xfId="183" builtinId="40" customBuiltin="1"/>
    <cellStyle name="60% - Accent3 2" xfId="362"/>
    <cellStyle name="60% - Accent4" xfId="187" builtinId="44" customBuiltin="1"/>
    <cellStyle name="60% - Accent4 2" xfId="364"/>
    <cellStyle name="60% - Accent5" xfId="191" builtinId="48" customBuiltin="1"/>
    <cellStyle name="60% - Accent5 2" xfId="273"/>
    <cellStyle name="60% - Accent6" xfId="195" builtinId="52" customBuiltin="1"/>
    <cellStyle name="60% - Accent6 2" xfId="363"/>
    <cellStyle name="Accent1" xfId="172" builtinId="29" customBuiltin="1"/>
    <cellStyle name="Accent2" xfId="176" builtinId="33" customBuiltin="1"/>
    <cellStyle name="Accent3" xfId="180" builtinId="37" customBuiltin="1"/>
    <cellStyle name="Accent4" xfId="184" builtinId="41" customBuiltin="1"/>
    <cellStyle name="Accent5" xfId="188" builtinId="45" customBuiltin="1"/>
    <cellStyle name="Accent6" xfId="192" builtinId="49" customBuiltin="1"/>
    <cellStyle name="AggCels_T(2)" xfId="6"/>
    <cellStyle name="Background table" xfId="7"/>
    <cellStyle name="Bad" xfId="161" builtinId="27" customBuiltin="1"/>
    <cellStyle name="Bad 3" xfId="8"/>
    <cellStyle name="Bold GHG Numbers (0.00)" xfId="226"/>
    <cellStyle name="Bron" xfId="9"/>
    <cellStyle name="Calc cel" xfId="10"/>
    <cellStyle name="Calc cel 2" xfId="11"/>
    <cellStyle name="Calc cel 2 2" xfId="251"/>
    <cellStyle name="Calc cel 2 2 10" xfId="515"/>
    <cellStyle name="Calc cel 2 2 2" xfId="401"/>
    <cellStyle name="Calc cel 2 2 2 2" xfId="459"/>
    <cellStyle name="Calc cel 2 2 2 2 2" xfId="559"/>
    <cellStyle name="Calc cel 2 2 2 2 2 2" xfId="1804"/>
    <cellStyle name="Calc cel 2 2 2 2 2 2 2" xfId="3043"/>
    <cellStyle name="Calc cel 2 2 2 2 2 3" xfId="1485"/>
    <cellStyle name="Calc cel 2 2 2 2 2 4" xfId="2725"/>
    <cellStyle name="Calc cel 2 2 2 2 3" xfId="1402"/>
    <cellStyle name="Calc cel 2 2 2 2 3 2" xfId="2642"/>
    <cellStyle name="Calc cel 2 2 2 2 4" xfId="1192"/>
    <cellStyle name="Calc cel 2 2 2 2 4 2" xfId="2433"/>
    <cellStyle name="Calc cel 2 2 2 2 5" xfId="1224"/>
    <cellStyle name="Calc cel 2 2 2 2 5 2" xfId="2465"/>
    <cellStyle name="Calc cel 2 2 2 2 6" xfId="863"/>
    <cellStyle name="Calc cel 2 2 2 2 6 2" xfId="3338"/>
    <cellStyle name="Calc cel 2 2 2 2 7" xfId="2107"/>
    <cellStyle name="Calc cel 2 2 2 3" xfId="608"/>
    <cellStyle name="Calc cel 2 2 2 3 2" xfId="1838"/>
    <cellStyle name="Calc cel 2 2 2 3 2 2" xfId="3077"/>
    <cellStyle name="Calc cel 2 2 2 3 3" xfId="1286"/>
    <cellStyle name="Calc cel 2 2 2 3 3 2" xfId="2527"/>
    <cellStyle name="Calc cel 2 2 2 3 4" xfId="912"/>
    <cellStyle name="Calc cel 2 2 2 3 5" xfId="2155"/>
    <cellStyle name="Calc cel 2 2 2 4" xfId="672"/>
    <cellStyle name="Calc cel 2 2 2 4 2" xfId="1902"/>
    <cellStyle name="Calc cel 2 2 2 4 2 2" xfId="3141"/>
    <cellStyle name="Calc cel 2 2 2 4 3" xfId="1584"/>
    <cellStyle name="Calc cel 2 2 2 4 3 2" xfId="2824"/>
    <cellStyle name="Calc cel 2 2 2 4 4" xfId="976"/>
    <cellStyle name="Calc cel 2 2 2 4 5" xfId="2219"/>
    <cellStyle name="Calc cel 2 2 2 5" xfId="734"/>
    <cellStyle name="Calc cel 2 2 2 5 2" xfId="1964"/>
    <cellStyle name="Calc cel 2 2 2 5 2 2" xfId="3203"/>
    <cellStyle name="Calc cel 2 2 2 5 3" xfId="1642"/>
    <cellStyle name="Calc cel 2 2 2 5 3 2" xfId="2881"/>
    <cellStyle name="Calc cel 2 2 2 5 4" xfId="1038"/>
    <cellStyle name="Calc cel 2 2 2 5 5" xfId="2281"/>
    <cellStyle name="Calc cel 2 2 2 6" xfId="539"/>
    <cellStyle name="Calc cel 2 2 2 6 2" xfId="1466"/>
    <cellStyle name="Calc cel 2 2 2 6 3" xfId="2706"/>
    <cellStyle name="Calc cel 2 2 2 7" xfId="1352"/>
    <cellStyle name="Calc cel 2 2 2 7 2" xfId="2593"/>
    <cellStyle name="Calc cel 2 2 2 8" xfId="840"/>
    <cellStyle name="Calc cel 2 2 2 8 2" xfId="3265"/>
    <cellStyle name="Calc cel 2 2 2 9" xfId="2084"/>
    <cellStyle name="Calc cel 2 2 3" xfId="380"/>
    <cellStyle name="Calc cel 2 2 3 10" xfId="2063"/>
    <cellStyle name="Calc cel 2 2 3 2" xfId="439"/>
    <cellStyle name="Calc cel 2 2 3 2 2" xfId="588"/>
    <cellStyle name="Calc cel 2 2 3 2 2 2" xfId="1513"/>
    <cellStyle name="Calc cel 2 2 3 2 2 3" xfId="2753"/>
    <cellStyle name="Calc cel 2 2 3 2 3" xfId="1717"/>
    <cellStyle name="Calc cel 2 2 3 2 3 2" xfId="2956"/>
    <cellStyle name="Calc cel 2 2 3 2 4" xfId="1266"/>
    <cellStyle name="Calc cel 2 2 3 2 4 2" xfId="2507"/>
    <cellStyle name="Calc cel 2 2 3 2 5" xfId="892"/>
    <cellStyle name="Calc cel 2 2 3 2 5 2" xfId="3365"/>
    <cellStyle name="Calc cel 2 2 3 2 6" xfId="2135"/>
    <cellStyle name="Calc cel 2 2 3 3" xfId="637"/>
    <cellStyle name="Calc cel 2 2 3 3 2" xfId="1552"/>
    <cellStyle name="Calc cel 2 2 3 3 2 2" xfId="1867"/>
    <cellStyle name="Calc cel 2 2 3 3 2 2 2" xfId="3106"/>
    <cellStyle name="Calc cel 2 2 3 3 2 3" xfId="2792"/>
    <cellStyle name="Calc cel 2 2 3 3 3" xfId="1733"/>
    <cellStyle name="Calc cel 2 2 3 3 3 2" xfId="2972"/>
    <cellStyle name="Calc cel 2 2 3 3 4" xfId="1326"/>
    <cellStyle name="Calc cel 2 2 3 3 4 2" xfId="2567"/>
    <cellStyle name="Calc cel 2 2 3 3 5" xfId="941"/>
    <cellStyle name="Calc cel 2 2 3 3 6" xfId="2184"/>
    <cellStyle name="Calc cel 2 2 3 4" xfId="701"/>
    <cellStyle name="Calc cel 2 2 3 4 2" xfId="1931"/>
    <cellStyle name="Calc cel 2 2 3 4 2 2" xfId="3170"/>
    <cellStyle name="Calc cel 2 2 3 4 3" xfId="1613"/>
    <cellStyle name="Calc cel 2 2 3 4 3 2" xfId="2853"/>
    <cellStyle name="Calc cel 2 2 3 4 4" xfId="1005"/>
    <cellStyle name="Calc cel 2 2 3 4 5" xfId="2248"/>
    <cellStyle name="Calc cel 2 2 3 5" xfId="762"/>
    <cellStyle name="Calc cel 2 2 3 5 2" xfId="1992"/>
    <cellStyle name="Calc cel 2 2 3 5 2 2" xfId="3231"/>
    <cellStyle name="Calc cel 2 2 3 5 3" xfId="1670"/>
    <cellStyle name="Calc cel 2 2 3 5 3 2" xfId="2909"/>
    <cellStyle name="Calc cel 2 2 3 5 4" xfId="1066"/>
    <cellStyle name="Calc cel 2 2 3 5 5" xfId="2309"/>
    <cellStyle name="Calc cel 2 2 3 6" xfId="518"/>
    <cellStyle name="Calc cel 2 2 3 6 2" xfId="1445"/>
    <cellStyle name="Calc cel 2 2 3 6 3" xfId="2685"/>
    <cellStyle name="Calc cel 2 2 3 7" xfId="1177"/>
    <cellStyle name="Calc cel 2 2 3 7 2" xfId="2418"/>
    <cellStyle name="Calc cel 2 2 3 8" xfId="1090"/>
    <cellStyle name="Calc cel 2 2 3 8 2" xfId="2333"/>
    <cellStyle name="Calc cel 2 2 3 9" xfId="819"/>
    <cellStyle name="Calc cel 2 2 3 9 2" xfId="3268"/>
    <cellStyle name="Calc cel 2 2 4" xfId="315"/>
    <cellStyle name="Calc cel 2 2 4 2" xfId="1145"/>
    <cellStyle name="Calc cel 2 2 4 2 2" xfId="1752"/>
    <cellStyle name="Calc cel 2 2 4 2 2 2" xfId="2991"/>
    <cellStyle name="Calc cel 2 2 4 2 3" xfId="2387"/>
    <cellStyle name="Calc cel 2 2 4 3" xfId="1372"/>
    <cellStyle name="Calc cel 2 2 4 3 2" xfId="2613"/>
    <cellStyle name="Calc cel 2 2 4 4" xfId="1201"/>
    <cellStyle name="Calc cel 2 2 4 4 2" xfId="2442"/>
    <cellStyle name="Calc cel 2 2 4 5" xfId="365"/>
    <cellStyle name="Calc cel 2 2 4 5 2" xfId="3297"/>
    <cellStyle name="Calc cel 2 2 4 6" xfId="2013"/>
    <cellStyle name="Calc cel 2 2 5" xfId="651"/>
    <cellStyle name="Calc cel 2 2 5 2" xfId="1881"/>
    <cellStyle name="Calc cel 2 2 5 2 2" xfId="3120"/>
    <cellStyle name="Calc cel 2 2 5 3" xfId="1238"/>
    <cellStyle name="Calc cel 2 2 5 3 2" xfId="2479"/>
    <cellStyle name="Calc cel 2 2 5 4" xfId="955"/>
    <cellStyle name="Calc cel 2 2 5 4 2" xfId="3393"/>
    <cellStyle name="Calc cel 2 2 5 5" xfId="2198"/>
    <cellStyle name="Calc cel 2 2 6" xfId="714"/>
    <cellStyle name="Calc cel 2 2 6 2" xfId="1944"/>
    <cellStyle name="Calc cel 2 2 6 2 2" xfId="3183"/>
    <cellStyle name="Calc cel 2 2 6 3" xfId="1626"/>
    <cellStyle name="Calc cel 2 2 6 3 2" xfId="2866"/>
    <cellStyle name="Calc cel 2 2 6 4" xfId="1018"/>
    <cellStyle name="Calc cel 2 2 6 5" xfId="2261"/>
    <cellStyle name="Calc cel 2 2 7" xfId="368"/>
    <cellStyle name="Calc cel 2 2 7 2" xfId="1120"/>
    <cellStyle name="Calc cel 2 2 7 2 2" xfId="2362"/>
    <cellStyle name="Calc cel 2 2 7 3" xfId="1353"/>
    <cellStyle name="Calc cel 2 2 7 4" xfId="2594"/>
    <cellStyle name="Calc cel 2 2 8" xfId="1567"/>
    <cellStyle name="Calc cel 2 2 8 2" xfId="2807"/>
    <cellStyle name="Calc cel 2 2 9" xfId="347"/>
    <cellStyle name="Calc cel 2 2 9 2" xfId="3316"/>
    <cellStyle name="Calc cel 2 3" xfId="352"/>
    <cellStyle name="Calc cel 2 3 2" xfId="487"/>
    <cellStyle name="Calc cel 2 3 2 10" xfId="2132"/>
    <cellStyle name="Calc cel 2 3 2 2" xfId="634"/>
    <cellStyle name="Calc cel 2 3 2 2 2" xfId="1864"/>
    <cellStyle name="Calc cel 2 3 2 2 2 2" xfId="3103"/>
    <cellStyle name="Calc cel 2 3 2 2 3" xfId="1730"/>
    <cellStyle name="Calc cel 2 3 2 2 3 2" xfId="2969"/>
    <cellStyle name="Calc cel 2 3 2 2 4" xfId="1549"/>
    <cellStyle name="Calc cel 2 3 2 2 4 2" xfId="2789"/>
    <cellStyle name="Calc cel 2 3 2 2 5" xfId="938"/>
    <cellStyle name="Calc cel 2 3 2 2 5 2" xfId="3389"/>
    <cellStyle name="Calc cel 2 3 2 2 6" xfId="2181"/>
    <cellStyle name="Calc cel 2 3 2 3" xfId="698"/>
    <cellStyle name="Calc cel 2 3 2 3 2" xfId="1928"/>
    <cellStyle name="Calc cel 2 3 2 3 2 2" xfId="3167"/>
    <cellStyle name="Calc cel 2 3 2 3 3" xfId="1610"/>
    <cellStyle name="Calc cel 2 3 2 3 3 2" xfId="2850"/>
    <cellStyle name="Calc cel 2 3 2 3 4" xfId="1002"/>
    <cellStyle name="Calc cel 2 3 2 3 5" xfId="2245"/>
    <cellStyle name="Calc cel 2 3 2 4" xfId="759"/>
    <cellStyle name="Calc cel 2 3 2 4 2" xfId="1989"/>
    <cellStyle name="Calc cel 2 3 2 4 2 2" xfId="3228"/>
    <cellStyle name="Calc cel 2 3 2 4 3" xfId="1667"/>
    <cellStyle name="Calc cel 2 3 2 4 3 2" xfId="2906"/>
    <cellStyle name="Calc cel 2 3 2 4 4" xfId="1063"/>
    <cellStyle name="Calc cel 2 3 2 4 5" xfId="2306"/>
    <cellStyle name="Calc cel 2 3 2 5" xfId="585"/>
    <cellStyle name="Calc cel 2 3 2 5 2" xfId="1822"/>
    <cellStyle name="Calc cel 2 3 2 5 2 2" xfId="3061"/>
    <cellStyle name="Calc cel 2 3 2 5 3" xfId="1510"/>
    <cellStyle name="Calc cel 2 3 2 5 4" xfId="2750"/>
    <cellStyle name="Calc cel 2 3 2 6" xfId="1425"/>
    <cellStyle name="Calc cel 2 3 2 6 2" xfId="2665"/>
    <cellStyle name="Calc cel 2 3 2 7" xfId="1295"/>
    <cellStyle name="Calc cel 2 3 2 7 2" xfId="2536"/>
    <cellStyle name="Calc cel 2 3 2 8" xfId="1323"/>
    <cellStyle name="Calc cel 2 3 2 8 2" xfId="2564"/>
    <cellStyle name="Calc cel 2 3 2 9" xfId="889"/>
    <cellStyle name="Calc cel 2 3 2 9 2" xfId="3362"/>
    <cellStyle name="Calc cel 2 3 3" xfId="269"/>
    <cellStyle name="Calc cel 2 3 3 2" xfId="1794"/>
    <cellStyle name="Calc cel 2 3 3 2 2" xfId="3033"/>
    <cellStyle name="Calc cel 2 3 3 3" xfId="1262"/>
    <cellStyle name="Calc cel 2 3 3 3 2" xfId="2503"/>
    <cellStyle name="Calc cel 2 3 3 4" xfId="852"/>
    <cellStyle name="Calc cel 2 3 3 4 2" xfId="3327"/>
    <cellStyle name="Calc cel 2 3 3 5" xfId="2096"/>
    <cellStyle name="Calc cel 2 3 4" xfId="1772"/>
    <cellStyle name="Calc cel 2 3 4 2" xfId="3011"/>
    <cellStyle name="Calc cel 2 3 5" xfId="1530"/>
    <cellStyle name="Calc cel 2 3 5 2" xfId="2770"/>
    <cellStyle name="Calc cel 2 3 6" xfId="1173"/>
    <cellStyle name="Calc cel 2 3 6 2" xfId="2415"/>
    <cellStyle name="Calc cel 2 3 7" xfId="799"/>
    <cellStyle name="Calc cel 2 3 8" xfId="2046"/>
    <cellStyle name="Calc cel 2 3 9" xfId="796"/>
    <cellStyle name="Calc cel 2 4" xfId="809"/>
    <cellStyle name="Calc cel 3" xfId="12"/>
    <cellStyle name="Calc cel 3 2" xfId="252"/>
    <cellStyle name="Calc cel 3 2 10" xfId="516"/>
    <cellStyle name="Calc cel 3 2 2" xfId="399"/>
    <cellStyle name="Calc cel 3 2 2 2" xfId="457"/>
    <cellStyle name="Calc cel 3 2 2 2 2" xfId="557"/>
    <cellStyle name="Calc cel 3 2 2 2 2 2" xfId="1802"/>
    <cellStyle name="Calc cel 3 2 2 2 2 2 2" xfId="3041"/>
    <cellStyle name="Calc cel 3 2 2 2 2 3" xfId="1483"/>
    <cellStyle name="Calc cel 3 2 2 2 2 4" xfId="2723"/>
    <cellStyle name="Calc cel 3 2 2 2 3" xfId="1400"/>
    <cellStyle name="Calc cel 3 2 2 2 3 2" xfId="2640"/>
    <cellStyle name="Calc cel 3 2 2 2 4" xfId="1342"/>
    <cellStyle name="Calc cel 3 2 2 2 4 2" xfId="2583"/>
    <cellStyle name="Calc cel 3 2 2 2 5" xfId="1222"/>
    <cellStyle name="Calc cel 3 2 2 2 5 2" xfId="2463"/>
    <cellStyle name="Calc cel 3 2 2 2 6" xfId="861"/>
    <cellStyle name="Calc cel 3 2 2 2 6 2" xfId="3336"/>
    <cellStyle name="Calc cel 3 2 2 2 7" xfId="2105"/>
    <cellStyle name="Calc cel 3 2 2 3" xfId="606"/>
    <cellStyle name="Calc cel 3 2 2 3 2" xfId="1836"/>
    <cellStyle name="Calc cel 3 2 2 3 2 2" xfId="3075"/>
    <cellStyle name="Calc cel 3 2 2 3 3" xfId="1284"/>
    <cellStyle name="Calc cel 3 2 2 3 3 2" xfId="2525"/>
    <cellStyle name="Calc cel 3 2 2 3 4" xfId="910"/>
    <cellStyle name="Calc cel 3 2 2 3 5" xfId="2153"/>
    <cellStyle name="Calc cel 3 2 2 4" xfId="670"/>
    <cellStyle name="Calc cel 3 2 2 4 2" xfId="1900"/>
    <cellStyle name="Calc cel 3 2 2 4 2 2" xfId="3139"/>
    <cellStyle name="Calc cel 3 2 2 4 3" xfId="1582"/>
    <cellStyle name="Calc cel 3 2 2 4 3 2" xfId="2822"/>
    <cellStyle name="Calc cel 3 2 2 4 4" xfId="974"/>
    <cellStyle name="Calc cel 3 2 2 4 5" xfId="2217"/>
    <cellStyle name="Calc cel 3 2 2 5" xfId="732"/>
    <cellStyle name="Calc cel 3 2 2 5 2" xfId="1962"/>
    <cellStyle name="Calc cel 3 2 2 5 2 2" xfId="3201"/>
    <cellStyle name="Calc cel 3 2 2 5 3" xfId="1640"/>
    <cellStyle name="Calc cel 3 2 2 5 3 2" xfId="2879"/>
    <cellStyle name="Calc cel 3 2 2 5 4" xfId="1036"/>
    <cellStyle name="Calc cel 3 2 2 5 5" xfId="2279"/>
    <cellStyle name="Calc cel 3 2 2 6" xfId="537"/>
    <cellStyle name="Calc cel 3 2 2 6 2" xfId="1464"/>
    <cellStyle name="Calc cel 3 2 2 6 3" xfId="2704"/>
    <cellStyle name="Calc cel 3 2 2 7" xfId="1181"/>
    <cellStyle name="Calc cel 3 2 2 7 2" xfId="2422"/>
    <cellStyle name="Calc cel 3 2 2 8" xfId="838"/>
    <cellStyle name="Calc cel 3 2 2 8 2" xfId="3318"/>
    <cellStyle name="Calc cel 3 2 2 9" xfId="2082"/>
    <cellStyle name="Calc cel 3 2 3" xfId="381"/>
    <cellStyle name="Calc cel 3 2 3 10" xfId="2064"/>
    <cellStyle name="Calc cel 3 2 3 2" xfId="440"/>
    <cellStyle name="Calc cel 3 2 3 2 2" xfId="589"/>
    <cellStyle name="Calc cel 3 2 3 2 2 2" xfId="1514"/>
    <cellStyle name="Calc cel 3 2 3 2 2 3" xfId="2754"/>
    <cellStyle name="Calc cel 3 2 3 2 3" xfId="1718"/>
    <cellStyle name="Calc cel 3 2 3 2 3 2" xfId="2957"/>
    <cellStyle name="Calc cel 3 2 3 2 4" xfId="1267"/>
    <cellStyle name="Calc cel 3 2 3 2 4 2" xfId="2508"/>
    <cellStyle name="Calc cel 3 2 3 2 5" xfId="893"/>
    <cellStyle name="Calc cel 3 2 3 2 5 2" xfId="3366"/>
    <cellStyle name="Calc cel 3 2 3 2 6" xfId="2136"/>
    <cellStyle name="Calc cel 3 2 3 3" xfId="638"/>
    <cellStyle name="Calc cel 3 2 3 3 2" xfId="1553"/>
    <cellStyle name="Calc cel 3 2 3 3 2 2" xfId="1868"/>
    <cellStyle name="Calc cel 3 2 3 3 2 2 2" xfId="3107"/>
    <cellStyle name="Calc cel 3 2 3 3 2 3" xfId="2793"/>
    <cellStyle name="Calc cel 3 2 3 3 3" xfId="1734"/>
    <cellStyle name="Calc cel 3 2 3 3 3 2" xfId="2973"/>
    <cellStyle name="Calc cel 3 2 3 3 4" xfId="1327"/>
    <cellStyle name="Calc cel 3 2 3 3 4 2" xfId="2568"/>
    <cellStyle name="Calc cel 3 2 3 3 5" xfId="942"/>
    <cellStyle name="Calc cel 3 2 3 3 6" xfId="2185"/>
    <cellStyle name="Calc cel 3 2 3 4" xfId="702"/>
    <cellStyle name="Calc cel 3 2 3 4 2" xfId="1932"/>
    <cellStyle name="Calc cel 3 2 3 4 2 2" xfId="3171"/>
    <cellStyle name="Calc cel 3 2 3 4 3" xfId="1614"/>
    <cellStyle name="Calc cel 3 2 3 4 3 2" xfId="2854"/>
    <cellStyle name="Calc cel 3 2 3 4 4" xfId="1006"/>
    <cellStyle name="Calc cel 3 2 3 4 5" xfId="2249"/>
    <cellStyle name="Calc cel 3 2 3 5" xfId="763"/>
    <cellStyle name="Calc cel 3 2 3 5 2" xfId="1993"/>
    <cellStyle name="Calc cel 3 2 3 5 2 2" xfId="3232"/>
    <cellStyle name="Calc cel 3 2 3 5 3" xfId="1671"/>
    <cellStyle name="Calc cel 3 2 3 5 3 2" xfId="2910"/>
    <cellStyle name="Calc cel 3 2 3 5 4" xfId="1067"/>
    <cellStyle name="Calc cel 3 2 3 5 5" xfId="2310"/>
    <cellStyle name="Calc cel 3 2 3 6" xfId="519"/>
    <cellStyle name="Calc cel 3 2 3 6 2" xfId="1446"/>
    <cellStyle name="Calc cel 3 2 3 6 3" xfId="2686"/>
    <cellStyle name="Calc cel 3 2 3 7" xfId="1301"/>
    <cellStyle name="Calc cel 3 2 3 7 2" xfId="2542"/>
    <cellStyle name="Calc cel 3 2 3 8" xfId="1091"/>
    <cellStyle name="Calc cel 3 2 3 8 2" xfId="2334"/>
    <cellStyle name="Calc cel 3 2 3 9" xfId="820"/>
    <cellStyle name="Calc cel 3 2 3 9 2" xfId="3281"/>
    <cellStyle name="Calc cel 3 2 4" xfId="510"/>
    <cellStyle name="Calc cel 3 2 4 2" xfId="1441"/>
    <cellStyle name="Calc cel 3 2 4 2 2" xfId="1778"/>
    <cellStyle name="Calc cel 3 2 4 2 2 2" xfId="3017"/>
    <cellStyle name="Calc cel 3 2 4 2 3" xfId="2681"/>
    <cellStyle name="Calc cel 3 2 4 3" xfId="1123"/>
    <cellStyle name="Calc cel 3 2 4 3 2" xfId="2365"/>
    <cellStyle name="Calc cel 3 2 4 4" xfId="1202"/>
    <cellStyle name="Calc cel 3 2 4 4 2" xfId="2443"/>
    <cellStyle name="Calc cel 3 2 4 5" xfId="808"/>
    <cellStyle name="Calc cel 3 2 4 5 2" xfId="3308"/>
    <cellStyle name="Calc cel 3 2 4 6" xfId="2055"/>
    <cellStyle name="Calc cel 3 2 5" xfId="652"/>
    <cellStyle name="Calc cel 3 2 5 2" xfId="1882"/>
    <cellStyle name="Calc cel 3 2 5 2 2" xfId="3121"/>
    <cellStyle name="Calc cel 3 2 5 3" xfId="1239"/>
    <cellStyle name="Calc cel 3 2 5 3 2" xfId="2480"/>
    <cellStyle name="Calc cel 3 2 5 4" xfId="956"/>
    <cellStyle name="Calc cel 3 2 5 4 2" xfId="3394"/>
    <cellStyle name="Calc cel 3 2 5 5" xfId="2199"/>
    <cellStyle name="Calc cel 3 2 6" xfId="715"/>
    <cellStyle name="Calc cel 3 2 6 2" xfId="1945"/>
    <cellStyle name="Calc cel 3 2 6 2 2" xfId="3184"/>
    <cellStyle name="Calc cel 3 2 6 3" xfId="1627"/>
    <cellStyle name="Calc cel 3 2 6 3 2" xfId="2867"/>
    <cellStyle name="Calc cel 3 2 6 4" xfId="1019"/>
    <cellStyle name="Calc cel 3 2 6 5" xfId="2262"/>
    <cellStyle name="Calc cel 3 2 7" xfId="286"/>
    <cellStyle name="Calc cel 3 2 7 2" xfId="1339"/>
    <cellStyle name="Calc cel 3 2 7 2 2" xfId="2580"/>
    <cellStyle name="Calc cel 3 2 7 3" xfId="1144"/>
    <cellStyle name="Calc cel 3 2 7 4" xfId="2386"/>
    <cellStyle name="Calc cel 3 2 8" xfId="1390"/>
    <cellStyle name="Calc cel 3 2 8 2" xfId="2631"/>
    <cellStyle name="Calc cel 3 2 9" xfId="326"/>
    <cellStyle name="Calc cel 3 2 9 2" xfId="3266"/>
    <cellStyle name="Calc cel 3 3" xfId="342"/>
    <cellStyle name="Calc cel 3 3 2" xfId="484"/>
    <cellStyle name="Calc cel 3 3 2 10" xfId="2131"/>
    <cellStyle name="Calc cel 3 3 2 2" xfId="632"/>
    <cellStyle name="Calc cel 3 3 2 2 2" xfId="1862"/>
    <cellStyle name="Calc cel 3 3 2 2 2 2" xfId="3101"/>
    <cellStyle name="Calc cel 3 3 2 2 3" xfId="1728"/>
    <cellStyle name="Calc cel 3 3 2 2 3 2" xfId="2967"/>
    <cellStyle name="Calc cel 3 3 2 2 4" xfId="1547"/>
    <cellStyle name="Calc cel 3 3 2 2 4 2" xfId="2787"/>
    <cellStyle name="Calc cel 3 3 2 2 5" xfId="936"/>
    <cellStyle name="Calc cel 3 3 2 2 5 2" xfId="3387"/>
    <cellStyle name="Calc cel 3 3 2 2 6" xfId="2179"/>
    <cellStyle name="Calc cel 3 3 2 3" xfId="696"/>
    <cellStyle name="Calc cel 3 3 2 3 2" xfId="1926"/>
    <cellStyle name="Calc cel 3 3 2 3 2 2" xfId="3165"/>
    <cellStyle name="Calc cel 3 3 2 3 3" xfId="1608"/>
    <cellStyle name="Calc cel 3 3 2 3 3 2" xfId="2848"/>
    <cellStyle name="Calc cel 3 3 2 3 4" xfId="1000"/>
    <cellStyle name="Calc cel 3 3 2 3 5" xfId="2243"/>
    <cellStyle name="Calc cel 3 3 2 4" xfId="758"/>
    <cellStyle name="Calc cel 3 3 2 4 2" xfId="1988"/>
    <cellStyle name="Calc cel 3 3 2 4 2 2" xfId="3227"/>
    <cellStyle name="Calc cel 3 3 2 4 3" xfId="1666"/>
    <cellStyle name="Calc cel 3 3 2 4 3 2" xfId="2905"/>
    <cellStyle name="Calc cel 3 3 2 4 4" xfId="1062"/>
    <cellStyle name="Calc cel 3 3 2 4 5" xfId="2305"/>
    <cellStyle name="Calc cel 3 3 2 5" xfId="583"/>
    <cellStyle name="Calc cel 3 3 2 5 2" xfId="1821"/>
    <cellStyle name="Calc cel 3 3 2 5 2 2" xfId="3060"/>
    <cellStyle name="Calc cel 3 3 2 5 3" xfId="1509"/>
    <cellStyle name="Calc cel 3 3 2 5 4" xfId="2749"/>
    <cellStyle name="Calc cel 3 3 2 6" xfId="1422"/>
    <cellStyle name="Calc cel 3 3 2 6 2" xfId="2662"/>
    <cellStyle name="Calc cel 3 3 2 7" xfId="1108"/>
    <cellStyle name="Calc cel 3 3 2 7 2" xfId="2351"/>
    <cellStyle name="Calc cel 3 3 2 8" xfId="1320"/>
    <cellStyle name="Calc cel 3 3 2 8 2" xfId="2561"/>
    <cellStyle name="Calc cel 3 3 2 9" xfId="887"/>
    <cellStyle name="Calc cel 3 3 2 9 2" xfId="3361"/>
    <cellStyle name="Calc cel 3 3 3" xfId="358"/>
    <cellStyle name="Calc cel 3 3 3 2" xfId="1746"/>
    <cellStyle name="Calc cel 3 3 3 2 2" xfId="2985"/>
    <cellStyle name="Calc cel 3 3 3 3" xfId="1348"/>
    <cellStyle name="Calc cel 3 3 3 3 2" xfId="2589"/>
    <cellStyle name="Calc cel 3 3 3 4" xfId="317"/>
    <cellStyle name="Calc cel 3 3 3 4 2" xfId="3301"/>
    <cellStyle name="Calc cel 3 3 3 5" xfId="2004"/>
    <cellStyle name="Calc cel 3 3 4" xfId="1786"/>
    <cellStyle name="Calc cel 3 3 4 2" xfId="3025"/>
    <cellStyle name="Calc cel 3 3 5" xfId="1373"/>
    <cellStyle name="Calc cel 3 3 5 2" xfId="2614"/>
    <cellStyle name="Calc cel 3 3 6" xfId="1106"/>
    <cellStyle name="Calc cel 3 3 6 2" xfId="2349"/>
    <cellStyle name="Calc cel 3 3 7" xfId="794"/>
    <cellStyle name="Calc cel 3 3 8" xfId="2042"/>
    <cellStyle name="Calc cel 3 3 9" xfId="888"/>
    <cellStyle name="Calc cel 3 4" xfId="468"/>
    <cellStyle name="Calc cel 4" xfId="250"/>
    <cellStyle name="Calc cel 4 10" xfId="391"/>
    <cellStyle name="Calc cel 4 2" xfId="402"/>
    <cellStyle name="Calc cel 4 2 2" xfId="460"/>
    <cellStyle name="Calc cel 4 2 2 2" xfId="560"/>
    <cellStyle name="Calc cel 4 2 2 2 2" xfId="1805"/>
    <cellStyle name="Calc cel 4 2 2 2 2 2" xfId="3044"/>
    <cellStyle name="Calc cel 4 2 2 2 3" xfId="1486"/>
    <cellStyle name="Calc cel 4 2 2 2 4" xfId="2726"/>
    <cellStyle name="Calc cel 4 2 2 3" xfId="1403"/>
    <cellStyle name="Calc cel 4 2 2 3 2" xfId="2643"/>
    <cellStyle name="Calc cel 4 2 2 4" xfId="1566"/>
    <cellStyle name="Calc cel 4 2 2 4 2" xfId="2806"/>
    <cellStyle name="Calc cel 4 2 2 5" xfId="1225"/>
    <cellStyle name="Calc cel 4 2 2 5 2" xfId="2466"/>
    <cellStyle name="Calc cel 4 2 2 6" xfId="864"/>
    <cellStyle name="Calc cel 4 2 2 6 2" xfId="3339"/>
    <cellStyle name="Calc cel 4 2 2 7" xfId="2108"/>
    <cellStyle name="Calc cel 4 2 3" xfId="609"/>
    <cellStyle name="Calc cel 4 2 3 2" xfId="1839"/>
    <cellStyle name="Calc cel 4 2 3 2 2" xfId="3078"/>
    <cellStyle name="Calc cel 4 2 3 3" xfId="1287"/>
    <cellStyle name="Calc cel 4 2 3 3 2" xfId="2528"/>
    <cellStyle name="Calc cel 4 2 3 4" xfId="913"/>
    <cellStyle name="Calc cel 4 2 3 5" xfId="2156"/>
    <cellStyle name="Calc cel 4 2 4" xfId="673"/>
    <cellStyle name="Calc cel 4 2 4 2" xfId="1903"/>
    <cellStyle name="Calc cel 4 2 4 2 2" xfId="3142"/>
    <cellStyle name="Calc cel 4 2 4 3" xfId="1585"/>
    <cellStyle name="Calc cel 4 2 4 3 2" xfId="2825"/>
    <cellStyle name="Calc cel 4 2 4 4" xfId="977"/>
    <cellStyle name="Calc cel 4 2 4 5" xfId="2220"/>
    <cellStyle name="Calc cel 4 2 5" xfId="735"/>
    <cellStyle name="Calc cel 4 2 5 2" xfId="1965"/>
    <cellStyle name="Calc cel 4 2 5 2 2" xfId="3204"/>
    <cellStyle name="Calc cel 4 2 5 3" xfId="1643"/>
    <cellStyle name="Calc cel 4 2 5 3 2" xfId="2882"/>
    <cellStyle name="Calc cel 4 2 5 4" xfId="1039"/>
    <cellStyle name="Calc cel 4 2 5 5" xfId="2282"/>
    <cellStyle name="Calc cel 4 2 6" xfId="540"/>
    <cellStyle name="Calc cel 4 2 6 2" xfId="1467"/>
    <cellStyle name="Calc cel 4 2 6 3" xfId="2707"/>
    <cellStyle name="Calc cel 4 2 7" xfId="1162"/>
    <cellStyle name="Calc cel 4 2 7 2" xfId="2404"/>
    <cellStyle name="Calc cel 4 2 8" xfId="841"/>
    <cellStyle name="Calc cel 4 2 8 2" xfId="3260"/>
    <cellStyle name="Calc cel 4 2 9" xfId="2085"/>
    <cellStyle name="Calc cel 4 3" xfId="379"/>
    <cellStyle name="Calc cel 4 3 10" xfId="2062"/>
    <cellStyle name="Calc cel 4 3 2" xfId="438"/>
    <cellStyle name="Calc cel 4 3 2 2" xfId="587"/>
    <cellStyle name="Calc cel 4 3 2 2 2" xfId="1512"/>
    <cellStyle name="Calc cel 4 3 2 2 3" xfId="2752"/>
    <cellStyle name="Calc cel 4 3 2 3" xfId="1716"/>
    <cellStyle name="Calc cel 4 3 2 3 2" xfId="2955"/>
    <cellStyle name="Calc cel 4 3 2 4" xfId="1265"/>
    <cellStyle name="Calc cel 4 3 2 4 2" xfId="2506"/>
    <cellStyle name="Calc cel 4 3 2 5" xfId="891"/>
    <cellStyle name="Calc cel 4 3 2 5 2" xfId="3364"/>
    <cellStyle name="Calc cel 4 3 2 6" xfId="2134"/>
    <cellStyle name="Calc cel 4 3 3" xfId="636"/>
    <cellStyle name="Calc cel 4 3 3 2" xfId="1551"/>
    <cellStyle name="Calc cel 4 3 3 2 2" xfId="1866"/>
    <cellStyle name="Calc cel 4 3 3 2 2 2" xfId="3105"/>
    <cellStyle name="Calc cel 4 3 3 2 3" xfId="2791"/>
    <cellStyle name="Calc cel 4 3 3 3" xfId="1732"/>
    <cellStyle name="Calc cel 4 3 3 3 2" xfId="2971"/>
    <cellStyle name="Calc cel 4 3 3 4" xfId="1325"/>
    <cellStyle name="Calc cel 4 3 3 4 2" xfId="2566"/>
    <cellStyle name="Calc cel 4 3 3 5" xfId="940"/>
    <cellStyle name="Calc cel 4 3 3 6" xfId="2183"/>
    <cellStyle name="Calc cel 4 3 4" xfId="700"/>
    <cellStyle name="Calc cel 4 3 4 2" xfId="1930"/>
    <cellStyle name="Calc cel 4 3 4 2 2" xfId="3169"/>
    <cellStyle name="Calc cel 4 3 4 3" xfId="1612"/>
    <cellStyle name="Calc cel 4 3 4 3 2" xfId="2852"/>
    <cellStyle name="Calc cel 4 3 4 4" xfId="1004"/>
    <cellStyle name="Calc cel 4 3 4 5" xfId="2247"/>
    <cellStyle name="Calc cel 4 3 5" xfId="761"/>
    <cellStyle name="Calc cel 4 3 5 2" xfId="1991"/>
    <cellStyle name="Calc cel 4 3 5 2 2" xfId="3230"/>
    <cellStyle name="Calc cel 4 3 5 3" xfId="1669"/>
    <cellStyle name="Calc cel 4 3 5 3 2" xfId="2908"/>
    <cellStyle name="Calc cel 4 3 5 4" xfId="1065"/>
    <cellStyle name="Calc cel 4 3 5 5" xfId="2308"/>
    <cellStyle name="Calc cel 4 3 6" xfId="517"/>
    <cellStyle name="Calc cel 4 3 6 2" xfId="1444"/>
    <cellStyle name="Calc cel 4 3 6 3" xfId="2684"/>
    <cellStyle name="Calc cel 4 3 7" xfId="1368"/>
    <cellStyle name="Calc cel 4 3 7 2" xfId="2609"/>
    <cellStyle name="Calc cel 4 3 8" xfId="1089"/>
    <cellStyle name="Calc cel 4 3 8 2" xfId="2332"/>
    <cellStyle name="Calc cel 4 3 9" xfId="818"/>
    <cellStyle name="Calc cel 4 3 9 2" xfId="3267"/>
    <cellStyle name="Calc cel 4 4" xfId="287"/>
    <cellStyle name="Calc cel 4 4 2" xfId="1254"/>
    <cellStyle name="Calc cel 4 4 2 2" xfId="1764"/>
    <cellStyle name="Calc cel 4 4 2 2 2" xfId="3003"/>
    <cellStyle name="Calc cel 4 4 2 3" xfId="2495"/>
    <cellStyle name="Calc cel 4 4 3" xfId="1723"/>
    <cellStyle name="Calc cel 4 4 3 2" xfId="2962"/>
    <cellStyle name="Calc cel 4 4 4" xfId="1115"/>
    <cellStyle name="Calc cel 4 4 4 2" xfId="2358"/>
    <cellStyle name="Calc cel 4 4 5" xfId="784"/>
    <cellStyle name="Calc cel 4 4 5 2" xfId="3245"/>
    <cellStyle name="Calc cel 4 4 6" xfId="2032"/>
    <cellStyle name="Calc cel 4 5" xfId="650"/>
    <cellStyle name="Calc cel 4 5 2" xfId="1880"/>
    <cellStyle name="Calc cel 4 5 2 2" xfId="3119"/>
    <cellStyle name="Calc cel 4 5 3" xfId="1237"/>
    <cellStyle name="Calc cel 4 5 3 2" xfId="2478"/>
    <cellStyle name="Calc cel 4 5 4" xfId="954"/>
    <cellStyle name="Calc cel 4 5 4 2" xfId="3392"/>
    <cellStyle name="Calc cel 4 5 5" xfId="2197"/>
    <cellStyle name="Calc cel 4 6" xfId="713"/>
    <cellStyle name="Calc cel 4 6 2" xfId="1943"/>
    <cellStyle name="Calc cel 4 6 2 2" xfId="3182"/>
    <cellStyle name="Calc cel 4 6 3" xfId="1625"/>
    <cellStyle name="Calc cel 4 6 3 2" xfId="2865"/>
    <cellStyle name="Calc cel 4 6 4" xfId="1017"/>
    <cellStyle name="Calc cel 4 6 5" xfId="2260"/>
    <cellStyle name="Calc cel 4 7" xfId="486"/>
    <cellStyle name="Calc cel 4 7 2" xfId="1388"/>
    <cellStyle name="Calc cel 4 7 2 2" xfId="2629"/>
    <cellStyle name="Calc cel 4 7 3" xfId="1424"/>
    <cellStyle name="Calc cel 4 7 4" xfId="2664"/>
    <cellStyle name="Calc cel 4 8" xfId="1157"/>
    <cellStyle name="Calc cel 4 8 2" xfId="2399"/>
    <cellStyle name="Calc cel 4 9" xfId="351"/>
    <cellStyle name="Calc cel 4 9 2" xfId="3304"/>
    <cellStyle name="Calc cel 5" xfId="320"/>
    <cellStyle name="Calc cel 5 2" xfId="478"/>
    <cellStyle name="Calc cel 5 2 10" xfId="2121"/>
    <cellStyle name="Calc cel 5 2 2" xfId="622"/>
    <cellStyle name="Calc cel 5 2 2 2" xfId="1852"/>
    <cellStyle name="Calc cel 5 2 2 2 2" xfId="3091"/>
    <cellStyle name="Calc cel 5 2 2 3" xfId="1693"/>
    <cellStyle name="Calc cel 5 2 2 3 2" xfId="2932"/>
    <cellStyle name="Calc cel 5 2 2 4" xfId="1537"/>
    <cellStyle name="Calc cel 5 2 2 4 2" xfId="2777"/>
    <cellStyle name="Calc cel 5 2 2 5" xfId="926"/>
    <cellStyle name="Calc cel 5 2 2 5 2" xfId="3381"/>
    <cellStyle name="Calc cel 5 2 2 6" xfId="2169"/>
    <cellStyle name="Calc cel 5 2 3" xfId="686"/>
    <cellStyle name="Calc cel 5 2 3 2" xfId="1916"/>
    <cellStyle name="Calc cel 5 2 3 2 2" xfId="3155"/>
    <cellStyle name="Calc cel 5 2 3 3" xfId="1598"/>
    <cellStyle name="Calc cel 5 2 3 3 2" xfId="2838"/>
    <cellStyle name="Calc cel 5 2 3 4" xfId="990"/>
    <cellStyle name="Calc cel 5 2 3 5" xfId="2233"/>
    <cellStyle name="Calc cel 5 2 4" xfId="748"/>
    <cellStyle name="Calc cel 5 2 4 2" xfId="1978"/>
    <cellStyle name="Calc cel 5 2 4 2 2" xfId="3217"/>
    <cellStyle name="Calc cel 5 2 4 3" xfId="1656"/>
    <cellStyle name="Calc cel 5 2 4 3 2" xfId="2895"/>
    <cellStyle name="Calc cel 5 2 4 4" xfId="1052"/>
    <cellStyle name="Calc cel 5 2 4 5" xfId="2295"/>
    <cellStyle name="Calc cel 5 2 5" xfId="573"/>
    <cellStyle name="Calc cel 5 2 5 2" xfId="1815"/>
    <cellStyle name="Calc cel 5 2 5 2 2" xfId="3054"/>
    <cellStyle name="Calc cel 5 2 5 3" xfId="1499"/>
    <cellStyle name="Calc cel 5 2 5 4" xfId="2739"/>
    <cellStyle name="Calc cel 5 2 6" xfId="1419"/>
    <cellStyle name="Calc cel 5 2 6 2" xfId="2659"/>
    <cellStyle name="Calc cel 5 2 7" xfId="1351"/>
    <cellStyle name="Calc cel 5 2 7 2" xfId="2592"/>
    <cellStyle name="Calc cel 5 2 8" xfId="1310"/>
    <cellStyle name="Calc cel 5 2 8 2" xfId="2551"/>
    <cellStyle name="Calc cel 5 2 9" xfId="877"/>
    <cellStyle name="Calc cel 5 2 9 2" xfId="3351"/>
    <cellStyle name="Calc cel 5 3" xfId="414"/>
    <cellStyle name="Calc cel 5 3 2" xfId="1760"/>
    <cellStyle name="Calc cel 5 3 2 2" xfId="2999"/>
    <cellStyle name="Calc cel 5 3 3" xfId="1376"/>
    <cellStyle name="Calc cel 5 3 3 2" xfId="2617"/>
    <cellStyle name="Calc cel 5 3 4" xfId="775"/>
    <cellStyle name="Calc cel 5 3 4 2" xfId="3252"/>
    <cellStyle name="Calc cel 5 3 5" xfId="2023"/>
    <cellStyle name="Calc cel 5 4" xfId="1768"/>
    <cellStyle name="Calc cel 5 4 2" xfId="3007"/>
    <cellStyle name="Calc cel 5 5" xfId="1367"/>
    <cellStyle name="Calc cel 5 5 2" xfId="2608"/>
    <cellStyle name="Calc cel 5 6" xfId="1190"/>
    <cellStyle name="Calc cel 5 6 2" xfId="2431"/>
    <cellStyle name="Calc cel 5 7" xfId="778"/>
    <cellStyle name="Calc cel 5 8" xfId="2026"/>
    <cellStyle name="Calc cel 5 9" xfId="422"/>
    <cellStyle name="Calc cel 6" xfId="811"/>
    <cellStyle name="Calculation" xfId="165" builtinId="22" customBuiltin="1"/>
    <cellStyle name="Check Cell" xfId="167" builtinId="23" customBuiltin="1"/>
    <cellStyle name="Comma" xfId="3405" builtinId="3"/>
    <cellStyle name="Comma 2" xfId="13"/>
    <cellStyle name="Comma 3" xfId="156"/>
    <cellStyle name="Comma 4" xfId="202"/>
    <cellStyle name="Comma 5" xfId="349"/>
    <cellStyle name="Comma 6" xfId="3263"/>
    <cellStyle name="Cover" xfId="14"/>
    <cellStyle name="Currency 0,0" xfId="15"/>
    <cellStyle name="Dezimal [0]_Input" xfId="16"/>
    <cellStyle name="Dezimal_Input" xfId="17"/>
    <cellStyle name="Euro" xfId="18"/>
    <cellStyle name="Explanatory Text" xfId="170" builtinId="53" customBuiltin="1"/>
    <cellStyle name="Good" xfId="160" builtinId="26" customBuiltin="1"/>
    <cellStyle name="Heading 1 2" xfId="152"/>
    <cellStyle name="Heading 1 3" xfId="199"/>
    <cellStyle name="Heading 1 4" xfId="221"/>
    <cellStyle name="Heading 2" xfId="159" builtinId="17" customBuiltin="1"/>
    <cellStyle name="Heading 2 2" xfId="206"/>
    <cellStyle name="Heading 3 2" xfId="153"/>
    <cellStyle name="Heading 3 2 2" xfId="3406"/>
    <cellStyle name="Heading 3 3" xfId="200"/>
    <cellStyle name="Heading 3 4" xfId="222"/>
    <cellStyle name="Heading 4" xfId="1" builtinId="19"/>
    <cellStyle name="Heading 4 2" xfId="154"/>
    <cellStyle name="Heading 4 3" xfId="201"/>
    <cellStyle name="Heading 4 4" xfId="223"/>
    <cellStyle name="Headline" xfId="227"/>
    <cellStyle name="Hyperlink" xfId="148" builtinId="8"/>
    <cellStyle name="Hyperlink 2" xfId="19"/>
    <cellStyle name="Hyperlink 2 2" xfId="228"/>
    <cellStyle name="Hyperlink 3" xfId="216"/>
    <cellStyle name="Input" xfId="163" builtinId="20" customBuiltin="1"/>
    <cellStyle name="Input cel" xfId="20"/>
    <cellStyle name="Input cel 2" xfId="21"/>
    <cellStyle name="Input cel 2 2" xfId="254"/>
    <cellStyle name="Input cel 2 2 10" xfId="311"/>
    <cellStyle name="Input cel 2 2 2" xfId="396"/>
    <cellStyle name="Input cel 2 2 2 2" xfId="454"/>
    <cellStyle name="Input cel 2 2 2 2 2" xfId="554"/>
    <cellStyle name="Input cel 2 2 2 2 2 2" xfId="1799"/>
    <cellStyle name="Input cel 2 2 2 2 2 2 2" xfId="3038"/>
    <cellStyle name="Input cel 2 2 2 2 2 3" xfId="1480"/>
    <cellStyle name="Input cel 2 2 2 2 2 4" xfId="2720"/>
    <cellStyle name="Input cel 2 2 2 2 3" xfId="1397"/>
    <cellStyle name="Input cel 2 2 2 2 3 2" xfId="2637"/>
    <cellStyle name="Input cel 2 2 2 2 4" xfId="1166"/>
    <cellStyle name="Input cel 2 2 2 2 4 2" xfId="2408"/>
    <cellStyle name="Input cel 2 2 2 2 5" xfId="1219"/>
    <cellStyle name="Input cel 2 2 2 2 5 2" xfId="2460"/>
    <cellStyle name="Input cel 2 2 2 2 6" xfId="858"/>
    <cellStyle name="Input cel 2 2 2 2 6 2" xfId="3333"/>
    <cellStyle name="Input cel 2 2 2 2 7" xfId="2102"/>
    <cellStyle name="Input cel 2 2 2 3" xfId="603"/>
    <cellStyle name="Input cel 2 2 2 3 2" xfId="1833"/>
    <cellStyle name="Input cel 2 2 2 3 2 2" xfId="3072"/>
    <cellStyle name="Input cel 2 2 2 3 3" xfId="1281"/>
    <cellStyle name="Input cel 2 2 2 3 3 2" xfId="2522"/>
    <cellStyle name="Input cel 2 2 2 3 4" xfId="907"/>
    <cellStyle name="Input cel 2 2 2 3 5" xfId="2150"/>
    <cellStyle name="Input cel 2 2 2 4" xfId="667"/>
    <cellStyle name="Input cel 2 2 2 4 2" xfId="1897"/>
    <cellStyle name="Input cel 2 2 2 4 2 2" xfId="3136"/>
    <cellStyle name="Input cel 2 2 2 4 3" xfId="1579"/>
    <cellStyle name="Input cel 2 2 2 4 3 2" xfId="2819"/>
    <cellStyle name="Input cel 2 2 2 4 4" xfId="971"/>
    <cellStyle name="Input cel 2 2 2 4 5" xfId="2214"/>
    <cellStyle name="Input cel 2 2 2 5" xfId="729"/>
    <cellStyle name="Input cel 2 2 2 5 2" xfId="1959"/>
    <cellStyle name="Input cel 2 2 2 5 2 2" xfId="3198"/>
    <cellStyle name="Input cel 2 2 2 5 3" xfId="1637"/>
    <cellStyle name="Input cel 2 2 2 5 3 2" xfId="2876"/>
    <cellStyle name="Input cel 2 2 2 5 4" xfId="1033"/>
    <cellStyle name="Input cel 2 2 2 5 5" xfId="2276"/>
    <cellStyle name="Input cel 2 2 2 6" xfId="534"/>
    <cellStyle name="Input cel 2 2 2 6 2" xfId="1461"/>
    <cellStyle name="Input cel 2 2 2 6 3" xfId="2701"/>
    <cellStyle name="Input cel 2 2 2 7" xfId="1111"/>
    <cellStyle name="Input cel 2 2 2 7 2" xfId="2354"/>
    <cellStyle name="Input cel 2 2 2 8" xfId="835"/>
    <cellStyle name="Input cel 2 2 2 8 2" xfId="3257"/>
    <cellStyle name="Input cel 2 2 2 9" xfId="2079"/>
    <cellStyle name="Input cel 2 2 3" xfId="383"/>
    <cellStyle name="Input cel 2 2 3 10" xfId="2066"/>
    <cellStyle name="Input cel 2 2 3 2" xfId="442"/>
    <cellStyle name="Input cel 2 2 3 2 2" xfId="591"/>
    <cellStyle name="Input cel 2 2 3 2 2 2" xfId="1516"/>
    <cellStyle name="Input cel 2 2 3 2 2 3" xfId="2756"/>
    <cellStyle name="Input cel 2 2 3 2 3" xfId="1720"/>
    <cellStyle name="Input cel 2 2 3 2 3 2" xfId="2959"/>
    <cellStyle name="Input cel 2 2 3 2 4" xfId="1269"/>
    <cellStyle name="Input cel 2 2 3 2 4 2" xfId="2510"/>
    <cellStyle name="Input cel 2 2 3 2 5" xfId="895"/>
    <cellStyle name="Input cel 2 2 3 2 5 2" xfId="3368"/>
    <cellStyle name="Input cel 2 2 3 2 6" xfId="2138"/>
    <cellStyle name="Input cel 2 2 3 3" xfId="640"/>
    <cellStyle name="Input cel 2 2 3 3 2" xfId="1555"/>
    <cellStyle name="Input cel 2 2 3 3 2 2" xfId="1870"/>
    <cellStyle name="Input cel 2 2 3 3 2 2 2" xfId="3109"/>
    <cellStyle name="Input cel 2 2 3 3 2 3" xfId="2795"/>
    <cellStyle name="Input cel 2 2 3 3 3" xfId="1736"/>
    <cellStyle name="Input cel 2 2 3 3 3 2" xfId="2975"/>
    <cellStyle name="Input cel 2 2 3 3 4" xfId="1329"/>
    <cellStyle name="Input cel 2 2 3 3 4 2" xfId="2570"/>
    <cellStyle name="Input cel 2 2 3 3 5" xfId="944"/>
    <cellStyle name="Input cel 2 2 3 3 6" xfId="2187"/>
    <cellStyle name="Input cel 2 2 3 4" xfId="704"/>
    <cellStyle name="Input cel 2 2 3 4 2" xfId="1934"/>
    <cellStyle name="Input cel 2 2 3 4 2 2" xfId="3173"/>
    <cellStyle name="Input cel 2 2 3 4 3" xfId="1616"/>
    <cellStyle name="Input cel 2 2 3 4 3 2" xfId="2856"/>
    <cellStyle name="Input cel 2 2 3 4 4" xfId="1008"/>
    <cellStyle name="Input cel 2 2 3 4 5" xfId="2251"/>
    <cellStyle name="Input cel 2 2 3 5" xfId="765"/>
    <cellStyle name="Input cel 2 2 3 5 2" xfId="1995"/>
    <cellStyle name="Input cel 2 2 3 5 2 2" xfId="3234"/>
    <cellStyle name="Input cel 2 2 3 5 3" xfId="1673"/>
    <cellStyle name="Input cel 2 2 3 5 3 2" xfId="2912"/>
    <cellStyle name="Input cel 2 2 3 5 4" xfId="1069"/>
    <cellStyle name="Input cel 2 2 3 5 5" xfId="2312"/>
    <cellStyle name="Input cel 2 2 3 6" xfId="521"/>
    <cellStyle name="Input cel 2 2 3 6 2" xfId="1448"/>
    <cellStyle name="Input cel 2 2 3 6 3" xfId="2688"/>
    <cellStyle name="Input cel 2 2 3 7" xfId="1125"/>
    <cellStyle name="Input cel 2 2 3 7 2" xfId="2367"/>
    <cellStyle name="Input cel 2 2 3 8" xfId="1093"/>
    <cellStyle name="Input cel 2 2 3 8 2" xfId="2336"/>
    <cellStyle name="Input cel 2 2 3 9" xfId="822"/>
    <cellStyle name="Input cel 2 2 3 9 2" xfId="3282"/>
    <cellStyle name="Input cel 2 2 4" xfId="513"/>
    <cellStyle name="Input cel 2 2 4 2" xfId="1443"/>
    <cellStyle name="Input cel 2 2 4 2 2" xfId="1780"/>
    <cellStyle name="Input cel 2 2 4 2 2 2" xfId="3019"/>
    <cellStyle name="Input cel 2 2 4 2 3" xfId="2683"/>
    <cellStyle name="Input cel 2 2 4 3" xfId="1724"/>
    <cellStyle name="Input cel 2 2 4 3 2" xfId="2963"/>
    <cellStyle name="Input cel 2 2 4 4" xfId="1204"/>
    <cellStyle name="Input cel 2 2 4 4 2" xfId="2445"/>
    <cellStyle name="Input cel 2 2 4 5" xfId="813"/>
    <cellStyle name="Input cel 2 2 4 5 2" xfId="3259"/>
    <cellStyle name="Input cel 2 2 4 6" xfId="2057"/>
    <cellStyle name="Input cel 2 2 5" xfId="654"/>
    <cellStyle name="Input cel 2 2 5 2" xfId="1884"/>
    <cellStyle name="Input cel 2 2 5 2 2" xfId="3123"/>
    <cellStyle name="Input cel 2 2 5 3" xfId="1241"/>
    <cellStyle name="Input cel 2 2 5 3 2" xfId="2482"/>
    <cellStyle name="Input cel 2 2 5 4" xfId="958"/>
    <cellStyle name="Input cel 2 2 5 4 2" xfId="3396"/>
    <cellStyle name="Input cel 2 2 5 5" xfId="2201"/>
    <cellStyle name="Input cel 2 2 6" xfId="717"/>
    <cellStyle name="Input cel 2 2 6 2" xfId="1947"/>
    <cellStyle name="Input cel 2 2 6 2 2" xfId="3186"/>
    <cellStyle name="Input cel 2 2 6 3" xfId="1629"/>
    <cellStyle name="Input cel 2 2 6 3 2" xfId="2869"/>
    <cellStyle name="Input cel 2 2 6 4" xfId="1021"/>
    <cellStyle name="Input cel 2 2 6 5" xfId="2264"/>
    <cellStyle name="Input cel 2 2 7" xfId="288"/>
    <cellStyle name="Input cel 2 2 7 2" xfId="1692"/>
    <cellStyle name="Input cel 2 2 7 2 2" xfId="2931"/>
    <cellStyle name="Input cel 2 2 7 3" xfId="1143"/>
    <cellStyle name="Input cel 2 2 7 4" xfId="2385"/>
    <cellStyle name="Input cel 2 2 8" xfId="1525"/>
    <cellStyle name="Input cel 2 2 8 2" xfId="2765"/>
    <cellStyle name="Input cel 2 2 9" xfId="289"/>
    <cellStyle name="Input cel 2 2 9 2" xfId="3323"/>
    <cellStyle name="Input cel 2 3" xfId="268"/>
    <cellStyle name="Input cel 2 3 2" xfId="473"/>
    <cellStyle name="Input cel 2 3 2 10" xfId="2116"/>
    <cellStyle name="Input cel 2 3 2 2" xfId="617"/>
    <cellStyle name="Input cel 2 3 2 2 2" xfId="1847"/>
    <cellStyle name="Input cel 2 3 2 2 2 2" xfId="3086"/>
    <cellStyle name="Input cel 2 3 2 2 3" xfId="1126"/>
    <cellStyle name="Input cel 2 3 2 2 3 2" xfId="2368"/>
    <cellStyle name="Input cel 2 3 2 2 4" xfId="1532"/>
    <cellStyle name="Input cel 2 3 2 2 4 2" xfId="2772"/>
    <cellStyle name="Input cel 2 3 2 2 5" xfId="921"/>
    <cellStyle name="Input cel 2 3 2 2 5 2" xfId="3376"/>
    <cellStyle name="Input cel 2 3 2 2 6" xfId="2164"/>
    <cellStyle name="Input cel 2 3 2 3" xfId="681"/>
    <cellStyle name="Input cel 2 3 2 3 2" xfId="1911"/>
    <cellStyle name="Input cel 2 3 2 3 2 2" xfId="3150"/>
    <cellStyle name="Input cel 2 3 2 3 3" xfId="1593"/>
    <cellStyle name="Input cel 2 3 2 3 3 2" xfId="2833"/>
    <cellStyle name="Input cel 2 3 2 3 4" xfId="985"/>
    <cellStyle name="Input cel 2 3 2 3 5" xfId="2228"/>
    <cellStyle name="Input cel 2 3 2 4" xfId="743"/>
    <cellStyle name="Input cel 2 3 2 4 2" xfId="1973"/>
    <cellStyle name="Input cel 2 3 2 4 2 2" xfId="3212"/>
    <cellStyle name="Input cel 2 3 2 4 3" xfId="1651"/>
    <cellStyle name="Input cel 2 3 2 4 3 2" xfId="2890"/>
    <cellStyle name="Input cel 2 3 2 4 4" xfId="1047"/>
    <cellStyle name="Input cel 2 3 2 4 5" xfId="2290"/>
    <cellStyle name="Input cel 2 3 2 5" xfId="568"/>
    <cellStyle name="Input cel 2 3 2 5 2" xfId="1810"/>
    <cellStyle name="Input cel 2 3 2 5 2 2" xfId="3049"/>
    <cellStyle name="Input cel 2 3 2 5 3" xfId="1494"/>
    <cellStyle name="Input cel 2 3 2 5 4" xfId="2734"/>
    <cellStyle name="Input cel 2 3 2 6" xfId="1414"/>
    <cellStyle name="Input cel 2 3 2 6 2" xfId="2654"/>
    <cellStyle name="Input cel 2 3 2 7" xfId="1564"/>
    <cellStyle name="Input cel 2 3 2 7 2" xfId="2804"/>
    <cellStyle name="Input cel 2 3 2 8" xfId="1305"/>
    <cellStyle name="Input cel 2 3 2 8 2" xfId="2546"/>
    <cellStyle name="Input cel 2 3 2 9" xfId="872"/>
    <cellStyle name="Input cel 2 3 2 9 2" xfId="3346"/>
    <cellStyle name="Input cel 2 3 3" xfId="361"/>
    <cellStyle name="Input cel 2 3 3 2" xfId="1763"/>
    <cellStyle name="Input cel 2 3 3 2 2" xfId="3002"/>
    <cellStyle name="Input cel 2 3 3 3" xfId="1349"/>
    <cellStyle name="Input cel 2 3 3 3 2" xfId="2590"/>
    <cellStyle name="Input cel 2 3 3 4" xfId="780"/>
    <cellStyle name="Input cel 2 3 3 4 2" xfId="3251"/>
    <cellStyle name="Input cel 2 3 3 5" xfId="2028"/>
    <cellStyle name="Input cel 2 3 4" xfId="1790"/>
    <cellStyle name="Input cel 2 3 4 2" xfId="3029"/>
    <cellStyle name="Input cel 2 3 5" xfId="1214"/>
    <cellStyle name="Input cel 2 3 5 2" xfId="2455"/>
    <cellStyle name="Input cel 2 3 6" xfId="1189"/>
    <cellStyle name="Input cel 2 3 6 2" xfId="2430"/>
    <cellStyle name="Input cel 2 3 7" xfId="511"/>
    <cellStyle name="Input cel 2 3 8" xfId="2003"/>
    <cellStyle name="Input cel 2 3 9" xfId="307"/>
    <cellStyle name="Input cel 2 4" xfId="310"/>
    <cellStyle name="Input cel 3" xfId="22"/>
    <cellStyle name="Input cel 3 2" xfId="255"/>
    <cellStyle name="Input cel 3 2 10" xfId="294"/>
    <cellStyle name="Input cel 3 2 2" xfId="403"/>
    <cellStyle name="Input cel 3 2 2 2" xfId="461"/>
    <cellStyle name="Input cel 3 2 2 2 2" xfId="561"/>
    <cellStyle name="Input cel 3 2 2 2 2 2" xfId="1806"/>
    <cellStyle name="Input cel 3 2 2 2 2 2 2" xfId="3045"/>
    <cellStyle name="Input cel 3 2 2 2 2 3" xfId="1487"/>
    <cellStyle name="Input cel 3 2 2 2 2 4" xfId="2727"/>
    <cellStyle name="Input cel 3 2 2 2 3" xfId="1404"/>
    <cellStyle name="Input cel 3 2 2 2 3 2" xfId="2644"/>
    <cellStyle name="Input cel 3 2 2 2 4" xfId="1259"/>
    <cellStyle name="Input cel 3 2 2 2 4 2" xfId="2500"/>
    <cellStyle name="Input cel 3 2 2 2 5" xfId="1226"/>
    <cellStyle name="Input cel 3 2 2 2 5 2" xfId="2467"/>
    <cellStyle name="Input cel 3 2 2 2 6" xfId="865"/>
    <cellStyle name="Input cel 3 2 2 2 6 2" xfId="3340"/>
    <cellStyle name="Input cel 3 2 2 2 7" xfId="2109"/>
    <cellStyle name="Input cel 3 2 2 3" xfId="610"/>
    <cellStyle name="Input cel 3 2 2 3 2" xfId="1840"/>
    <cellStyle name="Input cel 3 2 2 3 2 2" xfId="3079"/>
    <cellStyle name="Input cel 3 2 2 3 3" xfId="1288"/>
    <cellStyle name="Input cel 3 2 2 3 3 2" xfId="2529"/>
    <cellStyle name="Input cel 3 2 2 3 4" xfId="914"/>
    <cellStyle name="Input cel 3 2 2 3 5" xfId="2157"/>
    <cellStyle name="Input cel 3 2 2 4" xfId="674"/>
    <cellStyle name="Input cel 3 2 2 4 2" xfId="1904"/>
    <cellStyle name="Input cel 3 2 2 4 2 2" xfId="3143"/>
    <cellStyle name="Input cel 3 2 2 4 3" xfId="1586"/>
    <cellStyle name="Input cel 3 2 2 4 3 2" xfId="2826"/>
    <cellStyle name="Input cel 3 2 2 4 4" xfId="978"/>
    <cellStyle name="Input cel 3 2 2 4 5" xfId="2221"/>
    <cellStyle name="Input cel 3 2 2 5" xfId="736"/>
    <cellStyle name="Input cel 3 2 2 5 2" xfId="1966"/>
    <cellStyle name="Input cel 3 2 2 5 2 2" xfId="3205"/>
    <cellStyle name="Input cel 3 2 2 5 3" xfId="1644"/>
    <cellStyle name="Input cel 3 2 2 5 3 2" xfId="2883"/>
    <cellStyle name="Input cel 3 2 2 5 4" xfId="1040"/>
    <cellStyle name="Input cel 3 2 2 5 5" xfId="2283"/>
    <cellStyle name="Input cel 3 2 2 6" xfId="541"/>
    <cellStyle name="Input cel 3 2 2 6 2" xfId="1468"/>
    <cellStyle name="Input cel 3 2 2 6 3" xfId="2708"/>
    <cellStyle name="Input cel 3 2 2 7" xfId="1161"/>
    <cellStyle name="Input cel 3 2 2 7 2" xfId="2403"/>
    <cellStyle name="Input cel 3 2 2 8" xfId="842"/>
    <cellStyle name="Input cel 3 2 2 8 2" xfId="3242"/>
    <cellStyle name="Input cel 3 2 2 9" xfId="2086"/>
    <cellStyle name="Input cel 3 2 3" xfId="384"/>
    <cellStyle name="Input cel 3 2 3 10" xfId="2067"/>
    <cellStyle name="Input cel 3 2 3 2" xfId="443"/>
    <cellStyle name="Input cel 3 2 3 2 2" xfId="592"/>
    <cellStyle name="Input cel 3 2 3 2 2 2" xfId="1517"/>
    <cellStyle name="Input cel 3 2 3 2 2 3" xfId="2757"/>
    <cellStyle name="Input cel 3 2 3 2 3" xfId="1721"/>
    <cellStyle name="Input cel 3 2 3 2 3 2" xfId="2960"/>
    <cellStyle name="Input cel 3 2 3 2 4" xfId="1270"/>
    <cellStyle name="Input cel 3 2 3 2 4 2" xfId="2511"/>
    <cellStyle name="Input cel 3 2 3 2 5" xfId="896"/>
    <cellStyle name="Input cel 3 2 3 2 5 2" xfId="3369"/>
    <cellStyle name="Input cel 3 2 3 2 6" xfId="2139"/>
    <cellStyle name="Input cel 3 2 3 3" xfId="641"/>
    <cellStyle name="Input cel 3 2 3 3 2" xfId="1556"/>
    <cellStyle name="Input cel 3 2 3 3 2 2" xfId="1871"/>
    <cellStyle name="Input cel 3 2 3 3 2 2 2" xfId="3110"/>
    <cellStyle name="Input cel 3 2 3 3 2 3" xfId="2796"/>
    <cellStyle name="Input cel 3 2 3 3 3" xfId="1737"/>
    <cellStyle name="Input cel 3 2 3 3 3 2" xfId="2976"/>
    <cellStyle name="Input cel 3 2 3 3 4" xfId="1330"/>
    <cellStyle name="Input cel 3 2 3 3 4 2" xfId="2571"/>
    <cellStyle name="Input cel 3 2 3 3 5" xfId="945"/>
    <cellStyle name="Input cel 3 2 3 3 6" xfId="2188"/>
    <cellStyle name="Input cel 3 2 3 4" xfId="705"/>
    <cellStyle name="Input cel 3 2 3 4 2" xfId="1935"/>
    <cellStyle name="Input cel 3 2 3 4 2 2" xfId="3174"/>
    <cellStyle name="Input cel 3 2 3 4 3" xfId="1617"/>
    <cellStyle name="Input cel 3 2 3 4 3 2" xfId="2857"/>
    <cellStyle name="Input cel 3 2 3 4 4" xfId="1009"/>
    <cellStyle name="Input cel 3 2 3 4 5" xfId="2252"/>
    <cellStyle name="Input cel 3 2 3 5" xfId="766"/>
    <cellStyle name="Input cel 3 2 3 5 2" xfId="1996"/>
    <cellStyle name="Input cel 3 2 3 5 2 2" xfId="3235"/>
    <cellStyle name="Input cel 3 2 3 5 3" xfId="1674"/>
    <cellStyle name="Input cel 3 2 3 5 3 2" xfId="2913"/>
    <cellStyle name="Input cel 3 2 3 5 4" xfId="1070"/>
    <cellStyle name="Input cel 3 2 3 5 5" xfId="2313"/>
    <cellStyle name="Input cel 3 2 3 6" xfId="522"/>
    <cellStyle name="Input cel 3 2 3 6 2" xfId="1449"/>
    <cellStyle name="Input cel 3 2 3 6 3" xfId="2689"/>
    <cellStyle name="Input cel 3 2 3 7" xfId="1233"/>
    <cellStyle name="Input cel 3 2 3 7 2" xfId="2474"/>
    <cellStyle name="Input cel 3 2 3 8" xfId="1094"/>
    <cellStyle name="Input cel 3 2 3 8 2" xfId="2337"/>
    <cellStyle name="Input cel 3 2 3 9" xfId="823"/>
    <cellStyle name="Input cel 3 2 3 9 2" xfId="3284"/>
    <cellStyle name="Input cel 3 2 4" xfId="505"/>
    <cellStyle name="Input cel 3 2 4 2" xfId="1436"/>
    <cellStyle name="Input cel 3 2 4 2 2" xfId="1773"/>
    <cellStyle name="Input cel 3 2 4 2 2 2" xfId="3012"/>
    <cellStyle name="Input cel 3 2 4 2 3" xfId="2676"/>
    <cellStyle name="Input cel 3 2 4 3" xfId="1303"/>
    <cellStyle name="Input cel 3 2 4 3 2" xfId="2544"/>
    <cellStyle name="Input cel 3 2 4 4" xfId="1205"/>
    <cellStyle name="Input cel 3 2 4 4 2" xfId="2446"/>
    <cellStyle name="Input cel 3 2 4 5" xfId="802"/>
    <cellStyle name="Input cel 3 2 4 5 2" xfId="3247"/>
    <cellStyle name="Input cel 3 2 4 6" xfId="2049"/>
    <cellStyle name="Input cel 3 2 5" xfId="655"/>
    <cellStyle name="Input cel 3 2 5 2" xfId="1885"/>
    <cellStyle name="Input cel 3 2 5 2 2" xfId="3124"/>
    <cellStyle name="Input cel 3 2 5 3" xfId="1242"/>
    <cellStyle name="Input cel 3 2 5 3 2" xfId="2483"/>
    <cellStyle name="Input cel 3 2 5 4" xfId="959"/>
    <cellStyle name="Input cel 3 2 5 4 2" xfId="3397"/>
    <cellStyle name="Input cel 3 2 5 5" xfId="2202"/>
    <cellStyle name="Input cel 3 2 6" xfId="718"/>
    <cellStyle name="Input cel 3 2 6 2" xfId="1948"/>
    <cellStyle name="Input cel 3 2 6 2 2" xfId="3187"/>
    <cellStyle name="Input cel 3 2 6 3" xfId="1630"/>
    <cellStyle name="Input cel 3 2 6 3 2" xfId="2870"/>
    <cellStyle name="Input cel 3 2 6 4" xfId="1022"/>
    <cellStyle name="Input cel 3 2 6 5" xfId="2265"/>
    <cellStyle name="Input cel 3 2 7" xfId="415"/>
    <cellStyle name="Input cel 3 2 7 2" xfId="1146"/>
    <cellStyle name="Input cel 3 2 7 2 2" xfId="2388"/>
    <cellStyle name="Input cel 3 2 7 3" xfId="1377"/>
    <cellStyle name="Input cel 3 2 7 4" xfId="2618"/>
    <cellStyle name="Input cel 3 2 8" xfId="1369"/>
    <cellStyle name="Input cel 3 2 8 2" xfId="2610"/>
    <cellStyle name="Input cel 3 2 9" xfId="329"/>
    <cellStyle name="Input cel 3 2 9 2" xfId="3306"/>
    <cellStyle name="Input cel 3 3" xfId="321"/>
    <cellStyle name="Input cel 3 3 2" xfId="479"/>
    <cellStyle name="Input cel 3 3 2 10" xfId="2122"/>
    <cellStyle name="Input cel 3 3 2 2" xfId="623"/>
    <cellStyle name="Input cel 3 3 2 2 2" xfId="1853"/>
    <cellStyle name="Input cel 3 3 2 2 2 2" xfId="3092"/>
    <cellStyle name="Input cel 3 3 2 2 3" xfId="1694"/>
    <cellStyle name="Input cel 3 3 2 2 3 2" xfId="2933"/>
    <cellStyle name="Input cel 3 3 2 2 4" xfId="1538"/>
    <cellStyle name="Input cel 3 3 2 2 4 2" xfId="2778"/>
    <cellStyle name="Input cel 3 3 2 2 5" xfId="927"/>
    <cellStyle name="Input cel 3 3 2 2 5 2" xfId="3382"/>
    <cellStyle name="Input cel 3 3 2 2 6" xfId="2170"/>
    <cellStyle name="Input cel 3 3 2 3" xfId="687"/>
    <cellStyle name="Input cel 3 3 2 3 2" xfId="1917"/>
    <cellStyle name="Input cel 3 3 2 3 2 2" xfId="3156"/>
    <cellStyle name="Input cel 3 3 2 3 3" xfId="1599"/>
    <cellStyle name="Input cel 3 3 2 3 3 2" xfId="2839"/>
    <cellStyle name="Input cel 3 3 2 3 4" xfId="991"/>
    <cellStyle name="Input cel 3 3 2 3 5" xfId="2234"/>
    <cellStyle name="Input cel 3 3 2 4" xfId="749"/>
    <cellStyle name="Input cel 3 3 2 4 2" xfId="1979"/>
    <cellStyle name="Input cel 3 3 2 4 2 2" xfId="3218"/>
    <cellStyle name="Input cel 3 3 2 4 3" xfId="1657"/>
    <cellStyle name="Input cel 3 3 2 4 3 2" xfId="2896"/>
    <cellStyle name="Input cel 3 3 2 4 4" xfId="1053"/>
    <cellStyle name="Input cel 3 3 2 4 5" xfId="2296"/>
    <cellStyle name="Input cel 3 3 2 5" xfId="574"/>
    <cellStyle name="Input cel 3 3 2 5 2" xfId="1816"/>
    <cellStyle name="Input cel 3 3 2 5 2 2" xfId="3055"/>
    <cellStyle name="Input cel 3 3 2 5 3" xfId="1500"/>
    <cellStyle name="Input cel 3 3 2 5 4" xfId="2740"/>
    <cellStyle name="Input cel 3 3 2 6" xfId="1420"/>
    <cellStyle name="Input cel 3 3 2 6 2" xfId="2660"/>
    <cellStyle name="Input cel 3 3 2 7" xfId="1109"/>
    <cellStyle name="Input cel 3 3 2 7 2" xfId="2352"/>
    <cellStyle name="Input cel 3 3 2 8" xfId="1311"/>
    <cellStyle name="Input cel 3 3 2 8 2" xfId="2552"/>
    <cellStyle name="Input cel 3 3 2 9" xfId="878"/>
    <cellStyle name="Input cel 3 3 2 9 2" xfId="3352"/>
    <cellStyle name="Input cel 3 3 3" xfId="278"/>
    <cellStyle name="Input cel 3 3 3 2" xfId="1758"/>
    <cellStyle name="Input cel 3 3 3 2 2" xfId="2997"/>
    <cellStyle name="Input cel 3 3 3 3" xfId="1174"/>
    <cellStyle name="Input cel 3 3 3 3 2" xfId="2416"/>
    <cellStyle name="Input cel 3 3 3 4" xfId="773"/>
    <cellStyle name="Input cel 3 3 3 4 2" xfId="3287"/>
    <cellStyle name="Input cel 3 3 3 5" xfId="2021"/>
    <cellStyle name="Input cel 3 3 4" xfId="1128"/>
    <cellStyle name="Input cel 3 3 4 2" xfId="2370"/>
    <cellStyle name="Input cel 3 3 5" xfId="1416"/>
    <cellStyle name="Input cel 3 3 5 2" xfId="2656"/>
    <cellStyle name="Input cel 3 3 6" xfId="1169"/>
    <cellStyle name="Input cel 3 3 6 2" xfId="2411"/>
    <cellStyle name="Input cel 3 3 7" xfId="779"/>
    <cellStyle name="Input cel 3 3 8" xfId="2027"/>
    <cellStyle name="Input cel 3 3 9" xfId="285"/>
    <cellStyle name="Input cel 3 4" xfId="305"/>
    <cellStyle name="Input cel 4" xfId="253"/>
    <cellStyle name="Input cel 4 10" xfId="498"/>
    <cellStyle name="Input cel 4 2" xfId="398"/>
    <cellStyle name="Input cel 4 2 2" xfId="456"/>
    <cellStyle name="Input cel 4 2 2 2" xfId="556"/>
    <cellStyle name="Input cel 4 2 2 2 2" xfId="1801"/>
    <cellStyle name="Input cel 4 2 2 2 2 2" xfId="3040"/>
    <cellStyle name="Input cel 4 2 2 2 3" xfId="1482"/>
    <cellStyle name="Input cel 4 2 2 2 4" xfId="2722"/>
    <cellStyle name="Input cel 4 2 2 3" xfId="1399"/>
    <cellStyle name="Input cel 4 2 2 3 2" xfId="2639"/>
    <cellStyle name="Input cel 4 2 2 4" xfId="1715"/>
    <cellStyle name="Input cel 4 2 2 4 2" xfId="2954"/>
    <cellStyle name="Input cel 4 2 2 5" xfId="1221"/>
    <cellStyle name="Input cel 4 2 2 5 2" xfId="2462"/>
    <cellStyle name="Input cel 4 2 2 6" xfId="860"/>
    <cellStyle name="Input cel 4 2 2 6 2" xfId="3335"/>
    <cellStyle name="Input cel 4 2 2 7" xfId="2104"/>
    <cellStyle name="Input cel 4 2 3" xfId="605"/>
    <cellStyle name="Input cel 4 2 3 2" xfId="1835"/>
    <cellStyle name="Input cel 4 2 3 2 2" xfId="3074"/>
    <cellStyle name="Input cel 4 2 3 3" xfId="1283"/>
    <cellStyle name="Input cel 4 2 3 3 2" xfId="2524"/>
    <cellStyle name="Input cel 4 2 3 4" xfId="909"/>
    <cellStyle name="Input cel 4 2 3 5" xfId="2152"/>
    <cellStyle name="Input cel 4 2 4" xfId="669"/>
    <cellStyle name="Input cel 4 2 4 2" xfId="1899"/>
    <cellStyle name="Input cel 4 2 4 2 2" xfId="3138"/>
    <cellStyle name="Input cel 4 2 4 3" xfId="1581"/>
    <cellStyle name="Input cel 4 2 4 3 2" xfId="2821"/>
    <cellStyle name="Input cel 4 2 4 4" xfId="973"/>
    <cellStyle name="Input cel 4 2 4 5" xfId="2216"/>
    <cellStyle name="Input cel 4 2 5" xfId="731"/>
    <cellStyle name="Input cel 4 2 5 2" xfId="1961"/>
    <cellStyle name="Input cel 4 2 5 2 2" xfId="3200"/>
    <cellStyle name="Input cel 4 2 5 3" xfId="1639"/>
    <cellStyle name="Input cel 4 2 5 3 2" xfId="2878"/>
    <cellStyle name="Input cel 4 2 5 4" xfId="1035"/>
    <cellStyle name="Input cel 4 2 5 5" xfId="2278"/>
    <cellStyle name="Input cel 4 2 6" xfId="536"/>
    <cellStyle name="Input cel 4 2 6 2" xfId="1463"/>
    <cellStyle name="Input cel 4 2 6 3" xfId="2703"/>
    <cellStyle name="Input cel 4 2 7" xfId="1350"/>
    <cellStyle name="Input cel 4 2 7 2" xfId="2591"/>
    <cellStyle name="Input cel 4 2 8" xfId="837"/>
    <cellStyle name="Input cel 4 2 8 2" xfId="3305"/>
    <cellStyle name="Input cel 4 2 9" xfId="2081"/>
    <cellStyle name="Input cel 4 3" xfId="382"/>
    <cellStyle name="Input cel 4 3 10" xfId="2065"/>
    <cellStyle name="Input cel 4 3 2" xfId="441"/>
    <cellStyle name="Input cel 4 3 2 2" xfId="590"/>
    <cellStyle name="Input cel 4 3 2 2 2" xfId="1515"/>
    <cellStyle name="Input cel 4 3 2 2 3" xfId="2755"/>
    <cellStyle name="Input cel 4 3 2 3" xfId="1719"/>
    <cellStyle name="Input cel 4 3 2 3 2" xfId="2958"/>
    <cellStyle name="Input cel 4 3 2 4" xfId="1268"/>
    <cellStyle name="Input cel 4 3 2 4 2" xfId="2509"/>
    <cellStyle name="Input cel 4 3 2 5" xfId="894"/>
    <cellStyle name="Input cel 4 3 2 5 2" xfId="3367"/>
    <cellStyle name="Input cel 4 3 2 6" xfId="2137"/>
    <cellStyle name="Input cel 4 3 3" xfId="639"/>
    <cellStyle name="Input cel 4 3 3 2" xfId="1554"/>
    <cellStyle name="Input cel 4 3 3 2 2" xfId="1869"/>
    <cellStyle name="Input cel 4 3 3 2 2 2" xfId="3108"/>
    <cellStyle name="Input cel 4 3 3 2 3" xfId="2794"/>
    <cellStyle name="Input cel 4 3 3 3" xfId="1735"/>
    <cellStyle name="Input cel 4 3 3 3 2" xfId="2974"/>
    <cellStyle name="Input cel 4 3 3 4" xfId="1328"/>
    <cellStyle name="Input cel 4 3 3 4 2" xfId="2569"/>
    <cellStyle name="Input cel 4 3 3 5" xfId="943"/>
    <cellStyle name="Input cel 4 3 3 6" xfId="2186"/>
    <cellStyle name="Input cel 4 3 4" xfId="703"/>
    <cellStyle name="Input cel 4 3 4 2" xfId="1933"/>
    <cellStyle name="Input cel 4 3 4 2 2" xfId="3172"/>
    <cellStyle name="Input cel 4 3 4 3" xfId="1615"/>
    <cellStyle name="Input cel 4 3 4 3 2" xfId="2855"/>
    <cellStyle name="Input cel 4 3 4 4" xfId="1007"/>
    <cellStyle name="Input cel 4 3 4 5" xfId="2250"/>
    <cellStyle name="Input cel 4 3 5" xfId="764"/>
    <cellStyle name="Input cel 4 3 5 2" xfId="1994"/>
    <cellStyle name="Input cel 4 3 5 2 2" xfId="3233"/>
    <cellStyle name="Input cel 4 3 5 3" xfId="1672"/>
    <cellStyle name="Input cel 4 3 5 3 2" xfId="2911"/>
    <cellStyle name="Input cel 4 3 5 4" xfId="1068"/>
    <cellStyle name="Input cel 4 3 5 5" xfId="2311"/>
    <cellStyle name="Input cel 4 3 6" xfId="520"/>
    <cellStyle name="Input cel 4 3 6 2" xfId="1447"/>
    <cellStyle name="Input cel 4 3 6 3" xfId="2687"/>
    <cellStyle name="Input cel 4 3 7" xfId="1127"/>
    <cellStyle name="Input cel 4 3 7 2" xfId="2369"/>
    <cellStyle name="Input cel 4 3 8" xfId="1092"/>
    <cellStyle name="Input cel 4 3 8 2" xfId="2335"/>
    <cellStyle name="Input cel 4 3 9" xfId="821"/>
    <cellStyle name="Input cel 4 3 9 2" xfId="3295"/>
    <cellStyle name="Input cel 4 4" xfId="501"/>
    <cellStyle name="Input cel 4 4 2" xfId="1432"/>
    <cellStyle name="Input cel 4 4 2 2" xfId="1770"/>
    <cellStyle name="Input cel 4 4 2 2 2" xfId="3009"/>
    <cellStyle name="Input cel 4 4 2 3" xfId="2672"/>
    <cellStyle name="Input cel 4 4 3" xfId="1711"/>
    <cellStyle name="Input cel 4 4 3 2" xfId="2950"/>
    <cellStyle name="Input cel 4 4 4" xfId="1203"/>
    <cellStyle name="Input cel 4 4 4 2" xfId="2444"/>
    <cellStyle name="Input cel 4 4 5" xfId="797"/>
    <cellStyle name="Input cel 4 4 5 2" xfId="3293"/>
    <cellStyle name="Input cel 4 4 6" xfId="2044"/>
    <cellStyle name="Input cel 4 5" xfId="653"/>
    <cellStyle name="Input cel 4 5 2" xfId="1883"/>
    <cellStyle name="Input cel 4 5 2 2" xfId="3122"/>
    <cellStyle name="Input cel 4 5 3" xfId="1240"/>
    <cellStyle name="Input cel 4 5 3 2" xfId="2481"/>
    <cellStyle name="Input cel 4 5 4" xfId="957"/>
    <cellStyle name="Input cel 4 5 4 2" xfId="3395"/>
    <cellStyle name="Input cel 4 5 5" xfId="2200"/>
    <cellStyle name="Input cel 4 6" xfId="716"/>
    <cellStyle name="Input cel 4 6 2" xfId="1946"/>
    <cellStyle name="Input cel 4 6 2 2" xfId="3185"/>
    <cellStyle name="Input cel 4 6 3" xfId="1628"/>
    <cellStyle name="Input cel 4 6 3 2" xfId="2868"/>
    <cellStyle name="Input cel 4 6 4" xfId="1020"/>
    <cellStyle name="Input cel 4 6 5" xfId="2263"/>
    <cellStyle name="Input cel 4 7" xfId="410"/>
    <cellStyle name="Input cel 4 7 2" xfId="1147"/>
    <cellStyle name="Input cel 4 7 2 2" xfId="2389"/>
    <cellStyle name="Input cel 4 7 3" xfId="1374"/>
    <cellStyle name="Input cel 4 7 4" xfId="2615"/>
    <cellStyle name="Input cel 4 8" xfId="1365"/>
    <cellStyle name="Input cel 4 8 2" xfId="2606"/>
    <cellStyle name="Input cel 4 9" xfId="318"/>
    <cellStyle name="Input cel 4 9 2" xfId="3321"/>
    <cellStyle name="Input cel 5" xfId="319"/>
    <cellStyle name="Input cel 5 2" xfId="477"/>
    <cellStyle name="Input cel 5 2 10" xfId="2120"/>
    <cellStyle name="Input cel 5 2 2" xfId="621"/>
    <cellStyle name="Input cel 5 2 2 2" xfId="1851"/>
    <cellStyle name="Input cel 5 2 2 2 2" xfId="3090"/>
    <cellStyle name="Input cel 5 2 2 3" xfId="1565"/>
    <cellStyle name="Input cel 5 2 2 3 2" xfId="2805"/>
    <cellStyle name="Input cel 5 2 2 4" xfId="1536"/>
    <cellStyle name="Input cel 5 2 2 4 2" xfId="2776"/>
    <cellStyle name="Input cel 5 2 2 5" xfId="925"/>
    <cellStyle name="Input cel 5 2 2 5 2" xfId="3380"/>
    <cellStyle name="Input cel 5 2 2 6" xfId="2168"/>
    <cellStyle name="Input cel 5 2 3" xfId="685"/>
    <cellStyle name="Input cel 5 2 3 2" xfId="1915"/>
    <cellStyle name="Input cel 5 2 3 2 2" xfId="3154"/>
    <cellStyle name="Input cel 5 2 3 3" xfId="1597"/>
    <cellStyle name="Input cel 5 2 3 3 2" xfId="2837"/>
    <cellStyle name="Input cel 5 2 3 4" xfId="989"/>
    <cellStyle name="Input cel 5 2 3 5" xfId="2232"/>
    <cellStyle name="Input cel 5 2 4" xfId="747"/>
    <cellStyle name="Input cel 5 2 4 2" xfId="1977"/>
    <cellStyle name="Input cel 5 2 4 2 2" xfId="3216"/>
    <cellStyle name="Input cel 5 2 4 3" xfId="1655"/>
    <cellStyle name="Input cel 5 2 4 3 2" xfId="2894"/>
    <cellStyle name="Input cel 5 2 4 4" xfId="1051"/>
    <cellStyle name="Input cel 5 2 4 5" xfId="2294"/>
    <cellStyle name="Input cel 5 2 5" xfId="572"/>
    <cellStyle name="Input cel 5 2 5 2" xfId="1814"/>
    <cellStyle name="Input cel 5 2 5 2 2" xfId="3053"/>
    <cellStyle name="Input cel 5 2 5 3" xfId="1498"/>
    <cellStyle name="Input cel 5 2 5 4" xfId="2738"/>
    <cellStyle name="Input cel 5 2 6" xfId="1418"/>
    <cellStyle name="Input cel 5 2 6 2" xfId="2658"/>
    <cellStyle name="Input cel 5 2 7" xfId="1212"/>
    <cellStyle name="Input cel 5 2 7 2" xfId="2453"/>
    <cellStyle name="Input cel 5 2 8" xfId="1309"/>
    <cellStyle name="Input cel 5 2 8 2" xfId="2550"/>
    <cellStyle name="Input cel 5 2 9" xfId="876"/>
    <cellStyle name="Input cel 5 2 9 2" xfId="3350"/>
    <cellStyle name="Input cel 5 3" xfId="334"/>
    <cellStyle name="Input cel 5 3 2" xfId="1774"/>
    <cellStyle name="Input cel 5 3 2 2" xfId="3013"/>
    <cellStyle name="Input cel 5 3 3" xfId="1137"/>
    <cellStyle name="Input cel 5 3 3 2" xfId="2379"/>
    <cellStyle name="Input cel 5 3 4" xfId="804"/>
    <cellStyle name="Input cel 5 3 4 2" xfId="3319"/>
    <cellStyle name="Input cel 5 3 5" xfId="2051"/>
    <cellStyle name="Input cel 5 4" xfId="1808"/>
    <cellStyle name="Input cel 5 4 2" xfId="3047"/>
    <cellStyle name="Input cel 5 5" xfId="1116"/>
    <cellStyle name="Input cel 5 5 2" xfId="2359"/>
    <cellStyle name="Input cel 5 6" xfId="1103"/>
    <cellStyle name="Input cel 5 6 2" xfId="2346"/>
    <cellStyle name="Input cel 5 7" xfId="777"/>
    <cellStyle name="Input cel 5 8" xfId="2025"/>
    <cellStyle name="Input cel 5 9" xfId="292"/>
    <cellStyle name="Input cel 6" xfId="271"/>
    <cellStyle name="Input cel new" xfId="23"/>
    <cellStyle name="Input cel new 2" xfId="24"/>
    <cellStyle name="Input cel new 2 2" xfId="213"/>
    <cellStyle name="Input cel new 2 2 2" xfId="260"/>
    <cellStyle name="Input cel new 2 2 2 2" xfId="407"/>
    <cellStyle name="Input cel new 2 2 2 2 2" xfId="465"/>
    <cellStyle name="Input cel new 2 2 2 2 2 2" xfId="565"/>
    <cellStyle name="Input cel new 2 2 2 2 2 2 2" xfId="1491"/>
    <cellStyle name="Input cel new 2 2 2 2 2 2 3" xfId="2731"/>
    <cellStyle name="Input cel new 2 2 2 2 2 3" xfId="1408"/>
    <cellStyle name="Input cel new 2 2 2 2 2 3 2" xfId="2648"/>
    <cellStyle name="Input cel new 2 2 2 2 2 4" xfId="1703"/>
    <cellStyle name="Input cel new 2 2 2 2 2 4 2" xfId="2942"/>
    <cellStyle name="Input cel new 2 2 2 2 2 5" xfId="1230"/>
    <cellStyle name="Input cel new 2 2 2 2 2 5 2" xfId="2471"/>
    <cellStyle name="Input cel new 2 2 2 2 2 6" xfId="869"/>
    <cellStyle name="Input cel new 2 2 2 2 2 6 2" xfId="3344"/>
    <cellStyle name="Input cel new 2 2 2 2 2 7" xfId="2113"/>
    <cellStyle name="Input cel new 2 2 2 2 3" xfId="614"/>
    <cellStyle name="Input cel new 2 2 2 2 3 2" xfId="1844"/>
    <cellStyle name="Input cel new 2 2 2 2 3 2 2" xfId="3083"/>
    <cellStyle name="Input cel new 2 2 2 2 3 3" xfId="1251"/>
    <cellStyle name="Input cel new 2 2 2 2 3 3 2" xfId="2492"/>
    <cellStyle name="Input cel new 2 2 2 2 3 4" xfId="1292"/>
    <cellStyle name="Input cel new 2 2 2 2 3 4 2" xfId="2533"/>
    <cellStyle name="Input cel new 2 2 2 2 3 5" xfId="918"/>
    <cellStyle name="Input cel new 2 2 2 2 3 6" xfId="2161"/>
    <cellStyle name="Input cel new 2 2 2 2 4" xfId="678"/>
    <cellStyle name="Input cel new 2 2 2 2 4 2" xfId="1908"/>
    <cellStyle name="Input cel new 2 2 2 2 4 2 2" xfId="3147"/>
    <cellStyle name="Input cel new 2 2 2 2 4 3" xfId="1590"/>
    <cellStyle name="Input cel new 2 2 2 2 4 3 2" xfId="2830"/>
    <cellStyle name="Input cel new 2 2 2 2 4 4" xfId="982"/>
    <cellStyle name="Input cel new 2 2 2 2 4 5" xfId="2225"/>
    <cellStyle name="Input cel new 2 2 2 2 5" xfId="740"/>
    <cellStyle name="Input cel new 2 2 2 2 5 2" xfId="1970"/>
    <cellStyle name="Input cel new 2 2 2 2 5 2 2" xfId="3209"/>
    <cellStyle name="Input cel new 2 2 2 2 5 3" xfId="1648"/>
    <cellStyle name="Input cel new 2 2 2 2 5 3 2" xfId="2887"/>
    <cellStyle name="Input cel new 2 2 2 2 5 4" xfId="1044"/>
    <cellStyle name="Input cel new 2 2 2 2 5 5" xfId="2287"/>
    <cellStyle name="Input cel new 2 2 2 2 6" xfId="545"/>
    <cellStyle name="Input cel new 2 2 2 2 6 2" xfId="1472"/>
    <cellStyle name="Input cel new 2 2 2 2 6 3" xfId="2712"/>
    <cellStyle name="Input cel new 2 2 2 2 7" xfId="1172"/>
    <cellStyle name="Input cel new 2 2 2 2 7 2" xfId="2414"/>
    <cellStyle name="Input cel new 2 2 2 2 8" xfId="846"/>
    <cellStyle name="Input cel new 2 2 2 2 8 2" xfId="3278"/>
    <cellStyle name="Input cel new 2 2 2 2 9" xfId="2090"/>
    <cellStyle name="Input cel new 2 2 2 3" xfId="389"/>
    <cellStyle name="Input cel new 2 2 2 3 10" xfId="2072"/>
    <cellStyle name="Input cel new 2 2 2 3 2" xfId="448"/>
    <cellStyle name="Input cel new 2 2 2 3 2 2" xfId="597"/>
    <cellStyle name="Input cel new 2 2 2 3 2 2 2" xfId="1827"/>
    <cellStyle name="Input cel new 2 2 2 3 2 2 2 2" xfId="3066"/>
    <cellStyle name="Input cel new 2 2 2 3 2 2 3" xfId="1522"/>
    <cellStyle name="Input cel new 2 2 2 3 2 2 4" xfId="2762"/>
    <cellStyle name="Input cel new 2 2 2 3 2 3" xfId="1742"/>
    <cellStyle name="Input cel new 2 2 2 3 2 3 2" xfId="2981"/>
    <cellStyle name="Input cel new 2 2 2 3 2 4" xfId="1275"/>
    <cellStyle name="Input cel new 2 2 2 3 2 4 2" xfId="2516"/>
    <cellStyle name="Input cel new 2 2 2 3 2 5" xfId="901"/>
    <cellStyle name="Input cel new 2 2 2 3 2 5 2" xfId="3374"/>
    <cellStyle name="Input cel new 2 2 2 3 2 6" xfId="2144"/>
    <cellStyle name="Input cel new 2 2 2 3 3" xfId="646"/>
    <cellStyle name="Input cel new 2 2 2 3 3 2" xfId="1561"/>
    <cellStyle name="Input cel new 2 2 2 3 3 2 2" xfId="2801"/>
    <cellStyle name="Input cel new 2 2 2 3 3 3" xfId="1876"/>
    <cellStyle name="Input cel new 2 2 2 3 3 3 2" xfId="3115"/>
    <cellStyle name="Input cel new 2 2 2 3 3 4" xfId="1335"/>
    <cellStyle name="Input cel new 2 2 2 3 3 4 2" xfId="2576"/>
    <cellStyle name="Input cel new 2 2 2 3 3 5" xfId="950"/>
    <cellStyle name="Input cel new 2 2 2 3 3 6" xfId="2193"/>
    <cellStyle name="Input cel new 2 2 2 3 4" xfId="710"/>
    <cellStyle name="Input cel new 2 2 2 3 4 2" xfId="1940"/>
    <cellStyle name="Input cel new 2 2 2 3 4 2 2" xfId="3179"/>
    <cellStyle name="Input cel new 2 2 2 3 4 3" xfId="1622"/>
    <cellStyle name="Input cel new 2 2 2 3 4 3 2" xfId="2862"/>
    <cellStyle name="Input cel new 2 2 2 3 4 4" xfId="1014"/>
    <cellStyle name="Input cel new 2 2 2 3 4 5" xfId="2257"/>
    <cellStyle name="Input cel new 2 2 2 3 5" xfId="771"/>
    <cellStyle name="Input cel new 2 2 2 3 5 2" xfId="2001"/>
    <cellStyle name="Input cel new 2 2 2 3 5 2 2" xfId="3240"/>
    <cellStyle name="Input cel new 2 2 2 3 5 3" xfId="1679"/>
    <cellStyle name="Input cel new 2 2 2 3 5 3 2" xfId="2918"/>
    <cellStyle name="Input cel new 2 2 2 3 5 4" xfId="1075"/>
    <cellStyle name="Input cel new 2 2 2 3 5 5" xfId="2318"/>
    <cellStyle name="Input cel new 2 2 2 3 6" xfId="527"/>
    <cellStyle name="Input cel new 2 2 2 3 6 2" xfId="1454"/>
    <cellStyle name="Input cel new 2 2 2 3 6 3" xfId="2694"/>
    <cellStyle name="Input cel new 2 2 2 3 7" xfId="1294"/>
    <cellStyle name="Input cel new 2 2 2 3 7 2" xfId="2535"/>
    <cellStyle name="Input cel new 2 2 2 3 8" xfId="1099"/>
    <cellStyle name="Input cel new 2 2 2 3 8 2" xfId="2342"/>
    <cellStyle name="Input cel new 2 2 2 3 9" xfId="828"/>
    <cellStyle name="Input cel new 2 2 2 3 9 2" xfId="3285"/>
    <cellStyle name="Input cel new 2 2 2 4" xfId="417"/>
    <cellStyle name="Input cel new 2 2 2 4 2" xfId="1379"/>
    <cellStyle name="Input cel new 2 2 2 4 2 2" xfId="2620"/>
    <cellStyle name="Input cel new 2 2 2 4 3" xfId="1682"/>
    <cellStyle name="Input cel new 2 2 2 4 3 2" xfId="2921"/>
    <cellStyle name="Input cel new 2 2 2 4 4" xfId="776"/>
    <cellStyle name="Input cel new 2 2 2 4 4 2" xfId="3262"/>
    <cellStyle name="Input cel new 2 2 2 4 5" xfId="2024"/>
    <cellStyle name="Input cel new 2 2 2 5" xfId="660"/>
    <cellStyle name="Input cel new 2 2 2 5 2" xfId="1572"/>
    <cellStyle name="Input cel new 2 2 2 5 2 2" xfId="1890"/>
    <cellStyle name="Input cel new 2 2 2 5 2 2 2" xfId="3129"/>
    <cellStyle name="Input cel new 2 2 2 5 2 3" xfId="2812"/>
    <cellStyle name="Input cel new 2 2 2 5 3" xfId="1322"/>
    <cellStyle name="Input cel new 2 2 2 5 3 2" xfId="2563"/>
    <cellStyle name="Input cel new 2 2 2 5 4" xfId="1210"/>
    <cellStyle name="Input cel new 2 2 2 5 4 2" xfId="2451"/>
    <cellStyle name="Input cel new 2 2 2 5 5" xfId="964"/>
    <cellStyle name="Input cel new 2 2 2 5 5 2" xfId="3402"/>
    <cellStyle name="Input cel new 2 2 2 5 6" xfId="2207"/>
    <cellStyle name="Input cel new 2 2 2 6" xfId="723"/>
    <cellStyle name="Input cel new 2 2 2 6 2" xfId="1953"/>
    <cellStyle name="Input cel new 2 2 2 6 2 2" xfId="3192"/>
    <cellStyle name="Input cel new 2 2 2 6 3" xfId="1247"/>
    <cellStyle name="Input cel new 2 2 2 6 3 2" xfId="2488"/>
    <cellStyle name="Input cel new 2 2 2 6 4" xfId="1027"/>
    <cellStyle name="Input cel new 2 2 2 6 5" xfId="2270"/>
    <cellStyle name="Input cel new 2 2 2 7" xfId="490"/>
    <cellStyle name="Input cel new 2 2 2 7 2" xfId="1687"/>
    <cellStyle name="Input cel new 2 2 2 7 2 2" xfId="2926"/>
    <cellStyle name="Input cel new 2 2 2 7 3" xfId="1427"/>
    <cellStyle name="Input cel new 2 2 2 7 4" xfId="2667"/>
    <cellStyle name="Input cel new 2 2 2 8" xfId="426"/>
    <cellStyle name="Input cel new 2 2 2 8 2" xfId="3320"/>
    <cellStyle name="Input cel new 2 2 2 9" xfId="434"/>
    <cellStyle name="Input cel new 2 2 3" xfId="336"/>
    <cellStyle name="Input cel new 2 2 3 2" xfId="482"/>
    <cellStyle name="Input cel new 2 2 3 2 2" xfId="629"/>
    <cellStyle name="Input cel new 2 2 3 2 2 2" xfId="1544"/>
    <cellStyle name="Input cel new 2 2 3 2 2 2 2" xfId="1859"/>
    <cellStyle name="Input cel new 2 2 3 2 2 2 2 2" xfId="3098"/>
    <cellStyle name="Input cel new 2 2 3 2 2 2 3" xfId="2784"/>
    <cellStyle name="Input cel new 2 2 3 2 2 3" xfId="1725"/>
    <cellStyle name="Input cel new 2 2 3 2 2 3 2" xfId="2964"/>
    <cellStyle name="Input cel new 2 2 3 2 2 4" xfId="1317"/>
    <cellStyle name="Input cel new 2 2 3 2 2 4 2" xfId="2558"/>
    <cellStyle name="Input cel new 2 2 3 2 2 5" xfId="933"/>
    <cellStyle name="Input cel new 2 2 3 2 2 5 2" xfId="3385"/>
    <cellStyle name="Input cel new 2 2 3 2 2 6" xfId="2176"/>
    <cellStyle name="Input cel new 2 2 3 2 3" xfId="693"/>
    <cellStyle name="Input cel new 2 2 3 2 3 2" xfId="1923"/>
    <cellStyle name="Input cel new 2 2 3 2 3 2 2" xfId="3162"/>
    <cellStyle name="Input cel new 2 2 3 2 3 3" xfId="1605"/>
    <cellStyle name="Input cel new 2 2 3 2 3 3 2" xfId="2845"/>
    <cellStyle name="Input cel new 2 2 3 2 3 4" xfId="997"/>
    <cellStyle name="Input cel new 2 2 3 2 3 5" xfId="2240"/>
    <cellStyle name="Input cel new 2 2 3 2 4" xfId="755"/>
    <cellStyle name="Input cel new 2 2 3 2 4 2" xfId="1985"/>
    <cellStyle name="Input cel new 2 2 3 2 4 2 2" xfId="3224"/>
    <cellStyle name="Input cel new 2 2 3 2 4 3" xfId="1663"/>
    <cellStyle name="Input cel new 2 2 3 2 4 3 2" xfId="2902"/>
    <cellStyle name="Input cel new 2 2 3 2 4 4" xfId="1059"/>
    <cellStyle name="Input cel new 2 2 3 2 4 5" xfId="2302"/>
    <cellStyle name="Input cel new 2 2 3 2 5" xfId="580"/>
    <cellStyle name="Input cel new 2 2 3 2 5 2" xfId="1819"/>
    <cellStyle name="Input cel new 2 2 3 2 5 2 2" xfId="3058"/>
    <cellStyle name="Input cel new 2 2 3 2 5 3" xfId="1506"/>
    <cellStyle name="Input cel new 2 2 3 2 5 4" xfId="2746"/>
    <cellStyle name="Input cel new 2 2 3 2 6" xfId="1527"/>
    <cellStyle name="Input cel new 2 2 3 2 6 2" xfId="2767"/>
    <cellStyle name="Input cel new 2 2 3 2 7" xfId="1150"/>
    <cellStyle name="Input cel new 2 2 3 2 7 2" xfId="2392"/>
    <cellStyle name="Input cel new 2 2 3 2 8" xfId="884"/>
    <cellStyle name="Input cel new 2 2 3 2 8 2" xfId="3358"/>
    <cellStyle name="Input cel new 2 2 3 2 9" xfId="2128"/>
    <cellStyle name="Input cel new 2 2 3 3" xfId="376"/>
    <cellStyle name="Input cel new 2 2 3 3 2" xfId="1783"/>
    <cellStyle name="Input cel new 2 2 3 3 2 2" xfId="3022"/>
    <cellStyle name="Input cel new 2 2 3 3 3" xfId="1359"/>
    <cellStyle name="Input cel new 2 2 3 3 3 2" xfId="2600"/>
    <cellStyle name="Input cel new 2 2 3 3 4" xfId="816"/>
    <cellStyle name="Input cel new 2 2 3 3 4 2" xfId="3261"/>
    <cellStyle name="Input cel new 2 2 3 3 5" xfId="2060"/>
    <cellStyle name="Input cel new 2 2 3 4" xfId="1761"/>
    <cellStyle name="Input cel new 2 2 3 4 2" xfId="3000"/>
    <cellStyle name="Input cel new 2 2 3 5" xfId="1417"/>
    <cellStyle name="Input cel new 2 2 3 5 2" xfId="2657"/>
    <cellStyle name="Input cel new 2 2 3 6" xfId="791"/>
    <cellStyle name="Input cel new 2 2 3 7" xfId="2039"/>
    <cellStyle name="Input cel new 2 2 3 8" xfId="282"/>
    <cellStyle name="Input cel new 2 2 4" xfId="1081"/>
    <cellStyle name="Input cel new 2 2 4 2" xfId="2324"/>
    <cellStyle name="Input cel new 2 2 5" xfId="297"/>
    <cellStyle name="Input cel new 2 3" xfId="257"/>
    <cellStyle name="Input cel new 2 3 2" xfId="404"/>
    <cellStyle name="Input cel new 2 3 2 2" xfId="462"/>
    <cellStyle name="Input cel new 2 3 2 2 2" xfId="562"/>
    <cellStyle name="Input cel new 2 3 2 2 2 2" xfId="1488"/>
    <cellStyle name="Input cel new 2 3 2 2 2 3" xfId="2728"/>
    <cellStyle name="Input cel new 2 3 2 2 3" xfId="1405"/>
    <cellStyle name="Input cel new 2 3 2 2 3 2" xfId="2645"/>
    <cellStyle name="Input cel new 2 3 2 2 4" xfId="1700"/>
    <cellStyle name="Input cel new 2 3 2 2 4 2" xfId="2939"/>
    <cellStyle name="Input cel new 2 3 2 2 5" xfId="1227"/>
    <cellStyle name="Input cel new 2 3 2 2 5 2" xfId="2468"/>
    <cellStyle name="Input cel new 2 3 2 2 6" xfId="866"/>
    <cellStyle name="Input cel new 2 3 2 2 6 2" xfId="3341"/>
    <cellStyle name="Input cel new 2 3 2 2 7" xfId="2110"/>
    <cellStyle name="Input cel new 2 3 2 3" xfId="611"/>
    <cellStyle name="Input cel new 2 3 2 3 2" xfId="1841"/>
    <cellStyle name="Input cel new 2 3 2 3 2 2" xfId="3080"/>
    <cellStyle name="Input cel new 2 3 2 3 3" xfId="1370"/>
    <cellStyle name="Input cel new 2 3 2 3 3 2" xfId="2611"/>
    <cellStyle name="Input cel new 2 3 2 3 4" xfId="1289"/>
    <cellStyle name="Input cel new 2 3 2 3 4 2" xfId="2530"/>
    <cellStyle name="Input cel new 2 3 2 3 5" xfId="915"/>
    <cellStyle name="Input cel new 2 3 2 3 6" xfId="2158"/>
    <cellStyle name="Input cel new 2 3 2 4" xfId="675"/>
    <cellStyle name="Input cel new 2 3 2 4 2" xfId="1905"/>
    <cellStyle name="Input cel new 2 3 2 4 2 2" xfId="3144"/>
    <cellStyle name="Input cel new 2 3 2 4 3" xfId="1587"/>
    <cellStyle name="Input cel new 2 3 2 4 3 2" xfId="2827"/>
    <cellStyle name="Input cel new 2 3 2 4 4" xfId="979"/>
    <cellStyle name="Input cel new 2 3 2 4 5" xfId="2222"/>
    <cellStyle name="Input cel new 2 3 2 5" xfId="737"/>
    <cellStyle name="Input cel new 2 3 2 5 2" xfId="1967"/>
    <cellStyle name="Input cel new 2 3 2 5 2 2" xfId="3206"/>
    <cellStyle name="Input cel new 2 3 2 5 3" xfId="1645"/>
    <cellStyle name="Input cel new 2 3 2 5 3 2" xfId="2884"/>
    <cellStyle name="Input cel new 2 3 2 5 4" xfId="1041"/>
    <cellStyle name="Input cel new 2 3 2 5 5" xfId="2284"/>
    <cellStyle name="Input cel new 2 3 2 6" xfId="542"/>
    <cellStyle name="Input cel new 2 3 2 6 2" xfId="1469"/>
    <cellStyle name="Input cel new 2 3 2 6 3" xfId="2709"/>
    <cellStyle name="Input cel new 2 3 2 7" xfId="1110"/>
    <cellStyle name="Input cel new 2 3 2 7 2" xfId="2353"/>
    <cellStyle name="Input cel new 2 3 2 8" xfId="843"/>
    <cellStyle name="Input cel new 2 3 2 8 2" xfId="3279"/>
    <cellStyle name="Input cel new 2 3 2 9" xfId="2087"/>
    <cellStyle name="Input cel new 2 3 3" xfId="386"/>
    <cellStyle name="Input cel new 2 3 3 10" xfId="2069"/>
    <cellStyle name="Input cel new 2 3 3 2" xfId="445"/>
    <cellStyle name="Input cel new 2 3 3 2 2" xfId="594"/>
    <cellStyle name="Input cel new 2 3 3 2 2 2" xfId="1824"/>
    <cellStyle name="Input cel new 2 3 3 2 2 2 2" xfId="3063"/>
    <cellStyle name="Input cel new 2 3 3 2 2 3" xfId="1519"/>
    <cellStyle name="Input cel new 2 3 3 2 2 4" xfId="2759"/>
    <cellStyle name="Input cel new 2 3 3 2 3" xfId="1739"/>
    <cellStyle name="Input cel new 2 3 3 2 3 2" xfId="2978"/>
    <cellStyle name="Input cel new 2 3 3 2 4" xfId="1272"/>
    <cellStyle name="Input cel new 2 3 3 2 4 2" xfId="2513"/>
    <cellStyle name="Input cel new 2 3 3 2 5" xfId="898"/>
    <cellStyle name="Input cel new 2 3 3 2 5 2" xfId="3371"/>
    <cellStyle name="Input cel new 2 3 3 2 6" xfId="2141"/>
    <cellStyle name="Input cel new 2 3 3 3" xfId="643"/>
    <cellStyle name="Input cel new 2 3 3 3 2" xfId="1558"/>
    <cellStyle name="Input cel new 2 3 3 3 2 2" xfId="2798"/>
    <cellStyle name="Input cel new 2 3 3 3 3" xfId="1873"/>
    <cellStyle name="Input cel new 2 3 3 3 3 2" xfId="3112"/>
    <cellStyle name="Input cel new 2 3 3 3 4" xfId="1332"/>
    <cellStyle name="Input cel new 2 3 3 3 4 2" xfId="2573"/>
    <cellStyle name="Input cel new 2 3 3 3 5" xfId="947"/>
    <cellStyle name="Input cel new 2 3 3 3 6" xfId="2190"/>
    <cellStyle name="Input cel new 2 3 3 4" xfId="707"/>
    <cellStyle name="Input cel new 2 3 3 4 2" xfId="1937"/>
    <cellStyle name="Input cel new 2 3 3 4 2 2" xfId="3176"/>
    <cellStyle name="Input cel new 2 3 3 4 3" xfId="1619"/>
    <cellStyle name="Input cel new 2 3 3 4 3 2" xfId="2859"/>
    <cellStyle name="Input cel new 2 3 3 4 4" xfId="1011"/>
    <cellStyle name="Input cel new 2 3 3 4 5" xfId="2254"/>
    <cellStyle name="Input cel new 2 3 3 5" xfId="768"/>
    <cellStyle name="Input cel new 2 3 3 5 2" xfId="1998"/>
    <cellStyle name="Input cel new 2 3 3 5 2 2" xfId="3237"/>
    <cellStyle name="Input cel new 2 3 3 5 3" xfId="1676"/>
    <cellStyle name="Input cel new 2 3 3 5 3 2" xfId="2915"/>
    <cellStyle name="Input cel new 2 3 3 5 4" xfId="1072"/>
    <cellStyle name="Input cel new 2 3 3 5 5" xfId="2315"/>
    <cellStyle name="Input cel new 2 3 3 6" xfId="524"/>
    <cellStyle name="Input cel new 2 3 3 6 2" xfId="1451"/>
    <cellStyle name="Input cel new 2 3 3 6 3" xfId="2691"/>
    <cellStyle name="Input cel new 2 3 3 7" xfId="1138"/>
    <cellStyle name="Input cel new 2 3 3 7 2" xfId="2380"/>
    <cellStyle name="Input cel new 2 3 3 8" xfId="1096"/>
    <cellStyle name="Input cel new 2 3 3 8 2" xfId="2339"/>
    <cellStyle name="Input cel new 2 3 3 9" xfId="825"/>
    <cellStyle name="Input cel new 2 3 3 9 2" xfId="3249"/>
    <cellStyle name="Input cel new 2 3 4" xfId="372"/>
    <cellStyle name="Input cel new 2 3 4 2" xfId="1356"/>
    <cellStyle name="Input cel new 2 3 4 2 2" xfId="2597"/>
    <cellStyle name="Input cel new 2 3 4 3" xfId="1302"/>
    <cellStyle name="Input cel new 2 3 4 3 2" xfId="2543"/>
    <cellStyle name="Input cel new 2 3 4 4" xfId="313"/>
    <cellStyle name="Input cel new 2 3 4 4 2" xfId="3296"/>
    <cellStyle name="Input cel new 2 3 4 5" xfId="2005"/>
    <cellStyle name="Input cel new 2 3 5" xfId="657"/>
    <cellStyle name="Input cel new 2 3 5 2" xfId="1569"/>
    <cellStyle name="Input cel new 2 3 5 2 2" xfId="1887"/>
    <cellStyle name="Input cel new 2 3 5 2 2 2" xfId="3126"/>
    <cellStyle name="Input cel new 2 3 5 2 3" xfId="2809"/>
    <cellStyle name="Input cel new 2 3 5 3" xfId="1185"/>
    <cellStyle name="Input cel new 2 3 5 3 2" xfId="2426"/>
    <cellStyle name="Input cel new 2 3 5 4" xfId="1207"/>
    <cellStyle name="Input cel new 2 3 5 4 2" xfId="2448"/>
    <cellStyle name="Input cel new 2 3 5 5" xfId="961"/>
    <cellStyle name="Input cel new 2 3 5 5 2" xfId="3399"/>
    <cellStyle name="Input cel new 2 3 5 6" xfId="2204"/>
    <cellStyle name="Input cel new 2 3 6" xfId="720"/>
    <cellStyle name="Input cel new 2 3 6 2" xfId="1950"/>
    <cellStyle name="Input cel new 2 3 6 2 2" xfId="3189"/>
    <cellStyle name="Input cel new 2 3 6 3" xfId="1244"/>
    <cellStyle name="Input cel new 2 3 6 3 2" xfId="2485"/>
    <cellStyle name="Input cel new 2 3 6 4" xfId="1024"/>
    <cellStyle name="Input cel new 2 3 6 5" xfId="2267"/>
    <cellStyle name="Input cel new 2 3 7" xfId="488"/>
    <cellStyle name="Input cel new 2 3 7 2" xfId="1363"/>
    <cellStyle name="Input cel new 2 3 7 2 2" xfId="2604"/>
    <cellStyle name="Input cel new 2 3 7 3" xfId="1426"/>
    <cellStyle name="Input cel new 2 3 7 4" xfId="2666"/>
    <cellStyle name="Input cel new 2 3 8" xfId="272"/>
    <cellStyle name="Input cel new 2 3 8 2" xfId="3313"/>
    <cellStyle name="Input cel new 2 3 9" xfId="360"/>
    <cellStyle name="Input cel new 2 4" xfId="277"/>
    <cellStyle name="Input cel new 2 4 2" xfId="476"/>
    <cellStyle name="Input cel new 2 4 2 2" xfId="620"/>
    <cellStyle name="Input cel new 2 4 2 2 2" xfId="1535"/>
    <cellStyle name="Input cel new 2 4 2 2 2 2" xfId="1850"/>
    <cellStyle name="Input cel new 2 4 2 2 2 2 2" xfId="3089"/>
    <cellStyle name="Input cel new 2 4 2 2 2 3" xfId="2775"/>
    <cellStyle name="Input cel new 2 4 2 2 3" xfId="1722"/>
    <cellStyle name="Input cel new 2 4 2 2 3 2" xfId="2961"/>
    <cellStyle name="Input cel new 2 4 2 2 4" xfId="1308"/>
    <cellStyle name="Input cel new 2 4 2 2 4 2" xfId="2549"/>
    <cellStyle name="Input cel new 2 4 2 2 5" xfId="924"/>
    <cellStyle name="Input cel new 2 4 2 2 5 2" xfId="3379"/>
    <cellStyle name="Input cel new 2 4 2 2 6" xfId="2167"/>
    <cellStyle name="Input cel new 2 4 2 3" xfId="684"/>
    <cellStyle name="Input cel new 2 4 2 3 2" xfId="1914"/>
    <cellStyle name="Input cel new 2 4 2 3 2 2" xfId="3153"/>
    <cellStyle name="Input cel new 2 4 2 3 3" xfId="1596"/>
    <cellStyle name="Input cel new 2 4 2 3 3 2" xfId="2836"/>
    <cellStyle name="Input cel new 2 4 2 3 4" xfId="988"/>
    <cellStyle name="Input cel new 2 4 2 3 5" xfId="2231"/>
    <cellStyle name="Input cel new 2 4 2 4" xfId="746"/>
    <cellStyle name="Input cel new 2 4 2 4 2" xfId="1976"/>
    <cellStyle name="Input cel new 2 4 2 4 2 2" xfId="3215"/>
    <cellStyle name="Input cel new 2 4 2 4 3" xfId="1654"/>
    <cellStyle name="Input cel new 2 4 2 4 3 2" xfId="2893"/>
    <cellStyle name="Input cel new 2 4 2 4 4" xfId="1050"/>
    <cellStyle name="Input cel new 2 4 2 4 5" xfId="2293"/>
    <cellStyle name="Input cel new 2 4 2 5" xfId="571"/>
    <cellStyle name="Input cel new 2 4 2 5 2" xfId="1813"/>
    <cellStyle name="Input cel new 2 4 2 5 2 2" xfId="3052"/>
    <cellStyle name="Input cel new 2 4 2 5 3" xfId="1497"/>
    <cellStyle name="Input cel new 2 4 2 5 4" xfId="2737"/>
    <cellStyle name="Input cel new 2 4 2 6" xfId="1387"/>
    <cellStyle name="Input cel new 2 4 2 6 2" xfId="2628"/>
    <cellStyle name="Input cel new 2 4 2 7" xfId="1153"/>
    <cellStyle name="Input cel new 2 4 2 7 2" xfId="2395"/>
    <cellStyle name="Input cel new 2 4 2 8" xfId="875"/>
    <cellStyle name="Input cel new 2 4 2 8 2" xfId="3349"/>
    <cellStyle name="Input cel new 2 4 2 9" xfId="2119"/>
    <cellStyle name="Input cel new 2 4 3" xfId="331"/>
    <cellStyle name="Input cel new 2 4 3 2" xfId="1782"/>
    <cellStyle name="Input cel new 2 4 3 2 2" xfId="3021"/>
    <cellStyle name="Input cel new 2 4 3 3" xfId="1198"/>
    <cellStyle name="Input cel new 2 4 3 3 2" xfId="2439"/>
    <cellStyle name="Input cel new 2 4 3 4" xfId="815"/>
    <cellStyle name="Input cel new 2 4 3 4 2" xfId="3255"/>
    <cellStyle name="Input cel new 2 4 3 5" xfId="2059"/>
    <cellStyle name="Input cel new 2 4 4" xfId="1747"/>
    <cellStyle name="Input cel new 2 4 4 2" xfId="2986"/>
    <cellStyle name="Input cel new 2 4 5" xfId="1632"/>
    <cellStyle name="Input cel new 2 4 5 2" xfId="2871"/>
    <cellStyle name="Input cel new 2 4 6" xfId="492"/>
    <cellStyle name="Input cel new 2 4 7" xfId="2008"/>
    <cellStyle name="Input cel new 2 4 8" xfId="497"/>
    <cellStyle name="Input cel new 2 5" xfId="785"/>
    <cellStyle name="Input cel new 2 5 2" xfId="2033"/>
    <cellStyle name="Input cel new 2 6" xfId="1078"/>
    <cellStyle name="Input cel new 2 6 2" xfId="2321"/>
    <cellStyle name="Input cel new 2 7" xfId="299"/>
    <cellStyle name="Input cel new 3" xfId="25"/>
    <cellStyle name="Input cel new 3 2" xfId="214"/>
    <cellStyle name="Input cel new 3 2 2" xfId="261"/>
    <cellStyle name="Input cel new 3 2 2 2" xfId="408"/>
    <cellStyle name="Input cel new 3 2 2 2 2" xfId="466"/>
    <cellStyle name="Input cel new 3 2 2 2 2 2" xfId="566"/>
    <cellStyle name="Input cel new 3 2 2 2 2 2 2" xfId="1492"/>
    <cellStyle name="Input cel new 3 2 2 2 2 2 3" xfId="2732"/>
    <cellStyle name="Input cel new 3 2 2 2 2 3" xfId="1409"/>
    <cellStyle name="Input cel new 3 2 2 2 2 3 2" xfId="2649"/>
    <cellStyle name="Input cel new 3 2 2 2 2 4" xfId="1704"/>
    <cellStyle name="Input cel new 3 2 2 2 2 4 2" xfId="2943"/>
    <cellStyle name="Input cel new 3 2 2 2 2 5" xfId="1231"/>
    <cellStyle name="Input cel new 3 2 2 2 2 5 2" xfId="2472"/>
    <cellStyle name="Input cel new 3 2 2 2 2 6" xfId="870"/>
    <cellStyle name="Input cel new 3 2 2 2 2 6 2" xfId="3345"/>
    <cellStyle name="Input cel new 3 2 2 2 2 7" xfId="2114"/>
    <cellStyle name="Input cel new 3 2 2 2 3" xfId="615"/>
    <cellStyle name="Input cel new 3 2 2 2 3 2" xfId="1845"/>
    <cellStyle name="Input cel new 3 2 2 2 3 2 2" xfId="3084"/>
    <cellStyle name="Input cel new 3 2 2 2 3 3" xfId="1186"/>
    <cellStyle name="Input cel new 3 2 2 2 3 3 2" xfId="2427"/>
    <cellStyle name="Input cel new 3 2 2 2 3 4" xfId="1293"/>
    <cellStyle name="Input cel new 3 2 2 2 3 4 2" xfId="2534"/>
    <cellStyle name="Input cel new 3 2 2 2 3 5" xfId="919"/>
    <cellStyle name="Input cel new 3 2 2 2 3 6" xfId="2162"/>
    <cellStyle name="Input cel new 3 2 2 2 4" xfId="679"/>
    <cellStyle name="Input cel new 3 2 2 2 4 2" xfId="1909"/>
    <cellStyle name="Input cel new 3 2 2 2 4 2 2" xfId="3148"/>
    <cellStyle name="Input cel new 3 2 2 2 4 3" xfId="1591"/>
    <cellStyle name="Input cel new 3 2 2 2 4 3 2" xfId="2831"/>
    <cellStyle name="Input cel new 3 2 2 2 4 4" xfId="983"/>
    <cellStyle name="Input cel new 3 2 2 2 4 5" xfId="2226"/>
    <cellStyle name="Input cel new 3 2 2 2 5" xfId="741"/>
    <cellStyle name="Input cel new 3 2 2 2 5 2" xfId="1971"/>
    <cellStyle name="Input cel new 3 2 2 2 5 2 2" xfId="3210"/>
    <cellStyle name="Input cel new 3 2 2 2 5 3" xfId="1649"/>
    <cellStyle name="Input cel new 3 2 2 2 5 3 2" xfId="2888"/>
    <cellStyle name="Input cel new 3 2 2 2 5 4" xfId="1045"/>
    <cellStyle name="Input cel new 3 2 2 2 5 5" xfId="2288"/>
    <cellStyle name="Input cel new 3 2 2 2 6" xfId="546"/>
    <cellStyle name="Input cel new 3 2 2 2 6 2" xfId="1473"/>
    <cellStyle name="Input cel new 3 2 2 2 6 3" xfId="2713"/>
    <cellStyle name="Input cel new 3 2 2 2 7" xfId="1119"/>
    <cellStyle name="Input cel new 3 2 2 2 7 2" xfId="2361"/>
    <cellStyle name="Input cel new 3 2 2 2 8" xfId="847"/>
    <cellStyle name="Input cel new 3 2 2 2 8 2" xfId="3256"/>
    <cellStyle name="Input cel new 3 2 2 2 9" xfId="2091"/>
    <cellStyle name="Input cel new 3 2 2 3" xfId="390"/>
    <cellStyle name="Input cel new 3 2 2 3 10" xfId="2073"/>
    <cellStyle name="Input cel new 3 2 2 3 2" xfId="449"/>
    <cellStyle name="Input cel new 3 2 2 3 2 2" xfId="598"/>
    <cellStyle name="Input cel new 3 2 2 3 2 2 2" xfId="1828"/>
    <cellStyle name="Input cel new 3 2 2 3 2 2 2 2" xfId="3067"/>
    <cellStyle name="Input cel new 3 2 2 3 2 2 3" xfId="1523"/>
    <cellStyle name="Input cel new 3 2 2 3 2 2 4" xfId="2763"/>
    <cellStyle name="Input cel new 3 2 2 3 2 3" xfId="1743"/>
    <cellStyle name="Input cel new 3 2 2 3 2 3 2" xfId="2982"/>
    <cellStyle name="Input cel new 3 2 2 3 2 4" xfId="1276"/>
    <cellStyle name="Input cel new 3 2 2 3 2 4 2" xfId="2517"/>
    <cellStyle name="Input cel new 3 2 2 3 2 5" xfId="902"/>
    <cellStyle name="Input cel new 3 2 2 3 2 5 2" xfId="3375"/>
    <cellStyle name="Input cel new 3 2 2 3 2 6" xfId="2145"/>
    <cellStyle name="Input cel new 3 2 2 3 3" xfId="647"/>
    <cellStyle name="Input cel new 3 2 2 3 3 2" xfId="1562"/>
    <cellStyle name="Input cel new 3 2 2 3 3 2 2" xfId="2802"/>
    <cellStyle name="Input cel new 3 2 2 3 3 3" xfId="1877"/>
    <cellStyle name="Input cel new 3 2 2 3 3 3 2" xfId="3116"/>
    <cellStyle name="Input cel new 3 2 2 3 3 4" xfId="1336"/>
    <cellStyle name="Input cel new 3 2 2 3 3 4 2" xfId="2577"/>
    <cellStyle name="Input cel new 3 2 2 3 3 5" xfId="951"/>
    <cellStyle name="Input cel new 3 2 2 3 3 6" xfId="2194"/>
    <cellStyle name="Input cel new 3 2 2 3 4" xfId="711"/>
    <cellStyle name="Input cel new 3 2 2 3 4 2" xfId="1941"/>
    <cellStyle name="Input cel new 3 2 2 3 4 2 2" xfId="3180"/>
    <cellStyle name="Input cel new 3 2 2 3 4 3" xfId="1623"/>
    <cellStyle name="Input cel new 3 2 2 3 4 3 2" xfId="2863"/>
    <cellStyle name="Input cel new 3 2 2 3 4 4" xfId="1015"/>
    <cellStyle name="Input cel new 3 2 2 3 4 5" xfId="2258"/>
    <cellStyle name="Input cel new 3 2 2 3 5" xfId="772"/>
    <cellStyle name="Input cel new 3 2 2 3 5 2" xfId="2002"/>
    <cellStyle name="Input cel new 3 2 2 3 5 2 2" xfId="3241"/>
    <cellStyle name="Input cel new 3 2 2 3 5 3" xfId="1680"/>
    <cellStyle name="Input cel new 3 2 2 3 5 3 2" xfId="2919"/>
    <cellStyle name="Input cel new 3 2 2 3 5 4" xfId="1076"/>
    <cellStyle name="Input cel new 3 2 2 3 5 5" xfId="2319"/>
    <cellStyle name="Input cel new 3 2 2 3 6" xfId="528"/>
    <cellStyle name="Input cel new 3 2 2 3 6 2" xfId="1455"/>
    <cellStyle name="Input cel new 3 2 2 3 6 3" xfId="2695"/>
    <cellStyle name="Input cel new 3 2 2 3 7" xfId="1299"/>
    <cellStyle name="Input cel new 3 2 2 3 7 2" xfId="2540"/>
    <cellStyle name="Input cel new 3 2 2 3 8" xfId="1100"/>
    <cellStyle name="Input cel new 3 2 2 3 8 2" xfId="2343"/>
    <cellStyle name="Input cel new 3 2 2 3 9" xfId="829"/>
    <cellStyle name="Input cel new 3 2 2 3 9 2" xfId="3277"/>
    <cellStyle name="Input cel new 3 2 2 4" xfId="413"/>
    <cellStyle name="Input cel new 3 2 2 4 2" xfId="1375"/>
    <cellStyle name="Input cel new 3 2 2 4 2 2" xfId="2616"/>
    <cellStyle name="Input cel new 3 2 2 4 3" xfId="1683"/>
    <cellStyle name="Input cel new 3 2 2 4 3 2" xfId="2922"/>
    <cellStyle name="Input cel new 3 2 2 4 4" xfId="781"/>
    <cellStyle name="Input cel new 3 2 2 4 4 2" xfId="3298"/>
    <cellStyle name="Input cel new 3 2 2 4 5" xfId="2029"/>
    <cellStyle name="Input cel new 3 2 2 5" xfId="661"/>
    <cellStyle name="Input cel new 3 2 2 5 2" xfId="1573"/>
    <cellStyle name="Input cel new 3 2 2 5 2 2" xfId="1891"/>
    <cellStyle name="Input cel new 3 2 2 5 2 2 2" xfId="3130"/>
    <cellStyle name="Input cel new 3 2 2 5 2 3" xfId="2813"/>
    <cellStyle name="Input cel new 3 2 2 5 3" xfId="1695"/>
    <cellStyle name="Input cel new 3 2 2 5 3 2" xfId="2934"/>
    <cellStyle name="Input cel new 3 2 2 5 4" xfId="1211"/>
    <cellStyle name="Input cel new 3 2 2 5 4 2" xfId="2452"/>
    <cellStyle name="Input cel new 3 2 2 5 5" xfId="965"/>
    <cellStyle name="Input cel new 3 2 2 5 5 2" xfId="3403"/>
    <cellStyle name="Input cel new 3 2 2 5 6" xfId="2208"/>
    <cellStyle name="Input cel new 3 2 2 6" xfId="724"/>
    <cellStyle name="Input cel new 3 2 2 6 2" xfId="1954"/>
    <cellStyle name="Input cel new 3 2 2 6 2 2" xfId="3193"/>
    <cellStyle name="Input cel new 3 2 2 6 3" xfId="1248"/>
    <cellStyle name="Input cel new 3 2 2 6 3 2" xfId="2489"/>
    <cellStyle name="Input cel new 3 2 2 6 4" xfId="1028"/>
    <cellStyle name="Input cel new 3 2 2 6 5" xfId="2271"/>
    <cellStyle name="Input cel new 3 2 2 7" xfId="469"/>
    <cellStyle name="Input cel new 3 2 2 7 2" xfId="1688"/>
    <cellStyle name="Input cel new 3 2 2 7 2 2" xfId="2927"/>
    <cellStyle name="Input cel new 3 2 2 7 3" xfId="1411"/>
    <cellStyle name="Input cel new 3 2 2 7 4" xfId="2651"/>
    <cellStyle name="Input cel new 3 2 2 8" xfId="300"/>
    <cellStyle name="Input cel new 3 2 2 8 2" xfId="3324"/>
    <cellStyle name="Input cel new 3 2 2 9" xfId="295"/>
    <cellStyle name="Input cel new 3 2 3" xfId="333"/>
    <cellStyle name="Input cel new 3 2 3 2" xfId="481"/>
    <cellStyle name="Input cel new 3 2 3 2 2" xfId="628"/>
    <cellStyle name="Input cel new 3 2 3 2 2 2" xfId="1543"/>
    <cellStyle name="Input cel new 3 2 3 2 2 2 2" xfId="1858"/>
    <cellStyle name="Input cel new 3 2 3 2 2 2 2 2" xfId="3097"/>
    <cellStyle name="Input cel new 3 2 3 2 2 2 3" xfId="2783"/>
    <cellStyle name="Input cel new 3 2 3 2 2 3" xfId="1684"/>
    <cellStyle name="Input cel new 3 2 3 2 2 3 2" xfId="2923"/>
    <cellStyle name="Input cel new 3 2 3 2 2 4" xfId="1316"/>
    <cellStyle name="Input cel new 3 2 3 2 2 4 2" xfId="2557"/>
    <cellStyle name="Input cel new 3 2 3 2 2 5" xfId="932"/>
    <cellStyle name="Input cel new 3 2 3 2 2 5 2" xfId="3384"/>
    <cellStyle name="Input cel new 3 2 3 2 2 6" xfId="2175"/>
    <cellStyle name="Input cel new 3 2 3 2 3" xfId="692"/>
    <cellStyle name="Input cel new 3 2 3 2 3 2" xfId="1922"/>
    <cellStyle name="Input cel new 3 2 3 2 3 2 2" xfId="3161"/>
    <cellStyle name="Input cel new 3 2 3 2 3 3" xfId="1604"/>
    <cellStyle name="Input cel new 3 2 3 2 3 3 2" xfId="2844"/>
    <cellStyle name="Input cel new 3 2 3 2 3 4" xfId="996"/>
    <cellStyle name="Input cel new 3 2 3 2 3 5" xfId="2239"/>
    <cellStyle name="Input cel new 3 2 3 2 4" xfId="754"/>
    <cellStyle name="Input cel new 3 2 3 2 4 2" xfId="1984"/>
    <cellStyle name="Input cel new 3 2 3 2 4 2 2" xfId="3223"/>
    <cellStyle name="Input cel new 3 2 3 2 4 3" xfId="1662"/>
    <cellStyle name="Input cel new 3 2 3 2 4 3 2" xfId="2901"/>
    <cellStyle name="Input cel new 3 2 3 2 4 4" xfId="1058"/>
    <cellStyle name="Input cel new 3 2 3 2 4 5" xfId="2301"/>
    <cellStyle name="Input cel new 3 2 3 2 5" xfId="579"/>
    <cellStyle name="Input cel new 3 2 3 2 5 2" xfId="1818"/>
    <cellStyle name="Input cel new 3 2 3 2 5 2 2" xfId="3057"/>
    <cellStyle name="Input cel new 3 2 3 2 5 3" xfId="1505"/>
    <cellStyle name="Input cel new 3 2 3 2 5 4" xfId="2745"/>
    <cellStyle name="Input cel new 3 2 3 2 6" xfId="1371"/>
    <cellStyle name="Input cel new 3 2 3 2 6 2" xfId="2612"/>
    <cellStyle name="Input cel new 3 2 3 2 7" xfId="1151"/>
    <cellStyle name="Input cel new 3 2 3 2 7 2" xfId="2393"/>
    <cellStyle name="Input cel new 3 2 3 2 8" xfId="883"/>
    <cellStyle name="Input cel new 3 2 3 2 8 2" xfId="3357"/>
    <cellStyle name="Input cel new 3 2 3 2 9" xfId="2127"/>
    <cellStyle name="Input cel new 3 2 3 3" xfId="377"/>
    <cellStyle name="Input cel new 3 2 3 3 2" xfId="1784"/>
    <cellStyle name="Input cel new 3 2 3 3 2 2" xfId="3023"/>
    <cellStyle name="Input cel new 3 2 3 3 3" xfId="1360"/>
    <cellStyle name="Input cel new 3 2 3 3 3 2" xfId="2601"/>
    <cellStyle name="Input cel new 3 2 3 3 4" xfId="817"/>
    <cellStyle name="Input cel new 3 2 3 3 4 2" xfId="3244"/>
    <cellStyle name="Input cel new 3 2 3 3 5" xfId="2061"/>
    <cellStyle name="Input cel new 3 2 3 4" xfId="1787"/>
    <cellStyle name="Input cel new 3 2 3 4 2" xfId="3026"/>
    <cellStyle name="Input cel new 3 2 3 5" xfId="1180"/>
    <cellStyle name="Input cel new 3 2 3 5 2" xfId="2421"/>
    <cellStyle name="Input cel new 3 2 3 6" xfId="790"/>
    <cellStyle name="Input cel new 3 2 3 7" xfId="2038"/>
    <cellStyle name="Input cel new 3 2 3 8" xfId="296"/>
    <cellStyle name="Input cel new 3 2 4" xfId="1082"/>
    <cellStyle name="Input cel new 3 2 4 2" xfId="2325"/>
    <cellStyle name="Input cel new 3 2 5" xfId="302"/>
    <cellStyle name="Input cel new 3 3" xfId="258"/>
    <cellStyle name="Input cel new 3 3 2" xfId="405"/>
    <cellStyle name="Input cel new 3 3 2 2" xfId="463"/>
    <cellStyle name="Input cel new 3 3 2 2 2" xfId="563"/>
    <cellStyle name="Input cel new 3 3 2 2 2 2" xfId="1489"/>
    <cellStyle name="Input cel new 3 3 2 2 2 3" xfId="2729"/>
    <cellStyle name="Input cel new 3 3 2 2 3" xfId="1406"/>
    <cellStyle name="Input cel new 3 3 2 2 3 2" xfId="2646"/>
    <cellStyle name="Input cel new 3 3 2 2 4" xfId="1701"/>
    <cellStyle name="Input cel new 3 3 2 2 4 2" xfId="2940"/>
    <cellStyle name="Input cel new 3 3 2 2 5" xfId="1228"/>
    <cellStyle name="Input cel new 3 3 2 2 5 2" xfId="2469"/>
    <cellStyle name="Input cel new 3 3 2 2 6" xfId="867"/>
    <cellStyle name="Input cel new 3 3 2 2 6 2" xfId="3342"/>
    <cellStyle name="Input cel new 3 3 2 2 7" xfId="2111"/>
    <cellStyle name="Input cel new 3 3 2 3" xfId="612"/>
    <cellStyle name="Input cel new 3 3 2 3 2" xfId="1842"/>
    <cellStyle name="Input cel new 3 3 2 3 2 2" xfId="3081"/>
    <cellStyle name="Input cel new 3 3 2 3 3" xfId="1528"/>
    <cellStyle name="Input cel new 3 3 2 3 3 2" xfId="2768"/>
    <cellStyle name="Input cel new 3 3 2 3 4" xfId="1290"/>
    <cellStyle name="Input cel new 3 3 2 3 4 2" xfId="2531"/>
    <cellStyle name="Input cel new 3 3 2 3 5" xfId="916"/>
    <cellStyle name="Input cel new 3 3 2 3 6" xfId="2159"/>
    <cellStyle name="Input cel new 3 3 2 4" xfId="676"/>
    <cellStyle name="Input cel new 3 3 2 4 2" xfId="1906"/>
    <cellStyle name="Input cel new 3 3 2 4 2 2" xfId="3145"/>
    <cellStyle name="Input cel new 3 3 2 4 3" xfId="1588"/>
    <cellStyle name="Input cel new 3 3 2 4 3 2" xfId="2828"/>
    <cellStyle name="Input cel new 3 3 2 4 4" xfId="980"/>
    <cellStyle name="Input cel new 3 3 2 4 5" xfId="2223"/>
    <cellStyle name="Input cel new 3 3 2 5" xfId="738"/>
    <cellStyle name="Input cel new 3 3 2 5 2" xfId="1968"/>
    <cellStyle name="Input cel new 3 3 2 5 2 2" xfId="3207"/>
    <cellStyle name="Input cel new 3 3 2 5 3" xfId="1646"/>
    <cellStyle name="Input cel new 3 3 2 5 3 2" xfId="2885"/>
    <cellStyle name="Input cel new 3 3 2 5 4" xfId="1042"/>
    <cellStyle name="Input cel new 3 3 2 5 5" xfId="2285"/>
    <cellStyle name="Input cel new 3 3 2 6" xfId="543"/>
    <cellStyle name="Input cel new 3 3 2 6 2" xfId="1470"/>
    <cellStyle name="Input cel new 3 3 2 6 3" xfId="2710"/>
    <cellStyle name="Input cel new 3 3 2 7" xfId="1155"/>
    <cellStyle name="Input cel new 3 3 2 7 2" xfId="2397"/>
    <cellStyle name="Input cel new 3 3 2 8" xfId="844"/>
    <cellStyle name="Input cel new 3 3 2 8 2" xfId="3273"/>
    <cellStyle name="Input cel new 3 3 2 9" xfId="2088"/>
    <cellStyle name="Input cel new 3 3 3" xfId="387"/>
    <cellStyle name="Input cel new 3 3 3 10" xfId="2070"/>
    <cellStyle name="Input cel new 3 3 3 2" xfId="446"/>
    <cellStyle name="Input cel new 3 3 3 2 2" xfId="595"/>
    <cellStyle name="Input cel new 3 3 3 2 2 2" xfId="1825"/>
    <cellStyle name="Input cel new 3 3 3 2 2 2 2" xfId="3064"/>
    <cellStyle name="Input cel new 3 3 3 2 2 3" xfId="1520"/>
    <cellStyle name="Input cel new 3 3 3 2 2 4" xfId="2760"/>
    <cellStyle name="Input cel new 3 3 3 2 3" xfId="1740"/>
    <cellStyle name="Input cel new 3 3 3 2 3 2" xfId="2979"/>
    <cellStyle name="Input cel new 3 3 3 2 4" xfId="1273"/>
    <cellStyle name="Input cel new 3 3 3 2 4 2" xfId="2514"/>
    <cellStyle name="Input cel new 3 3 3 2 5" xfId="899"/>
    <cellStyle name="Input cel new 3 3 3 2 5 2" xfId="3372"/>
    <cellStyle name="Input cel new 3 3 3 2 6" xfId="2142"/>
    <cellStyle name="Input cel new 3 3 3 3" xfId="644"/>
    <cellStyle name="Input cel new 3 3 3 3 2" xfId="1559"/>
    <cellStyle name="Input cel new 3 3 3 3 2 2" xfId="2799"/>
    <cellStyle name="Input cel new 3 3 3 3 3" xfId="1874"/>
    <cellStyle name="Input cel new 3 3 3 3 3 2" xfId="3113"/>
    <cellStyle name="Input cel new 3 3 3 3 4" xfId="1333"/>
    <cellStyle name="Input cel new 3 3 3 3 4 2" xfId="2574"/>
    <cellStyle name="Input cel new 3 3 3 3 5" xfId="948"/>
    <cellStyle name="Input cel new 3 3 3 3 6" xfId="2191"/>
    <cellStyle name="Input cel new 3 3 3 4" xfId="708"/>
    <cellStyle name="Input cel new 3 3 3 4 2" xfId="1938"/>
    <cellStyle name="Input cel new 3 3 3 4 2 2" xfId="3177"/>
    <cellStyle name="Input cel new 3 3 3 4 3" xfId="1620"/>
    <cellStyle name="Input cel new 3 3 3 4 3 2" xfId="2860"/>
    <cellStyle name="Input cel new 3 3 3 4 4" xfId="1012"/>
    <cellStyle name="Input cel new 3 3 3 4 5" xfId="2255"/>
    <cellStyle name="Input cel new 3 3 3 5" xfId="769"/>
    <cellStyle name="Input cel new 3 3 3 5 2" xfId="1999"/>
    <cellStyle name="Input cel new 3 3 3 5 2 2" xfId="3238"/>
    <cellStyle name="Input cel new 3 3 3 5 3" xfId="1677"/>
    <cellStyle name="Input cel new 3 3 3 5 3 2" xfId="2916"/>
    <cellStyle name="Input cel new 3 3 3 5 4" xfId="1073"/>
    <cellStyle name="Input cel new 3 3 3 5 5" xfId="2316"/>
    <cellStyle name="Input cel new 3 3 3 6" xfId="525"/>
    <cellStyle name="Input cel new 3 3 3 6 2" xfId="1452"/>
    <cellStyle name="Input cel new 3 3 3 6 3" xfId="2692"/>
    <cellStyle name="Input cel new 3 3 3 7" xfId="1154"/>
    <cellStyle name="Input cel new 3 3 3 7 2" xfId="2396"/>
    <cellStyle name="Input cel new 3 3 3 8" xfId="1097"/>
    <cellStyle name="Input cel new 3 3 3 8 2" xfId="2340"/>
    <cellStyle name="Input cel new 3 3 3 9" xfId="826"/>
    <cellStyle name="Input cel new 3 3 3 9 2" xfId="3291"/>
    <cellStyle name="Input cel new 3 3 4" xfId="502"/>
    <cellStyle name="Input cel new 3 3 4 2" xfId="1433"/>
    <cellStyle name="Input cel new 3 3 4 2 2" xfId="2673"/>
    <cellStyle name="Input cel new 3 3 4 3" xfId="1113"/>
    <cellStyle name="Input cel new 3 3 4 3 2" xfId="2356"/>
    <cellStyle name="Input cel new 3 3 4 4" xfId="798"/>
    <cellStyle name="Input cel new 3 3 4 4 2" xfId="3309"/>
    <cellStyle name="Input cel new 3 3 4 5" xfId="2045"/>
    <cellStyle name="Input cel new 3 3 5" xfId="658"/>
    <cellStyle name="Input cel new 3 3 5 2" xfId="1570"/>
    <cellStyle name="Input cel new 3 3 5 2 2" xfId="1888"/>
    <cellStyle name="Input cel new 3 3 5 2 2 2" xfId="3127"/>
    <cellStyle name="Input cel new 3 3 5 2 3" xfId="2810"/>
    <cellStyle name="Input cel new 3 3 5 3" xfId="1132"/>
    <cellStyle name="Input cel new 3 3 5 3 2" xfId="2374"/>
    <cellStyle name="Input cel new 3 3 5 4" xfId="1208"/>
    <cellStyle name="Input cel new 3 3 5 4 2" xfId="2449"/>
    <cellStyle name="Input cel new 3 3 5 5" xfId="962"/>
    <cellStyle name="Input cel new 3 3 5 5 2" xfId="3400"/>
    <cellStyle name="Input cel new 3 3 5 6" xfId="2205"/>
    <cellStyle name="Input cel new 3 3 6" xfId="721"/>
    <cellStyle name="Input cel new 3 3 6 2" xfId="1951"/>
    <cellStyle name="Input cel new 3 3 6 2 2" xfId="3190"/>
    <cellStyle name="Input cel new 3 3 6 3" xfId="1245"/>
    <cellStyle name="Input cel new 3 3 6 3 2" xfId="2486"/>
    <cellStyle name="Input cel new 3 3 6 4" xfId="1025"/>
    <cellStyle name="Input cel new 3 3 6 5" xfId="2268"/>
    <cellStyle name="Input cel new 3 3 7" xfId="470"/>
    <cellStyle name="Input cel new 3 3 7 2" xfId="1158"/>
    <cellStyle name="Input cel new 3 3 7 2 2" xfId="2400"/>
    <cellStyle name="Input cel new 3 3 7 3" xfId="1412"/>
    <cellStyle name="Input cel new 3 3 7 4" xfId="2652"/>
    <cellStyle name="Input cel new 3 3 8" xfId="335"/>
    <cellStyle name="Input cel new 3 3 8 2" xfId="3317"/>
    <cellStyle name="Input cel new 3 3 9" xfId="423"/>
    <cellStyle name="Input cel new 3 4" xfId="276"/>
    <cellStyle name="Input cel new 3 4 2" xfId="475"/>
    <cellStyle name="Input cel new 3 4 2 2" xfId="619"/>
    <cellStyle name="Input cel new 3 4 2 2 2" xfId="1534"/>
    <cellStyle name="Input cel new 3 4 2 2 2 2" xfId="1849"/>
    <cellStyle name="Input cel new 3 4 2 2 2 2 2" xfId="3088"/>
    <cellStyle name="Input cel new 3 4 2 2 2 3" xfId="2774"/>
    <cellStyle name="Input cel new 3 4 2 2 3" xfId="1524"/>
    <cellStyle name="Input cel new 3 4 2 2 3 2" xfId="2764"/>
    <cellStyle name="Input cel new 3 4 2 2 4" xfId="1307"/>
    <cellStyle name="Input cel new 3 4 2 2 4 2" xfId="2548"/>
    <cellStyle name="Input cel new 3 4 2 2 5" xfId="923"/>
    <cellStyle name="Input cel new 3 4 2 2 5 2" xfId="3378"/>
    <cellStyle name="Input cel new 3 4 2 2 6" xfId="2166"/>
    <cellStyle name="Input cel new 3 4 2 3" xfId="683"/>
    <cellStyle name="Input cel new 3 4 2 3 2" xfId="1913"/>
    <cellStyle name="Input cel new 3 4 2 3 2 2" xfId="3152"/>
    <cellStyle name="Input cel new 3 4 2 3 3" xfId="1595"/>
    <cellStyle name="Input cel new 3 4 2 3 3 2" xfId="2835"/>
    <cellStyle name="Input cel new 3 4 2 3 4" xfId="987"/>
    <cellStyle name="Input cel new 3 4 2 3 5" xfId="2230"/>
    <cellStyle name="Input cel new 3 4 2 4" xfId="745"/>
    <cellStyle name="Input cel new 3 4 2 4 2" xfId="1975"/>
    <cellStyle name="Input cel new 3 4 2 4 2 2" xfId="3214"/>
    <cellStyle name="Input cel new 3 4 2 4 3" xfId="1653"/>
    <cellStyle name="Input cel new 3 4 2 4 3 2" xfId="2892"/>
    <cellStyle name="Input cel new 3 4 2 4 4" xfId="1049"/>
    <cellStyle name="Input cel new 3 4 2 4 5" xfId="2292"/>
    <cellStyle name="Input cel new 3 4 2 5" xfId="570"/>
    <cellStyle name="Input cel new 3 4 2 5 2" xfId="1812"/>
    <cellStyle name="Input cel new 3 4 2 5 2 2" xfId="3051"/>
    <cellStyle name="Input cel new 3 4 2 5 3" xfId="1496"/>
    <cellStyle name="Input cel new 3 4 2 5 4" xfId="2736"/>
    <cellStyle name="Input cel new 3 4 2 6" xfId="1159"/>
    <cellStyle name="Input cel new 3 4 2 6 2" xfId="2401"/>
    <cellStyle name="Input cel new 3 4 2 7" xfId="1107"/>
    <cellStyle name="Input cel new 3 4 2 7 2" xfId="2350"/>
    <cellStyle name="Input cel new 3 4 2 8" xfId="874"/>
    <cellStyle name="Input cel new 3 4 2 8 2" xfId="3348"/>
    <cellStyle name="Input cel new 3 4 2 9" xfId="2118"/>
    <cellStyle name="Input cel new 3 4 3" xfId="354"/>
    <cellStyle name="Input cel new 3 4 3 2" xfId="1766"/>
    <cellStyle name="Input cel new 3 4 3 2 2" xfId="3005"/>
    <cellStyle name="Input cel new 3 4 3 3" xfId="1346"/>
    <cellStyle name="Input cel new 3 4 3 3 2" xfId="2587"/>
    <cellStyle name="Input cel new 3 4 3 4" xfId="788"/>
    <cellStyle name="Input cel new 3 4 3 4 2" xfId="3271"/>
    <cellStyle name="Input cel new 3 4 3 5" xfId="2036"/>
    <cellStyle name="Input cel new 3 4 4" xfId="1771"/>
    <cellStyle name="Input cel new 3 4 4 2" xfId="3010"/>
    <cellStyle name="Input cel new 3 4 5" xfId="1392"/>
    <cellStyle name="Input cel new 3 4 5 2" xfId="2632"/>
    <cellStyle name="Input cel new 3 4 6" xfId="306"/>
    <cellStyle name="Input cel new 3 4 7" xfId="2007"/>
    <cellStyle name="Input cel new 3 4 8" xfId="437"/>
    <cellStyle name="Input cel new 3 5" xfId="850"/>
    <cellStyle name="Input cel new 3 5 2" xfId="2094"/>
    <cellStyle name="Input cel new 3 6" xfId="1079"/>
    <cellStyle name="Input cel new 3 6 2" xfId="2322"/>
    <cellStyle name="Input cel new 3 7" xfId="298"/>
    <cellStyle name="Input cel new 4" xfId="212"/>
    <cellStyle name="Input cel new 4 2" xfId="259"/>
    <cellStyle name="Input cel new 4 2 2" xfId="406"/>
    <cellStyle name="Input cel new 4 2 2 2" xfId="464"/>
    <cellStyle name="Input cel new 4 2 2 2 2" xfId="564"/>
    <cellStyle name="Input cel new 4 2 2 2 2 2" xfId="1490"/>
    <cellStyle name="Input cel new 4 2 2 2 2 3" xfId="2730"/>
    <cellStyle name="Input cel new 4 2 2 2 3" xfId="1407"/>
    <cellStyle name="Input cel new 4 2 2 2 3 2" xfId="2647"/>
    <cellStyle name="Input cel new 4 2 2 2 4" xfId="1702"/>
    <cellStyle name="Input cel new 4 2 2 2 4 2" xfId="2941"/>
    <cellStyle name="Input cel new 4 2 2 2 5" xfId="1229"/>
    <cellStyle name="Input cel new 4 2 2 2 5 2" xfId="2470"/>
    <cellStyle name="Input cel new 4 2 2 2 6" xfId="868"/>
    <cellStyle name="Input cel new 4 2 2 2 6 2" xfId="3343"/>
    <cellStyle name="Input cel new 4 2 2 2 7" xfId="2112"/>
    <cellStyle name="Input cel new 4 2 2 3" xfId="613"/>
    <cellStyle name="Input cel new 4 2 2 3 2" xfId="1843"/>
    <cellStyle name="Input cel new 4 2 2 3 2 2" xfId="3082"/>
    <cellStyle name="Input cel new 4 2 2 3 3" xfId="1134"/>
    <cellStyle name="Input cel new 4 2 2 3 3 2" xfId="2376"/>
    <cellStyle name="Input cel new 4 2 2 3 4" xfId="1291"/>
    <cellStyle name="Input cel new 4 2 2 3 4 2" xfId="2532"/>
    <cellStyle name="Input cel new 4 2 2 3 5" xfId="917"/>
    <cellStyle name="Input cel new 4 2 2 3 6" xfId="2160"/>
    <cellStyle name="Input cel new 4 2 2 4" xfId="677"/>
    <cellStyle name="Input cel new 4 2 2 4 2" xfId="1907"/>
    <cellStyle name="Input cel new 4 2 2 4 2 2" xfId="3146"/>
    <cellStyle name="Input cel new 4 2 2 4 3" xfId="1589"/>
    <cellStyle name="Input cel new 4 2 2 4 3 2" xfId="2829"/>
    <cellStyle name="Input cel new 4 2 2 4 4" xfId="981"/>
    <cellStyle name="Input cel new 4 2 2 4 5" xfId="2224"/>
    <cellStyle name="Input cel new 4 2 2 5" xfId="739"/>
    <cellStyle name="Input cel new 4 2 2 5 2" xfId="1969"/>
    <cellStyle name="Input cel new 4 2 2 5 2 2" xfId="3208"/>
    <cellStyle name="Input cel new 4 2 2 5 3" xfId="1647"/>
    <cellStyle name="Input cel new 4 2 2 5 3 2" xfId="2886"/>
    <cellStyle name="Input cel new 4 2 2 5 4" xfId="1043"/>
    <cellStyle name="Input cel new 4 2 2 5 5" xfId="2286"/>
    <cellStyle name="Input cel new 4 2 2 6" xfId="544"/>
    <cellStyle name="Input cel new 4 2 2 6 2" xfId="1471"/>
    <cellStyle name="Input cel new 4 2 2 6 3" xfId="2711"/>
    <cellStyle name="Input cel new 4 2 2 7" xfId="1183"/>
    <cellStyle name="Input cel new 4 2 2 7 2" xfId="2424"/>
    <cellStyle name="Input cel new 4 2 2 8" xfId="845"/>
    <cellStyle name="Input cel new 4 2 2 8 2" xfId="3272"/>
    <cellStyle name="Input cel new 4 2 2 9" xfId="2089"/>
    <cellStyle name="Input cel new 4 2 3" xfId="388"/>
    <cellStyle name="Input cel new 4 2 3 10" xfId="2071"/>
    <cellStyle name="Input cel new 4 2 3 2" xfId="447"/>
    <cellStyle name="Input cel new 4 2 3 2 2" xfId="596"/>
    <cellStyle name="Input cel new 4 2 3 2 2 2" xfId="1826"/>
    <cellStyle name="Input cel new 4 2 3 2 2 2 2" xfId="3065"/>
    <cellStyle name="Input cel new 4 2 3 2 2 3" xfId="1521"/>
    <cellStyle name="Input cel new 4 2 3 2 2 4" xfId="2761"/>
    <cellStyle name="Input cel new 4 2 3 2 3" xfId="1741"/>
    <cellStyle name="Input cel new 4 2 3 2 3 2" xfId="2980"/>
    <cellStyle name="Input cel new 4 2 3 2 4" xfId="1274"/>
    <cellStyle name="Input cel new 4 2 3 2 4 2" xfId="2515"/>
    <cellStyle name="Input cel new 4 2 3 2 5" xfId="900"/>
    <cellStyle name="Input cel new 4 2 3 2 5 2" xfId="3373"/>
    <cellStyle name="Input cel new 4 2 3 2 6" xfId="2143"/>
    <cellStyle name="Input cel new 4 2 3 3" xfId="645"/>
    <cellStyle name="Input cel new 4 2 3 3 2" xfId="1560"/>
    <cellStyle name="Input cel new 4 2 3 3 2 2" xfId="2800"/>
    <cellStyle name="Input cel new 4 2 3 3 3" xfId="1875"/>
    <cellStyle name="Input cel new 4 2 3 3 3 2" xfId="3114"/>
    <cellStyle name="Input cel new 4 2 3 3 4" xfId="1334"/>
    <cellStyle name="Input cel new 4 2 3 3 4 2" xfId="2575"/>
    <cellStyle name="Input cel new 4 2 3 3 5" xfId="949"/>
    <cellStyle name="Input cel new 4 2 3 3 6" xfId="2192"/>
    <cellStyle name="Input cel new 4 2 3 4" xfId="709"/>
    <cellStyle name="Input cel new 4 2 3 4 2" xfId="1939"/>
    <cellStyle name="Input cel new 4 2 3 4 2 2" xfId="3178"/>
    <cellStyle name="Input cel new 4 2 3 4 3" xfId="1621"/>
    <cellStyle name="Input cel new 4 2 3 4 3 2" xfId="2861"/>
    <cellStyle name="Input cel new 4 2 3 4 4" xfId="1013"/>
    <cellStyle name="Input cel new 4 2 3 4 5" xfId="2256"/>
    <cellStyle name="Input cel new 4 2 3 5" xfId="770"/>
    <cellStyle name="Input cel new 4 2 3 5 2" xfId="2000"/>
    <cellStyle name="Input cel new 4 2 3 5 2 2" xfId="3239"/>
    <cellStyle name="Input cel new 4 2 3 5 3" xfId="1678"/>
    <cellStyle name="Input cel new 4 2 3 5 3 2" xfId="2917"/>
    <cellStyle name="Input cel new 4 2 3 5 4" xfId="1074"/>
    <cellStyle name="Input cel new 4 2 3 5 5" xfId="2317"/>
    <cellStyle name="Input cel new 4 2 3 6" xfId="526"/>
    <cellStyle name="Input cel new 4 2 3 6 2" xfId="1453"/>
    <cellStyle name="Input cel new 4 2 3 6 3" xfId="2693"/>
    <cellStyle name="Input cel new 4 2 3 7" xfId="1124"/>
    <cellStyle name="Input cel new 4 2 3 7 2" xfId="2366"/>
    <cellStyle name="Input cel new 4 2 3 8" xfId="1098"/>
    <cellStyle name="Input cel new 4 2 3 8 2" xfId="2341"/>
    <cellStyle name="Input cel new 4 2 3 9" xfId="827"/>
    <cellStyle name="Input cel new 4 2 3 9 2" xfId="3288"/>
    <cellStyle name="Input cel new 4 2 4" xfId="504"/>
    <cellStyle name="Input cel new 4 2 4 2" xfId="1435"/>
    <cellStyle name="Input cel new 4 2 4 2 2" xfId="2675"/>
    <cellStyle name="Input cel new 4 2 4 3" xfId="1681"/>
    <cellStyle name="Input cel new 4 2 4 3 2" xfId="2920"/>
    <cellStyle name="Input cel new 4 2 4 4" xfId="801"/>
    <cellStyle name="Input cel new 4 2 4 4 2" xfId="3299"/>
    <cellStyle name="Input cel new 4 2 4 5" xfId="2048"/>
    <cellStyle name="Input cel new 4 2 5" xfId="659"/>
    <cellStyle name="Input cel new 4 2 5 2" xfId="1571"/>
    <cellStyle name="Input cel new 4 2 5 2 2" xfId="1889"/>
    <cellStyle name="Input cel new 4 2 5 2 2 2" xfId="3128"/>
    <cellStyle name="Input cel new 4 2 5 2 3" xfId="2811"/>
    <cellStyle name="Input cel new 4 2 5 3" xfId="1337"/>
    <cellStyle name="Input cel new 4 2 5 3 2" xfId="2578"/>
    <cellStyle name="Input cel new 4 2 5 4" xfId="1209"/>
    <cellStyle name="Input cel new 4 2 5 4 2" xfId="2450"/>
    <cellStyle name="Input cel new 4 2 5 5" xfId="963"/>
    <cellStyle name="Input cel new 4 2 5 5 2" xfId="3401"/>
    <cellStyle name="Input cel new 4 2 5 6" xfId="2206"/>
    <cellStyle name="Input cel new 4 2 6" xfId="722"/>
    <cellStyle name="Input cel new 4 2 6 2" xfId="1952"/>
    <cellStyle name="Input cel new 4 2 6 2 2" xfId="3191"/>
    <cellStyle name="Input cel new 4 2 6 3" xfId="1246"/>
    <cellStyle name="Input cel new 4 2 6 3 2" xfId="2487"/>
    <cellStyle name="Input cel new 4 2 6 4" xfId="1026"/>
    <cellStyle name="Input cel new 4 2 6 5" xfId="2269"/>
    <cellStyle name="Input cel new 4 2 7" xfId="314"/>
    <cellStyle name="Input cel new 4 2 7 2" xfId="1296"/>
    <cellStyle name="Input cel new 4 2 7 2 2" xfId="2537"/>
    <cellStyle name="Input cel new 4 2 7 3" xfId="1122"/>
    <cellStyle name="Input cel new 4 2 7 4" xfId="2364"/>
    <cellStyle name="Input cel new 4 2 8" xfId="316"/>
    <cellStyle name="Input cel new 4 2 8 2" xfId="3248"/>
    <cellStyle name="Input cel new 4 2 9" xfId="514"/>
    <cellStyle name="Input cel new 4 3" xfId="337"/>
    <cellStyle name="Input cel new 4 3 2" xfId="483"/>
    <cellStyle name="Input cel new 4 3 2 2" xfId="630"/>
    <cellStyle name="Input cel new 4 3 2 2 2" xfId="1545"/>
    <cellStyle name="Input cel new 4 3 2 2 2 2" xfId="1860"/>
    <cellStyle name="Input cel new 4 3 2 2 2 2 2" xfId="3099"/>
    <cellStyle name="Input cel new 4 3 2 2 2 3" xfId="2785"/>
    <cellStyle name="Input cel new 4 3 2 2 3" xfId="1726"/>
    <cellStyle name="Input cel new 4 3 2 2 3 2" xfId="2965"/>
    <cellStyle name="Input cel new 4 3 2 2 4" xfId="1318"/>
    <cellStyle name="Input cel new 4 3 2 2 4 2" xfId="2559"/>
    <cellStyle name="Input cel new 4 3 2 2 5" xfId="934"/>
    <cellStyle name="Input cel new 4 3 2 2 5 2" xfId="3386"/>
    <cellStyle name="Input cel new 4 3 2 2 6" xfId="2177"/>
    <cellStyle name="Input cel new 4 3 2 3" xfId="694"/>
    <cellStyle name="Input cel new 4 3 2 3 2" xfId="1924"/>
    <cellStyle name="Input cel new 4 3 2 3 2 2" xfId="3163"/>
    <cellStyle name="Input cel new 4 3 2 3 3" xfId="1606"/>
    <cellStyle name="Input cel new 4 3 2 3 3 2" xfId="2846"/>
    <cellStyle name="Input cel new 4 3 2 3 4" xfId="998"/>
    <cellStyle name="Input cel new 4 3 2 3 5" xfId="2241"/>
    <cellStyle name="Input cel new 4 3 2 4" xfId="756"/>
    <cellStyle name="Input cel new 4 3 2 4 2" xfId="1986"/>
    <cellStyle name="Input cel new 4 3 2 4 2 2" xfId="3225"/>
    <cellStyle name="Input cel new 4 3 2 4 3" xfId="1664"/>
    <cellStyle name="Input cel new 4 3 2 4 3 2" xfId="2903"/>
    <cellStyle name="Input cel new 4 3 2 4 4" xfId="1060"/>
    <cellStyle name="Input cel new 4 3 2 4 5" xfId="2303"/>
    <cellStyle name="Input cel new 4 3 2 5" xfId="581"/>
    <cellStyle name="Input cel new 4 3 2 5 2" xfId="1820"/>
    <cellStyle name="Input cel new 4 3 2 5 2 2" xfId="3059"/>
    <cellStyle name="Input cel new 4 3 2 5 3" xfId="1507"/>
    <cellStyle name="Input cel new 4 3 2 5 4" xfId="2747"/>
    <cellStyle name="Input cel new 4 3 2 6" xfId="1121"/>
    <cellStyle name="Input cel new 4 3 2 6 2" xfId="2363"/>
    <cellStyle name="Input cel new 4 3 2 7" xfId="1193"/>
    <cellStyle name="Input cel new 4 3 2 7 2" xfId="2434"/>
    <cellStyle name="Input cel new 4 3 2 8" xfId="885"/>
    <cellStyle name="Input cel new 4 3 2 8 2" xfId="3359"/>
    <cellStyle name="Input cel new 4 3 2 9" xfId="2129"/>
    <cellStyle name="Input cel new 4 3 3" xfId="375"/>
    <cellStyle name="Input cel new 4 3 3 2" xfId="1781"/>
    <cellStyle name="Input cel new 4 3 3 2 2" xfId="3020"/>
    <cellStyle name="Input cel new 4 3 3 3" xfId="1358"/>
    <cellStyle name="Input cel new 4 3 3 3 2" xfId="2599"/>
    <cellStyle name="Input cel new 4 3 3 4" xfId="814"/>
    <cellStyle name="Input cel new 4 3 3 4 2" xfId="3294"/>
    <cellStyle name="Input cel new 4 3 3 5" xfId="2058"/>
    <cellStyle name="Input cel new 4 3 4" xfId="1767"/>
    <cellStyle name="Input cel new 4 3 4 2" xfId="3006"/>
    <cellStyle name="Input cel new 4 3 5" xfId="1182"/>
    <cellStyle name="Input cel new 4 3 5 2" xfId="2423"/>
    <cellStyle name="Input cel new 4 3 6" xfId="792"/>
    <cellStyle name="Input cel new 4 3 7" xfId="2040"/>
    <cellStyle name="Input cel new 4 3 8" xfId="359"/>
    <cellStyle name="Input cel new 4 4" xfId="1080"/>
    <cellStyle name="Input cel new 4 4 2" xfId="2323"/>
    <cellStyle name="Input cel new 4 5" xfId="366"/>
    <cellStyle name="Input cel new 5" xfId="256"/>
    <cellStyle name="Input cel new 5 2" xfId="394"/>
    <cellStyle name="Input cel new 5 2 2" xfId="452"/>
    <cellStyle name="Input cel new 5 2 2 2" xfId="552"/>
    <cellStyle name="Input cel new 5 2 2 2 2" xfId="1478"/>
    <cellStyle name="Input cel new 5 2 2 2 3" xfId="2718"/>
    <cellStyle name="Input cel new 5 2 2 3" xfId="1395"/>
    <cellStyle name="Input cel new 5 2 2 3 2" xfId="2635"/>
    <cellStyle name="Input cel new 5 2 2 4" xfId="1699"/>
    <cellStyle name="Input cel new 5 2 2 4 2" xfId="2938"/>
    <cellStyle name="Input cel new 5 2 2 5" xfId="1217"/>
    <cellStyle name="Input cel new 5 2 2 5 2" xfId="2458"/>
    <cellStyle name="Input cel new 5 2 2 6" xfId="856"/>
    <cellStyle name="Input cel new 5 2 2 6 2" xfId="3331"/>
    <cellStyle name="Input cel new 5 2 2 7" xfId="2100"/>
    <cellStyle name="Input cel new 5 2 3" xfId="601"/>
    <cellStyle name="Input cel new 5 2 3 2" xfId="1831"/>
    <cellStyle name="Input cel new 5 2 3 2 2" xfId="3070"/>
    <cellStyle name="Input cel new 5 2 3 3" xfId="1714"/>
    <cellStyle name="Input cel new 5 2 3 3 2" xfId="2953"/>
    <cellStyle name="Input cel new 5 2 3 4" xfId="1279"/>
    <cellStyle name="Input cel new 5 2 3 4 2" xfId="2520"/>
    <cellStyle name="Input cel new 5 2 3 5" xfId="905"/>
    <cellStyle name="Input cel new 5 2 3 6" xfId="2148"/>
    <cellStyle name="Input cel new 5 2 4" xfId="665"/>
    <cellStyle name="Input cel new 5 2 4 2" xfId="1895"/>
    <cellStyle name="Input cel new 5 2 4 2 2" xfId="3134"/>
    <cellStyle name="Input cel new 5 2 4 3" xfId="1577"/>
    <cellStyle name="Input cel new 5 2 4 3 2" xfId="2817"/>
    <cellStyle name="Input cel new 5 2 4 4" xfId="969"/>
    <cellStyle name="Input cel new 5 2 4 5" xfId="2212"/>
    <cellStyle name="Input cel new 5 2 5" xfId="727"/>
    <cellStyle name="Input cel new 5 2 5 2" xfId="1957"/>
    <cellStyle name="Input cel new 5 2 5 2 2" xfId="3196"/>
    <cellStyle name="Input cel new 5 2 5 3" xfId="1635"/>
    <cellStyle name="Input cel new 5 2 5 3 2" xfId="2874"/>
    <cellStyle name="Input cel new 5 2 5 4" xfId="1031"/>
    <cellStyle name="Input cel new 5 2 5 5" xfId="2274"/>
    <cellStyle name="Input cel new 5 2 6" xfId="532"/>
    <cellStyle name="Input cel new 5 2 6 2" xfId="1459"/>
    <cellStyle name="Input cel new 5 2 6 3" xfId="2699"/>
    <cellStyle name="Input cel new 5 2 7" xfId="1175"/>
    <cellStyle name="Input cel new 5 2 7 2" xfId="2417"/>
    <cellStyle name="Input cel new 5 2 8" xfId="833"/>
    <cellStyle name="Input cel new 5 2 8 2" xfId="3280"/>
    <cellStyle name="Input cel new 5 2 9" xfId="2077"/>
    <cellStyle name="Input cel new 5 3" xfId="385"/>
    <cellStyle name="Input cel new 5 3 10" xfId="2068"/>
    <cellStyle name="Input cel new 5 3 2" xfId="444"/>
    <cellStyle name="Input cel new 5 3 2 2" xfId="593"/>
    <cellStyle name="Input cel new 5 3 2 2 2" xfId="1823"/>
    <cellStyle name="Input cel new 5 3 2 2 2 2" xfId="3062"/>
    <cellStyle name="Input cel new 5 3 2 2 3" xfId="1518"/>
    <cellStyle name="Input cel new 5 3 2 2 4" xfId="2758"/>
    <cellStyle name="Input cel new 5 3 2 3" xfId="1738"/>
    <cellStyle name="Input cel new 5 3 2 3 2" xfId="2977"/>
    <cellStyle name="Input cel new 5 3 2 4" xfId="1271"/>
    <cellStyle name="Input cel new 5 3 2 4 2" xfId="2512"/>
    <cellStyle name="Input cel new 5 3 2 5" xfId="897"/>
    <cellStyle name="Input cel new 5 3 2 5 2" xfId="3370"/>
    <cellStyle name="Input cel new 5 3 2 6" xfId="2140"/>
    <cellStyle name="Input cel new 5 3 3" xfId="642"/>
    <cellStyle name="Input cel new 5 3 3 2" xfId="1557"/>
    <cellStyle name="Input cel new 5 3 3 2 2" xfId="2797"/>
    <cellStyle name="Input cel new 5 3 3 3" xfId="1872"/>
    <cellStyle name="Input cel new 5 3 3 3 2" xfId="3111"/>
    <cellStyle name="Input cel new 5 3 3 4" xfId="1331"/>
    <cellStyle name="Input cel new 5 3 3 4 2" xfId="2572"/>
    <cellStyle name="Input cel new 5 3 3 5" xfId="946"/>
    <cellStyle name="Input cel new 5 3 3 6" xfId="2189"/>
    <cellStyle name="Input cel new 5 3 4" xfId="706"/>
    <cellStyle name="Input cel new 5 3 4 2" xfId="1936"/>
    <cellStyle name="Input cel new 5 3 4 2 2" xfId="3175"/>
    <cellStyle name="Input cel new 5 3 4 3" xfId="1618"/>
    <cellStyle name="Input cel new 5 3 4 3 2" xfId="2858"/>
    <cellStyle name="Input cel new 5 3 4 4" xfId="1010"/>
    <cellStyle name="Input cel new 5 3 4 5" xfId="2253"/>
    <cellStyle name="Input cel new 5 3 5" xfId="767"/>
    <cellStyle name="Input cel new 5 3 5 2" xfId="1997"/>
    <cellStyle name="Input cel new 5 3 5 2 2" xfId="3236"/>
    <cellStyle name="Input cel new 5 3 5 3" xfId="1675"/>
    <cellStyle name="Input cel new 5 3 5 3 2" xfId="2914"/>
    <cellStyle name="Input cel new 5 3 5 4" xfId="1071"/>
    <cellStyle name="Input cel new 5 3 5 5" xfId="2314"/>
    <cellStyle name="Input cel new 5 3 6" xfId="523"/>
    <cellStyle name="Input cel new 5 3 6 2" xfId="1450"/>
    <cellStyle name="Input cel new 5 3 6 3" xfId="2690"/>
    <cellStyle name="Input cel new 5 3 7" xfId="1197"/>
    <cellStyle name="Input cel new 5 3 7 2" xfId="2438"/>
    <cellStyle name="Input cel new 5 3 8" xfId="1095"/>
    <cellStyle name="Input cel new 5 3 8 2" xfId="2338"/>
    <cellStyle name="Input cel new 5 3 9" xfId="824"/>
    <cellStyle name="Input cel new 5 3 9 2" xfId="3286"/>
    <cellStyle name="Input cel new 5 4" xfId="506"/>
    <cellStyle name="Input cel new 5 4 2" xfId="1437"/>
    <cellStyle name="Input cel new 5 4 2 2" xfId="2677"/>
    <cellStyle name="Input cel new 5 4 3" xfId="1249"/>
    <cellStyle name="Input cel new 5 4 3 2" xfId="2490"/>
    <cellStyle name="Input cel new 5 4 4" xfId="803"/>
    <cellStyle name="Input cel new 5 4 4 2" xfId="3325"/>
    <cellStyle name="Input cel new 5 4 5" xfId="2050"/>
    <cellStyle name="Input cel new 5 5" xfId="656"/>
    <cellStyle name="Input cel new 5 5 2" xfId="1568"/>
    <cellStyle name="Input cel new 5 5 2 2" xfId="1886"/>
    <cellStyle name="Input cel new 5 5 2 2 2" xfId="3125"/>
    <cellStyle name="Input cel new 5 5 2 3" xfId="2808"/>
    <cellStyle name="Input cel new 5 5 3" xfId="1696"/>
    <cellStyle name="Input cel new 5 5 3 2" xfId="2935"/>
    <cellStyle name="Input cel new 5 5 4" xfId="1206"/>
    <cellStyle name="Input cel new 5 5 4 2" xfId="2447"/>
    <cellStyle name="Input cel new 5 5 5" xfId="960"/>
    <cellStyle name="Input cel new 5 5 5 2" xfId="3398"/>
    <cellStyle name="Input cel new 5 5 6" xfId="2203"/>
    <cellStyle name="Input cel new 5 6" xfId="719"/>
    <cellStyle name="Input cel new 5 6 2" xfId="1949"/>
    <cellStyle name="Input cel new 5 6 2 2" xfId="3188"/>
    <cellStyle name="Input cel new 5 6 3" xfId="1243"/>
    <cellStyle name="Input cel new 5 6 3 2" xfId="2484"/>
    <cellStyle name="Input cel new 5 6 4" xfId="1023"/>
    <cellStyle name="Input cel new 5 6 5" xfId="2266"/>
    <cellStyle name="Input cel new 5 7" xfId="284"/>
    <cellStyle name="Input cel new 5 7 2" xfId="1130"/>
    <cellStyle name="Input cel new 5 7 2 2" xfId="2372"/>
    <cellStyle name="Input cel new 5 7 3" xfId="1140"/>
    <cellStyle name="Input cel new 5 7 4" xfId="2382"/>
    <cellStyle name="Input cel new 5 8" xfId="420"/>
    <cellStyle name="Input cel new 5 8 2" xfId="3300"/>
    <cellStyle name="Input cel new 5 9" xfId="339"/>
    <cellStyle name="Input cel new 6" xfId="325"/>
    <cellStyle name="Input cel new 6 2" xfId="480"/>
    <cellStyle name="Input cel new 6 2 2" xfId="624"/>
    <cellStyle name="Input cel new 6 2 2 2" xfId="1539"/>
    <cellStyle name="Input cel new 6 2 2 2 2" xfId="1854"/>
    <cellStyle name="Input cel new 6 2 2 2 2 2" xfId="3093"/>
    <cellStyle name="Input cel new 6 2 2 2 3" xfId="2779"/>
    <cellStyle name="Input cel new 6 2 2 3" xfId="1691"/>
    <cellStyle name="Input cel new 6 2 2 3 2" xfId="2930"/>
    <cellStyle name="Input cel new 6 2 2 4" xfId="1312"/>
    <cellStyle name="Input cel new 6 2 2 4 2" xfId="2553"/>
    <cellStyle name="Input cel new 6 2 2 5" xfId="928"/>
    <cellStyle name="Input cel new 6 2 2 5 2" xfId="3383"/>
    <cellStyle name="Input cel new 6 2 2 6" xfId="2171"/>
    <cellStyle name="Input cel new 6 2 3" xfId="688"/>
    <cellStyle name="Input cel new 6 2 3 2" xfId="1918"/>
    <cellStyle name="Input cel new 6 2 3 2 2" xfId="3157"/>
    <cellStyle name="Input cel new 6 2 3 3" xfId="1600"/>
    <cellStyle name="Input cel new 6 2 3 3 2" xfId="2840"/>
    <cellStyle name="Input cel new 6 2 3 4" xfId="992"/>
    <cellStyle name="Input cel new 6 2 3 5" xfId="2235"/>
    <cellStyle name="Input cel new 6 2 4" xfId="750"/>
    <cellStyle name="Input cel new 6 2 4 2" xfId="1980"/>
    <cellStyle name="Input cel new 6 2 4 2 2" xfId="3219"/>
    <cellStyle name="Input cel new 6 2 4 3" xfId="1658"/>
    <cellStyle name="Input cel new 6 2 4 3 2" xfId="2897"/>
    <cellStyle name="Input cel new 6 2 4 4" xfId="1054"/>
    <cellStyle name="Input cel new 6 2 4 5" xfId="2297"/>
    <cellStyle name="Input cel new 6 2 5" xfId="575"/>
    <cellStyle name="Input cel new 6 2 5 2" xfId="1817"/>
    <cellStyle name="Input cel new 6 2 5 2 2" xfId="3056"/>
    <cellStyle name="Input cel new 6 2 5 3" xfId="1501"/>
    <cellStyle name="Input cel new 6 2 5 4" xfId="2741"/>
    <cellStyle name="Input cel new 6 2 6" xfId="1321"/>
    <cellStyle name="Input cel new 6 2 6 2" xfId="2562"/>
    <cellStyle name="Input cel new 6 2 7" xfId="1171"/>
    <cellStyle name="Input cel new 6 2 7 2" xfId="2413"/>
    <cellStyle name="Input cel new 6 2 8" xfId="879"/>
    <cellStyle name="Input cel new 6 2 8 2" xfId="3353"/>
    <cellStyle name="Input cel new 6 2 9" xfId="2123"/>
    <cellStyle name="Input cel new 6 3" xfId="371"/>
    <cellStyle name="Input cel new 6 3 2" xfId="1791"/>
    <cellStyle name="Input cel new 6 3 2 2" xfId="3030"/>
    <cellStyle name="Input cel new 6 3 3" xfId="1355"/>
    <cellStyle name="Input cel new 6 3 3 2" xfId="2596"/>
    <cellStyle name="Input cel new 6 3 4" xfId="848"/>
    <cellStyle name="Input cel new 6 3 4 2" xfId="3326"/>
    <cellStyle name="Input cel new 6 3 5" xfId="2092"/>
    <cellStyle name="Input cel new 6 4" xfId="1263"/>
    <cellStyle name="Input cel new 6 4 2" xfId="2504"/>
    <cellStyle name="Input cel new 6 5" xfId="1165"/>
    <cellStyle name="Input cel new 6 5 2" xfId="2407"/>
    <cellStyle name="Input cel new 6 6" xfId="782"/>
    <cellStyle name="Input cel new 6 7" xfId="2030"/>
    <cellStyle name="Input cel new 6 8" xfId="489"/>
    <cellStyle name="Input cel new 7" xfId="308"/>
    <cellStyle name="Input cel new 7 2" xfId="2017"/>
    <cellStyle name="Input cel new 8" xfId="1077"/>
    <cellStyle name="Input cel new 8 2" xfId="2320"/>
    <cellStyle name="Input cel new 9" xfId="291"/>
    <cellStyle name="Komma 2" xfId="26"/>
    <cellStyle name="KP_thin_border_dark_grey" xfId="229"/>
    <cellStyle name="Linked Cell" xfId="166" builtinId="24" customBuiltin="1"/>
    <cellStyle name="Menu" xfId="27"/>
    <cellStyle name="Milliers [0]_Oilques" xfId="28"/>
    <cellStyle name="Milliers_Oilques" xfId="29"/>
    <cellStyle name="Monétaire [0]_Oilques" xfId="30"/>
    <cellStyle name="Monétaire_Oilques" xfId="31"/>
    <cellStyle name="Neutral" xfId="162" builtinId="28" customBuiltin="1"/>
    <cellStyle name="Neutral 2" xfId="207"/>
    <cellStyle name="Neutral 3" xfId="274"/>
    <cellStyle name="Normal" xfId="0" builtinId="0"/>
    <cellStyle name="Normal 10" xfId="149"/>
    <cellStyle name="Normal 10 2" xfId="210"/>
    <cellStyle name="Normal 10 3" xfId="230"/>
    <cellStyle name="Normal 11" xfId="155"/>
    <cellStyle name="Normal 12" xfId="203"/>
    <cellStyle name="Normal 13" xfId="158"/>
    <cellStyle name="Normal 13 2" xfId="204"/>
    <cellStyle name="Normal 13 3" xfId="369"/>
    <cellStyle name="Normal 14" xfId="197"/>
    <cellStyle name="Normal 15" xfId="218"/>
    <cellStyle name="Normal 15 2" xfId="1631"/>
    <cellStyle name="Normal 15 3" xfId="1176"/>
    <cellStyle name="Normal 16" xfId="219"/>
    <cellStyle name="Normal 16 2" xfId="1391"/>
    <cellStyle name="Normal 16 3" xfId="1118"/>
    <cellStyle name="Normal 17" xfId="196"/>
    <cellStyle name="Normal 18" xfId="262"/>
    <cellStyle name="Normal 19" xfId="264"/>
    <cellStyle name="Normal 2" xfId="3"/>
    <cellStyle name="Normal 2 2" xfId="32"/>
    <cellStyle name="Normal 2 3" xfId="231"/>
    <cellStyle name="Normal 20" xfId="265"/>
    <cellStyle name="Normal 21" xfId="266"/>
    <cellStyle name="Normal 22" xfId="267"/>
    <cellStyle name="Normal 23" xfId="232"/>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57"/>
    <cellStyle name="Normal 8 2" xfId="211"/>
    <cellStyle name="Normal 9" xfId="150"/>
    <cellStyle name="Normal GHG Numbers (0.00)" xfId="37"/>
    <cellStyle name="Normal GHG Numbers (0.00) 2" xfId="233"/>
    <cellStyle name="Normal GHG Numbers (0.00) 2 10" xfId="495"/>
    <cellStyle name="Normal GHG Numbers (0.00) 2 2" xfId="397"/>
    <cellStyle name="Normal GHG Numbers (0.00) 2 2 2" xfId="455"/>
    <cellStyle name="Normal GHG Numbers (0.00) 2 2 2 2" xfId="555"/>
    <cellStyle name="Normal GHG Numbers (0.00) 2 2 2 2 2" xfId="1800"/>
    <cellStyle name="Normal GHG Numbers (0.00) 2 2 2 2 2 2" xfId="3039"/>
    <cellStyle name="Normal GHG Numbers (0.00) 2 2 2 2 3" xfId="1481"/>
    <cellStyle name="Normal GHG Numbers (0.00) 2 2 2 2 4" xfId="2721"/>
    <cellStyle name="Normal GHG Numbers (0.00) 2 2 2 3" xfId="1398"/>
    <cellStyle name="Normal GHG Numbers (0.00) 2 2 2 3 2" xfId="2638"/>
    <cellStyle name="Normal GHG Numbers (0.00) 2 2 2 4" xfId="1383"/>
    <cellStyle name="Normal GHG Numbers (0.00) 2 2 2 4 2" xfId="2624"/>
    <cellStyle name="Normal GHG Numbers (0.00) 2 2 2 5" xfId="1220"/>
    <cellStyle name="Normal GHG Numbers (0.00) 2 2 2 5 2" xfId="2461"/>
    <cellStyle name="Normal GHG Numbers (0.00) 2 2 2 6" xfId="859"/>
    <cellStyle name="Normal GHG Numbers (0.00) 2 2 2 6 2" xfId="3334"/>
    <cellStyle name="Normal GHG Numbers (0.00) 2 2 2 7" xfId="2103"/>
    <cellStyle name="Normal GHG Numbers (0.00) 2 2 3" xfId="604"/>
    <cellStyle name="Normal GHG Numbers (0.00) 2 2 3 2" xfId="1834"/>
    <cellStyle name="Normal GHG Numbers (0.00) 2 2 3 2 2" xfId="3073"/>
    <cellStyle name="Normal GHG Numbers (0.00) 2 2 3 3" xfId="1282"/>
    <cellStyle name="Normal GHG Numbers (0.00) 2 2 3 3 2" xfId="2523"/>
    <cellStyle name="Normal GHG Numbers (0.00) 2 2 3 4" xfId="908"/>
    <cellStyle name="Normal GHG Numbers (0.00) 2 2 3 5" xfId="2151"/>
    <cellStyle name="Normal GHG Numbers (0.00) 2 2 4" xfId="668"/>
    <cellStyle name="Normal GHG Numbers (0.00) 2 2 4 2" xfId="1898"/>
    <cellStyle name="Normal GHG Numbers (0.00) 2 2 4 2 2" xfId="3137"/>
    <cellStyle name="Normal GHG Numbers (0.00) 2 2 4 3" xfId="1580"/>
    <cellStyle name="Normal GHG Numbers (0.00) 2 2 4 3 2" xfId="2820"/>
    <cellStyle name="Normal GHG Numbers (0.00) 2 2 4 4" xfId="972"/>
    <cellStyle name="Normal GHG Numbers (0.00) 2 2 4 5" xfId="2215"/>
    <cellStyle name="Normal GHG Numbers (0.00) 2 2 5" xfId="730"/>
    <cellStyle name="Normal GHG Numbers (0.00) 2 2 5 2" xfId="1960"/>
    <cellStyle name="Normal GHG Numbers (0.00) 2 2 5 2 2" xfId="3199"/>
    <cellStyle name="Normal GHG Numbers (0.00) 2 2 5 3" xfId="1638"/>
    <cellStyle name="Normal GHG Numbers (0.00) 2 2 5 3 2" xfId="2877"/>
    <cellStyle name="Normal GHG Numbers (0.00) 2 2 5 4" xfId="1034"/>
    <cellStyle name="Normal GHG Numbers (0.00) 2 2 5 5" xfId="2277"/>
    <cellStyle name="Normal GHG Numbers (0.00) 2 2 6" xfId="535"/>
    <cellStyle name="Normal GHG Numbers (0.00) 2 2 6 2" xfId="1462"/>
    <cellStyle name="Normal GHG Numbers (0.00) 2 2 6 3" xfId="2702"/>
    <cellStyle name="Normal GHG Numbers (0.00) 2 2 7" xfId="1261"/>
    <cellStyle name="Normal GHG Numbers (0.00) 2 2 7 2" xfId="2502"/>
    <cellStyle name="Normal GHG Numbers (0.00) 2 2 8" xfId="836"/>
    <cellStyle name="Normal GHG Numbers (0.00) 2 2 8 2" xfId="3292"/>
    <cellStyle name="Normal GHG Numbers (0.00) 2 2 9" xfId="2080"/>
    <cellStyle name="Normal GHG Numbers (0.00) 2 3" xfId="327"/>
    <cellStyle name="Normal GHG Numbers (0.00) 2 3 10" xfId="2031"/>
    <cellStyle name="Normal GHG Numbers (0.00) 2 3 2" xfId="427"/>
    <cellStyle name="Normal GHG Numbers (0.00) 2 3 2 2" xfId="576"/>
    <cellStyle name="Normal GHG Numbers (0.00) 2 3 2 2 2" xfId="1502"/>
    <cellStyle name="Normal GHG Numbers (0.00) 2 3 2 2 3" xfId="2742"/>
    <cellStyle name="Normal GHG Numbers (0.00) 2 3 2 3" xfId="1706"/>
    <cellStyle name="Normal GHG Numbers (0.00) 2 3 2 3 2" xfId="2945"/>
    <cellStyle name="Normal GHG Numbers (0.00) 2 3 2 4" xfId="1255"/>
    <cellStyle name="Normal GHG Numbers (0.00) 2 3 2 4 2" xfId="2496"/>
    <cellStyle name="Normal GHG Numbers (0.00) 2 3 2 5" xfId="880"/>
    <cellStyle name="Normal GHG Numbers (0.00) 2 3 2 5 2" xfId="3354"/>
    <cellStyle name="Normal GHG Numbers (0.00) 2 3 2 6" xfId="2124"/>
    <cellStyle name="Normal GHG Numbers (0.00) 2 3 3" xfId="625"/>
    <cellStyle name="Normal GHG Numbers (0.00) 2 3 3 2" xfId="1540"/>
    <cellStyle name="Normal GHG Numbers (0.00) 2 3 3 2 2" xfId="1855"/>
    <cellStyle name="Normal GHG Numbers (0.00) 2 3 3 2 2 2" xfId="3094"/>
    <cellStyle name="Normal GHG Numbers (0.00) 2 3 3 2 3" xfId="2780"/>
    <cellStyle name="Normal GHG Numbers (0.00) 2 3 3 3" xfId="1149"/>
    <cellStyle name="Normal GHG Numbers (0.00) 2 3 3 3 2" xfId="2391"/>
    <cellStyle name="Normal GHG Numbers (0.00) 2 3 3 4" xfId="1313"/>
    <cellStyle name="Normal GHG Numbers (0.00) 2 3 3 4 2" xfId="2554"/>
    <cellStyle name="Normal GHG Numbers (0.00) 2 3 3 5" xfId="929"/>
    <cellStyle name="Normal GHG Numbers (0.00) 2 3 3 6" xfId="2172"/>
    <cellStyle name="Normal GHG Numbers (0.00) 2 3 4" xfId="689"/>
    <cellStyle name="Normal GHG Numbers (0.00) 2 3 4 2" xfId="1919"/>
    <cellStyle name="Normal GHG Numbers (0.00) 2 3 4 2 2" xfId="3158"/>
    <cellStyle name="Normal GHG Numbers (0.00) 2 3 4 3" xfId="1601"/>
    <cellStyle name="Normal GHG Numbers (0.00) 2 3 4 3 2" xfId="2841"/>
    <cellStyle name="Normal GHG Numbers (0.00) 2 3 4 4" xfId="993"/>
    <cellStyle name="Normal GHG Numbers (0.00) 2 3 4 5" xfId="2236"/>
    <cellStyle name="Normal GHG Numbers (0.00) 2 3 5" xfId="751"/>
    <cellStyle name="Normal GHG Numbers (0.00) 2 3 5 2" xfId="1981"/>
    <cellStyle name="Normal GHG Numbers (0.00) 2 3 5 2 2" xfId="3220"/>
    <cellStyle name="Normal GHG Numbers (0.00) 2 3 5 3" xfId="1659"/>
    <cellStyle name="Normal GHG Numbers (0.00) 2 3 5 3 2" xfId="2898"/>
    <cellStyle name="Normal GHG Numbers (0.00) 2 3 5 4" xfId="1055"/>
    <cellStyle name="Normal GHG Numbers (0.00) 2 3 5 5" xfId="2298"/>
    <cellStyle name="Normal GHG Numbers (0.00) 2 3 6" xfId="431"/>
    <cellStyle name="Normal GHG Numbers (0.00) 2 3 6 2" xfId="1385"/>
    <cellStyle name="Normal GHG Numbers (0.00) 2 3 6 3" xfId="2626"/>
    <cellStyle name="Normal GHG Numbers (0.00) 2 3 7" xfId="1526"/>
    <cellStyle name="Normal GHG Numbers (0.00) 2 3 7 2" xfId="2766"/>
    <cellStyle name="Normal GHG Numbers (0.00) 2 3 8" xfId="1085"/>
    <cellStyle name="Normal GHG Numbers (0.00) 2 3 8 2" xfId="2328"/>
    <cellStyle name="Normal GHG Numbers (0.00) 2 3 9" xfId="783"/>
    <cellStyle name="Normal GHG Numbers (0.00) 2 3 9 2" xfId="3270"/>
    <cellStyle name="Normal GHG Numbers (0.00) 2 4" xfId="529"/>
    <cellStyle name="Normal GHG Numbers (0.00) 2 4 2" xfId="1456"/>
    <cellStyle name="Normal GHG Numbers (0.00) 2 4 2 2" xfId="1788"/>
    <cellStyle name="Normal GHG Numbers (0.00) 2 4 2 2 2" xfId="3027"/>
    <cellStyle name="Normal GHG Numbers (0.00) 2 4 2 3" xfId="2696"/>
    <cellStyle name="Normal GHG Numbers (0.00) 2 4 3" xfId="1697"/>
    <cellStyle name="Normal GHG Numbers (0.00) 2 4 3 2" xfId="2936"/>
    <cellStyle name="Normal GHG Numbers (0.00) 2 4 4" xfId="1179"/>
    <cellStyle name="Normal GHG Numbers (0.00) 2 4 4 2" xfId="2420"/>
    <cellStyle name="Normal GHG Numbers (0.00) 2 4 5" xfId="830"/>
    <cellStyle name="Normal GHG Numbers (0.00) 2 4 5 2" xfId="3246"/>
    <cellStyle name="Normal GHG Numbers (0.00) 2 4 6" xfId="2074"/>
    <cellStyle name="Normal GHG Numbers (0.00) 2 5" xfId="549"/>
    <cellStyle name="Normal GHG Numbers (0.00) 2 5 2" xfId="1795"/>
    <cellStyle name="Normal GHG Numbers (0.00) 2 5 2 2" xfId="3034"/>
    <cellStyle name="Normal GHG Numbers (0.00) 2 5 3" xfId="1184"/>
    <cellStyle name="Normal GHG Numbers (0.00) 2 5 3 2" xfId="2425"/>
    <cellStyle name="Normal GHG Numbers (0.00) 2 5 4" xfId="853"/>
    <cellStyle name="Normal GHG Numbers (0.00) 2 5 4 2" xfId="3328"/>
    <cellStyle name="Normal GHG Numbers (0.00) 2 5 5" xfId="2097"/>
    <cellStyle name="Normal GHG Numbers (0.00) 2 6" xfId="547"/>
    <cellStyle name="Normal GHG Numbers (0.00) 2 6 2" xfId="1792"/>
    <cellStyle name="Normal GHG Numbers (0.00) 2 6 2 2" xfId="3031"/>
    <cellStyle name="Normal GHG Numbers (0.00) 2 6 3" xfId="1474"/>
    <cellStyle name="Normal GHG Numbers (0.00) 2 6 3 2" xfId="2714"/>
    <cellStyle name="Normal GHG Numbers (0.00) 2 6 4" xfId="849"/>
    <cellStyle name="Normal GHG Numbers (0.00) 2 6 5" xfId="2093"/>
    <cellStyle name="Normal GHG Numbers (0.00) 2 7" xfId="348"/>
    <cellStyle name="Normal GHG Numbers (0.00) 2 7 2" xfId="1698"/>
    <cellStyle name="Normal GHG Numbers (0.00) 2 7 2 2" xfId="2937"/>
    <cellStyle name="Normal GHG Numbers (0.00) 2 7 3" xfId="1341"/>
    <cellStyle name="Normal GHG Numbers (0.00) 2 7 4" xfId="2582"/>
    <cellStyle name="Normal GHG Numbers (0.00) 2 8" xfId="1105"/>
    <cellStyle name="Normal GHG Numbers (0.00) 2 8 2" xfId="2348"/>
    <cellStyle name="Normal GHG Numbers (0.00) 2 9" xfId="290"/>
    <cellStyle name="Normal GHG Numbers (0.00) 2 9 2" xfId="3303"/>
    <cellStyle name="Normal GHG Numbers (0.00) 3" xfId="275"/>
    <cellStyle name="Normal GHG Numbers (0.00) 3 2" xfId="474"/>
    <cellStyle name="Normal GHG Numbers (0.00) 3 2 10" xfId="2117"/>
    <cellStyle name="Normal GHG Numbers (0.00) 3 2 2" xfId="618"/>
    <cellStyle name="Normal GHG Numbers (0.00) 3 2 2 2" xfId="1848"/>
    <cellStyle name="Normal GHG Numbers (0.00) 3 2 2 2 2" xfId="3087"/>
    <cellStyle name="Normal GHG Numbers (0.00) 3 2 2 3" xfId="1236"/>
    <cellStyle name="Normal GHG Numbers (0.00) 3 2 2 3 2" xfId="2477"/>
    <cellStyle name="Normal GHG Numbers (0.00) 3 2 2 4" xfId="1533"/>
    <cellStyle name="Normal GHG Numbers (0.00) 3 2 2 4 2" xfId="2773"/>
    <cellStyle name="Normal GHG Numbers (0.00) 3 2 2 5" xfId="922"/>
    <cellStyle name="Normal GHG Numbers (0.00) 3 2 2 5 2" xfId="3377"/>
    <cellStyle name="Normal GHG Numbers (0.00) 3 2 2 6" xfId="2165"/>
    <cellStyle name="Normal GHG Numbers (0.00) 3 2 3" xfId="682"/>
    <cellStyle name="Normal GHG Numbers (0.00) 3 2 3 2" xfId="1912"/>
    <cellStyle name="Normal GHG Numbers (0.00) 3 2 3 2 2" xfId="3151"/>
    <cellStyle name="Normal GHG Numbers (0.00) 3 2 3 3" xfId="1594"/>
    <cellStyle name="Normal GHG Numbers (0.00) 3 2 3 3 2" xfId="2834"/>
    <cellStyle name="Normal GHG Numbers (0.00) 3 2 3 4" xfId="986"/>
    <cellStyle name="Normal GHG Numbers (0.00) 3 2 3 5" xfId="2229"/>
    <cellStyle name="Normal GHG Numbers (0.00) 3 2 4" xfId="744"/>
    <cellStyle name="Normal GHG Numbers (0.00) 3 2 4 2" xfId="1974"/>
    <cellStyle name="Normal GHG Numbers (0.00) 3 2 4 2 2" xfId="3213"/>
    <cellStyle name="Normal GHG Numbers (0.00) 3 2 4 3" xfId="1652"/>
    <cellStyle name="Normal GHG Numbers (0.00) 3 2 4 3 2" xfId="2891"/>
    <cellStyle name="Normal GHG Numbers (0.00) 3 2 4 4" xfId="1048"/>
    <cellStyle name="Normal GHG Numbers (0.00) 3 2 4 5" xfId="2291"/>
    <cellStyle name="Normal GHG Numbers (0.00) 3 2 5" xfId="569"/>
    <cellStyle name="Normal GHG Numbers (0.00) 3 2 5 2" xfId="1811"/>
    <cellStyle name="Normal GHG Numbers (0.00) 3 2 5 2 2" xfId="3050"/>
    <cellStyle name="Normal GHG Numbers (0.00) 3 2 5 3" xfId="1495"/>
    <cellStyle name="Normal GHG Numbers (0.00) 3 2 5 4" xfId="2735"/>
    <cellStyle name="Normal GHG Numbers (0.00) 3 2 6" xfId="1415"/>
    <cellStyle name="Normal GHG Numbers (0.00) 3 2 6 2" xfId="2655"/>
    <cellStyle name="Normal GHG Numbers (0.00) 3 2 7" xfId="1298"/>
    <cellStyle name="Normal GHG Numbers (0.00) 3 2 7 2" xfId="2539"/>
    <cellStyle name="Normal GHG Numbers (0.00) 3 2 8" xfId="1306"/>
    <cellStyle name="Normal GHG Numbers (0.00) 3 2 8 2" xfId="2547"/>
    <cellStyle name="Normal GHG Numbers (0.00) 3 2 9" xfId="873"/>
    <cellStyle name="Normal GHG Numbers (0.00) 3 2 9 2" xfId="3347"/>
    <cellStyle name="Normal GHG Numbers (0.00) 3 3" xfId="370"/>
    <cellStyle name="Normal GHG Numbers (0.00) 3 3 2" xfId="1748"/>
    <cellStyle name="Normal GHG Numbers (0.00) 3 3 2 2" xfId="2987"/>
    <cellStyle name="Normal GHG Numbers (0.00) 3 3 3" xfId="1354"/>
    <cellStyle name="Normal GHG Numbers (0.00) 3 3 3 2" xfId="2595"/>
    <cellStyle name="Normal GHG Numbers (0.00) 3 3 4" xfId="493"/>
    <cellStyle name="Normal GHG Numbers (0.00) 3 3 4 2" xfId="3269"/>
    <cellStyle name="Normal GHG Numbers (0.00) 3 3 5" xfId="2009"/>
    <cellStyle name="Normal GHG Numbers (0.00) 3 4" xfId="1785"/>
    <cellStyle name="Normal GHG Numbers (0.00) 3 4 2" xfId="3024"/>
    <cellStyle name="Normal GHG Numbers (0.00) 3 5" xfId="1366"/>
    <cellStyle name="Normal GHG Numbers (0.00) 3 5 2" xfId="2607"/>
    <cellStyle name="Normal GHG Numbers (0.00) 3 6" xfId="1152"/>
    <cellStyle name="Normal GHG Numbers (0.00) 3 6 2" xfId="2394"/>
    <cellStyle name="Normal GHG Numbers (0.00) 3 7" xfId="419"/>
    <cellStyle name="Normal GHG Numbers (0.00) 3 8" xfId="2006"/>
    <cellStyle name="Normal GHG Numbers (0.00) 3 9" xfId="425"/>
    <cellStyle name="Normal GHG Numbers (0.00) 4" xfId="309"/>
    <cellStyle name="Normal GHG Textfiels Bold" xfId="234"/>
    <cellStyle name="Normal GHG Textfiels Bold 10" xfId="374"/>
    <cellStyle name="Normal GHG Textfiels Bold 2" xfId="395"/>
    <cellStyle name="Normal GHG Textfiels Bold 2 2" xfId="453"/>
    <cellStyle name="Normal GHG Textfiels Bold 2 2 2" xfId="553"/>
    <cellStyle name="Normal GHG Textfiels Bold 2 2 2 2" xfId="1798"/>
    <cellStyle name="Normal GHG Textfiels Bold 2 2 2 2 2" xfId="3037"/>
    <cellStyle name="Normal GHG Textfiels Bold 2 2 2 3" xfId="1479"/>
    <cellStyle name="Normal GHG Textfiels Bold 2 2 2 4" xfId="2719"/>
    <cellStyle name="Normal GHG Textfiels Bold 2 2 3" xfId="1396"/>
    <cellStyle name="Normal GHG Textfiels Bold 2 2 3 2" xfId="2636"/>
    <cellStyle name="Normal GHG Textfiels Bold 2 2 4" xfId="1250"/>
    <cellStyle name="Normal GHG Textfiels Bold 2 2 4 2" xfId="2491"/>
    <cellStyle name="Normal GHG Textfiels Bold 2 2 5" xfId="1218"/>
    <cellStyle name="Normal GHG Textfiels Bold 2 2 5 2" xfId="2459"/>
    <cellStyle name="Normal GHG Textfiels Bold 2 2 6" xfId="857"/>
    <cellStyle name="Normal GHG Textfiels Bold 2 2 6 2" xfId="3332"/>
    <cellStyle name="Normal GHG Textfiels Bold 2 2 7" xfId="2101"/>
    <cellStyle name="Normal GHG Textfiels Bold 2 3" xfId="602"/>
    <cellStyle name="Normal GHG Textfiels Bold 2 3 2" xfId="1832"/>
    <cellStyle name="Normal GHG Textfiels Bold 2 3 2 2" xfId="3071"/>
    <cellStyle name="Normal GHG Textfiels Bold 2 3 3" xfId="1280"/>
    <cellStyle name="Normal GHG Textfiels Bold 2 3 3 2" xfId="2521"/>
    <cellStyle name="Normal GHG Textfiels Bold 2 3 4" xfId="906"/>
    <cellStyle name="Normal GHG Textfiels Bold 2 3 5" xfId="2149"/>
    <cellStyle name="Normal GHG Textfiels Bold 2 4" xfId="666"/>
    <cellStyle name="Normal GHG Textfiels Bold 2 4 2" xfId="1896"/>
    <cellStyle name="Normal GHG Textfiels Bold 2 4 2 2" xfId="3135"/>
    <cellStyle name="Normal GHG Textfiels Bold 2 4 3" xfId="1578"/>
    <cellStyle name="Normal GHG Textfiels Bold 2 4 3 2" xfId="2818"/>
    <cellStyle name="Normal GHG Textfiels Bold 2 4 4" xfId="970"/>
    <cellStyle name="Normal GHG Textfiels Bold 2 4 5" xfId="2213"/>
    <cellStyle name="Normal GHG Textfiels Bold 2 5" xfId="728"/>
    <cellStyle name="Normal GHG Textfiels Bold 2 5 2" xfId="1958"/>
    <cellStyle name="Normal GHG Textfiels Bold 2 5 2 2" xfId="3197"/>
    <cellStyle name="Normal GHG Textfiels Bold 2 5 3" xfId="1636"/>
    <cellStyle name="Normal GHG Textfiels Bold 2 5 3 2" xfId="2875"/>
    <cellStyle name="Normal GHG Textfiels Bold 2 5 4" xfId="1032"/>
    <cellStyle name="Normal GHG Textfiels Bold 2 5 5" xfId="2275"/>
    <cellStyle name="Normal GHG Textfiels Bold 2 6" xfId="533"/>
    <cellStyle name="Normal GHG Textfiels Bold 2 6 2" xfId="1460"/>
    <cellStyle name="Normal GHG Textfiels Bold 2 6 3" xfId="2700"/>
    <cellStyle name="Normal GHG Textfiels Bold 2 7" xfId="1235"/>
    <cellStyle name="Normal GHG Textfiels Bold 2 7 2" xfId="2476"/>
    <cellStyle name="Normal GHG Textfiels Bold 2 8" xfId="834"/>
    <cellStyle name="Normal GHG Textfiels Bold 2 8 2" xfId="3275"/>
    <cellStyle name="Normal GHG Textfiels Bold 2 9" xfId="2078"/>
    <cellStyle name="Normal GHG Textfiels Bold 3" xfId="355"/>
    <cellStyle name="Normal GHG Textfiels Bold 3 10" xfId="2047"/>
    <cellStyle name="Normal GHG Textfiels Bold 3 2" xfId="436"/>
    <cellStyle name="Normal GHG Textfiels Bold 3 2 2" xfId="586"/>
    <cellStyle name="Normal GHG Textfiels Bold 3 2 2 2" xfId="1511"/>
    <cellStyle name="Normal GHG Textfiels Bold 3 2 2 3" xfId="2751"/>
    <cellStyle name="Normal GHG Textfiels Bold 3 2 3" xfId="1712"/>
    <cellStyle name="Normal GHG Textfiels Bold 3 2 3 2" xfId="2951"/>
    <cellStyle name="Normal GHG Textfiels Bold 3 2 4" xfId="1264"/>
    <cellStyle name="Normal GHG Textfiels Bold 3 2 4 2" xfId="2505"/>
    <cellStyle name="Normal GHG Textfiels Bold 3 2 5" xfId="890"/>
    <cellStyle name="Normal GHG Textfiels Bold 3 2 5 2" xfId="3363"/>
    <cellStyle name="Normal GHG Textfiels Bold 3 2 6" xfId="2133"/>
    <cellStyle name="Normal GHG Textfiels Bold 3 3" xfId="635"/>
    <cellStyle name="Normal GHG Textfiels Bold 3 3 2" xfId="1550"/>
    <cellStyle name="Normal GHG Textfiels Bold 3 3 2 2" xfId="1865"/>
    <cellStyle name="Normal GHG Textfiels Bold 3 3 2 2 2" xfId="3104"/>
    <cellStyle name="Normal GHG Textfiels Bold 3 3 2 3" xfId="2790"/>
    <cellStyle name="Normal GHG Textfiels Bold 3 3 3" xfId="1731"/>
    <cellStyle name="Normal GHG Textfiels Bold 3 3 3 2" xfId="2970"/>
    <cellStyle name="Normal GHG Textfiels Bold 3 3 4" xfId="1324"/>
    <cellStyle name="Normal GHG Textfiels Bold 3 3 4 2" xfId="2565"/>
    <cellStyle name="Normal GHG Textfiels Bold 3 3 5" xfId="939"/>
    <cellStyle name="Normal GHG Textfiels Bold 3 3 6" xfId="2182"/>
    <cellStyle name="Normal GHG Textfiels Bold 3 4" xfId="699"/>
    <cellStyle name="Normal GHG Textfiels Bold 3 4 2" xfId="1929"/>
    <cellStyle name="Normal GHG Textfiels Bold 3 4 2 2" xfId="3168"/>
    <cellStyle name="Normal GHG Textfiels Bold 3 4 3" xfId="1611"/>
    <cellStyle name="Normal GHG Textfiels Bold 3 4 3 2" xfId="2851"/>
    <cellStyle name="Normal GHG Textfiels Bold 3 4 4" xfId="1003"/>
    <cellStyle name="Normal GHG Textfiels Bold 3 4 5" xfId="2246"/>
    <cellStyle name="Normal GHG Textfiels Bold 3 5" xfId="760"/>
    <cellStyle name="Normal GHG Textfiels Bold 3 5 2" xfId="1990"/>
    <cellStyle name="Normal GHG Textfiels Bold 3 5 2 2" xfId="3229"/>
    <cellStyle name="Normal GHG Textfiels Bold 3 5 3" xfId="1668"/>
    <cellStyle name="Normal GHG Textfiels Bold 3 5 3 2" xfId="2907"/>
    <cellStyle name="Normal GHG Textfiels Bold 3 5 4" xfId="1064"/>
    <cellStyle name="Normal GHG Textfiels Bold 3 5 5" xfId="2307"/>
    <cellStyle name="Normal GHG Textfiels Bold 3 6" xfId="503"/>
    <cellStyle name="Normal GHG Textfiels Bold 3 6 2" xfId="1434"/>
    <cellStyle name="Normal GHG Textfiels Bold 3 6 3" xfId="2674"/>
    <cellStyle name="Normal GHG Textfiels Bold 3 7" xfId="1389"/>
    <cellStyle name="Normal GHG Textfiels Bold 3 7 2" xfId="2630"/>
    <cellStyle name="Normal GHG Textfiels Bold 3 8" xfId="1086"/>
    <cellStyle name="Normal GHG Textfiels Bold 3 8 2" xfId="2329"/>
    <cellStyle name="Normal GHG Textfiels Bold 3 9" xfId="800"/>
    <cellStyle name="Normal GHG Textfiels Bold 3 9 2" xfId="3307"/>
    <cellStyle name="Normal GHG Textfiels Bold 4" xfId="507"/>
    <cellStyle name="Normal GHG Textfiels Bold 4 2" xfId="1438"/>
    <cellStyle name="Normal GHG Textfiels Bold 4 2 2" xfId="1775"/>
    <cellStyle name="Normal GHG Textfiels Bold 4 2 2 2" xfId="3014"/>
    <cellStyle name="Normal GHG Textfiels Bold 4 2 3" xfId="2678"/>
    <cellStyle name="Normal GHG Textfiels Bold 4 3" xfId="1685"/>
    <cellStyle name="Normal GHG Textfiels Bold 4 3 2" xfId="2924"/>
    <cellStyle name="Normal GHG Textfiels Bold 4 4" xfId="1114"/>
    <cellStyle name="Normal GHG Textfiels Bold 4 4 2" xfId="2357"/>
    <cellStyle name="Normal GHG Textfiels Bold 4 5" xfId="805"/>
    <cellStyle name="Normal GHG Textfiels Bold 4 5 2" xfId="3243"/>
    <cellStyle name="Normal GHG Textfiels Bold 4 6" xfId="2052"/>
    <cellStyle name="Normal GHG Textfiels Bold 5" xfId="411"/>
    <cellStyle name="Normal GHG Textfiels Bold 5 2" xfId="1757"/>
    <cellStyle name="Normal GHG Textfiels Bold 5 2 2" xfId="2996"/>
    <cellStyle name="Normal GHG Textfiels Bold 5 3" xfId="1195"/>
    <cellStyle name="Normal GHG Textfiels Bold 5 3 2" xfId="2436"/>
    <cellStyle name="Normal GHG Textfiels Bold 5 4" xfId="412"/>
    <cellStyle name="Normal GHG Textfiels Bold 5 4 2" xfId="3254"/>
    <cellStyle name="Normal GHG Textfiels Bold 5 5" xfId="2020"/>
    <cellStyle name="Normal GHG Textfiels Bold 6" xfId="548"/>
    <cellStyle name="Normal GHG Textfiels Bold 6 2" xfId="1793"/>
    <cellStyle name="Normal GHG Textfiels Bold 6 2 2" xfId="3032"/>
    <cellStyle name="Normal GHG Textfiels Bold 6 3" xfId="1475"/>
    <cellStyle name="Normal GHG Textfiels Bold 6 3 2" xfId="2715"/>
    <cellStyle name="Normal GHG Textfiels Bold 6 4" xfId="851"/>
    <cellStyle name="Normal GHG Textfiels Bold 6 5" xfId="2095"/>
    <cellStyle name="Normal GHG Textfiels Bold 7" xfId="344"/>
    <cellStyle name="Normal GHG Textfiels Bold 7 2" xfId="1188"/>
    <cellStyle name="Normal GHG Textfiels Bold 7 2 2" xfId="2429"/>
    <cellStyle name="Normal GHG Textfiels Bold 7 3" xfId="1340"/>
    <cellStyle name="Normal GHG Textfiels Bold 7 4" xfId="2581"/>
    <cellStyle name="Normal GHG Textfiels Bold 8" xfId="1135"/>
    <cellStyle name="Normal GHG Textfiels Bold 8 2" xfId="2377"/>
    <cellStyle name="Normal GHG Textfiels Bold 9" xfId="280"/>
    <cellStyle name="Normal GHG Textfiels Bold 9 2" xfId="3315"/>
    <cellStyle name="Normal GHG whole table" xfId="235"/>
    <cellStyle name="Normal GHG whole table 10" xfId="357"/>
    <cellStyle name="Normal GHG whole table 2" xfId="393"/>
    <cellStyle name="Normal GHG whole table 2 2" xfId="451"/>
    <cellStyle name="Normal GHG whole table 2 2 2" xfId="551"/>
    <cellStyle name="Normal GHG whole table 2 2 2 2" xfId="1797"/>
    <cellStyle name="Normal GHG whole table 2 2 2 2 2" xfId="3036"/>
    <cellStyle name="Normal GHG whole table 2 2 2 3" xfId="1477"/>
    <cellStyle name="Normal GHG whole table 2 2 2 4" xfId="2717"/>
    <cellStyle name="Normal GHG whole table 2 2 3" xfId="1394"/>
    <cellStyle name="Normal GHG whole table 2 2 3 2" xfId="2634"/>
    <cellStyle name="Normal GHG whole table 2 2 4" xfId="1300"/>
    <cellStyle name="Normal GHG whole table 2 2 4 2" xfId="2541"/>
    <cellStyle name="Normal GHG whole table 2 2 5" xfId="1216"/>
    <cellStyle name="Normal GHG whole table 2 2 5 2" xfId="2457"/>
    <cellStyle name="Normal GHG whole table 2 2 6" xfId="855"/>
    <cellStyle name="Normal GHG whole table 2 2 6 2" xfId="3330"/>
    <cellStyle name="Normal GHG whole table 2 2 7" xfId="2099"/>
    <cellStyle name="Normal GHG whole table 2 3" xfId="600"/>
    <cellStyle name="Normal GHG whole table 2 3 2" xfId="1830"/>
    <cellStyle name="Normal GHG whole table 2 3 2 2" xfId="3069"/>
    <cellStyle name="Normal GHG whole table 2 3 3" xfId="1278"/>
    <cellStyle name="Normal GHG whole table 2 3 3 2" xfId="2519"/>
    <cellStyle name="Normal GHG whole table 2 3 4" xfId="904"/>
    <cellStyle name="Normal GHG whole table 2 3 5" xfId="2147"/>
    <cellStyle name="Normal GHG whole table 2 4" xfId="664"/>
    <cellStyle name="Normal GHG whole table 2 4 2" xfId="1894"/>
    <cellStyle name="Normal GHG whole table 2 4 2 2" xfId="3133"/>
    <cellStyle name="Normal GHG whole table 2 4 3" xfId="1576"/>
    <cellStyle name="Normal GHG whole table 2 4 3 2" xfId="2816"/>
    <cellStyle name="Normal GHG whole table 2 4 4" xfId="968"/>
    <cellStyle name="Normal GHG whole table 2 4 5" xfId="2211"/>
    <cellStyle name="Normal GHG whole table 2 5" xfId="726"/>
    <cellStyle name="Normal GHG whole table 2 5 2" xfId="1956"/>
    <cellStyle name="Normal GHG whole table 2 5 2 2" xfId="3195"/>
    <cellStyle name="Normal GHG whole table 2 5 3" xfId="1634"/>
    <cellStyle name="Normal GHG whole table 2 5 3 2" xfId="2873"/>
    <cellStyle name="Normal GHG whole table 2 5 4" xfId="1030"/>
    <cellStyle name="Normal GHG whole table 2 5 5" xfId="2273"/>
    <cellStyle name="Normal GHG whole table 2 6" xfId="531"/>
    <cellStyle name="Normal GHG whole table 2 6 2" xfId="1458"/>
    <cellStyle name="Normal GHG whole table 2 6 3" xfId="2698"/>
    <cellStyle name="Normal GHG whole table 2 7" xfId="1129"/>
    <cellStyle name="Normal GHG whole table 2 7 2" xfId="2371"/>
    <cellStyle name="Normal GHG whole table 2 8" xfId="832"/>
    <cellStyle name="Normal GHG whole table 2 8 2" xfId="3276"/>
    <cellStyle name="Normal GHG whole table 2 9" xfId="2076"/>
    <cellStyle name="Normal GHG whole table 3" xfId="338"/>
    <cellStyle name="Normal GHG whole table 3 10" xfId="2041"/>
    <cellStyle name="Normal GHG whole table 3 2" xfId="432"/>
    <cellStyle name="Normal GHG whole table 3 2 2" xfId="582"/>
    <cellStyle name="Normal GHG whole table 3 2 2 2" xfId="1508"/>
    <cellStyle name="Normal GHG whole table 3 2 2 3" xfId="2748"/>
    <cellStyle name="Normal GHG whole table 3 2 3" xfId="1709"/>
    <cellStyle name="Normal GHG whole table 3 2 3 2" xfId="2948"/>
    <cellStyle name="Normal GHG whole table 3 2 4" xfId="1260"/>
    <cellStyle name="Normal GHG whole table 3 2 4 2" xfId="2501"/>
    <cellStyle name="Normal GHG whole table 3 2 5" xfId="886"/>
    <cellStyle name="Normal GHG whole table 3 2 5 2" xfId="3360"/>
    <cellStyle name="Normal GHG whole table 3 2 6" xfId="2130"/>
    <cellStyle name="Normal GHG whole table 3 3" xfId="631"/>
    <cellStyle name="Normal GHG whole table 3 3 2" xfId="1546"/>
    <cellStyle name="Normal GHG whole table 3 3 2 2" xfId="1861"/>
    <cellStyle name="Normal GHG whole table 3 3 2 2 2" xfId="3100"/>
    <cellStyle name="Normal GHG whole table 3 3 2 3" xfId="2786"/>
    <cellStyle name="Normal GHG whole table 3 3 3" xfId="1727"/>
    <cellStyle name="Normal GHG whole table 3 3 3 2" xfId="2966"/>
    <cellStyle name="Normal GHG whole table 3 3 4" xfId="1319"/>
    <cellStyle name="Normal GHG whole table 3 3 4 2" xfId="2560"/>
    <cellStyle name="Normal GHG whole table 3 3 5" xfId="935"/>
    <cellStyle name="Normal GHG whole table 3 3 6" xfId="2178"/>
    <cellStyle name="Normal GHG whole table 3 4" xfId="695"/>
    <cellStyle name="Normal GHG whole table 3 4 2" xfId="1925"/>
    <cellStyle name="Normal GHG whole table 3 4 2 2" xfId="3164"/>
    <cellStyle name="Normal GHG whole table 3 4 3" xfId="1607"/>
    <cellStyle name="Normal GHG whole table 3 4 3 2" xfId="2847"/>
    <cellStyle name="Normal GHG whole table 3 4 4" xfId="999"/>
    <cellStyle name="Normal GHG whole table 3 4 5" xfId="2242"/>
    <cellStyle name="Normal GHG whole table 3 5" xfId="757"/>
    <cellStyle name="Normal GHG whole table 3 5 2" xfId="1987"/>
    <cellStyle name="Normal GHG whole table 3 5 2 2" xfId="3226"/>
    <cellStyle name="Normal GHG whole table 3 5 3" xfId="1665"/>
    <cellStyle name="Normal GHG whole table 3 5 3 2" xfId="2904"/>
    <cellStyle name="Normal GHG whole table 3 5 4" xfId="1061"/>
    <cellStyle name="Normal GHG whole table 3 5 5" xfId="2304"/>
    <cellStyle name="Normal GHG whole table 3 6" xfId="499"/>
    <cellStyle name="Normal GHG whole table 3 6 2" xfId="1430"/>
    <cellStyle name="Normal GHG whole table 3 6 3" xfId="2670"/>
    <cellStyle name="Normal GHG whole table 3 7" xfId="1133"/>
    <cellStyle name="Normal GHG whole table 3 7 2" xfId="2375"/>
    <cellStyle name="Normal GHG whole table 3 8" xfId="1087"/>
    <cellStyle name="Normal GHG whole table 3 8 2" xfId="2330"/>
    <cellStyle name="Normal GHG whole table 3 9" xfId="793"/>
    <cellStyle name="Normal GHG whole table 3 9 2" xfId="3322"/>
    <cellStyle name="Normal GHG whole table 4" xfId="303"/>
    <cellStyle name="Normal GHG whole table 4 2" xfId="1200"/>
    <cellStyle name="Normal GHG whole table 4 2 2" xfId="1753"/>
    <cellStyle name="Normal GHG whole table 4 2 2 2" xfId="2992"/>
    <cellStyle name="Normal GHG whole table 4 2 3" xfId="2441"/>
    <cellStyle name="Normal GHG whole table 4 3" xfId="1344"/>
    <cellStyle name="Normal GHG whole table 4 3 2" xfId="2585"/>
    <cellStyle name="Normal GHG whole table 4 4" xfId="1187"/>
    <cellStyle name="Normal GHG whole table 4 4 2" xfId="2428"/>
    <cellStyle name="Normal GHG whole table 4 5" xfId="345"/>
    <cellStyle name="Normal GHG whole table 4 5 2" xfId="3250"/>
    <cellStyle name="Normal GHG whole table 4 6" xfId="2014"/>
    <cellStyle name="Normal GHG whole table 5" xfId="324"/>
    <cellStyle name="Normal GHG whole table 5 2" xfId="1765"/>
    <cellStyle name="Normal GHG whole table 5 2 2" xfId="3004"/>
    <cellStyle name="Normal GHG whole table 5 3" xfId="1148"/>
    <cellStyle name="Normal GHG whole table 5 3 2" xfId="2390"/>
    <cellStyle name="Normal GHG whole table 5 4" xfId="786"/>
    <cellStyle name="Normal GHG whole table 5 4 2" xfId="3253"/>
    <cellStyle name="Normal GHG whole table 5 5" xfId="2034"/>
    <cellStyle name="Normal GHG whole table 6" xfId="509"/>
    <cellStyle name="Normal GHG whole table 6 2" xfId="1777"/>
    <cellStyle name="Normal GHG whole table 6 2 2" xfId="3016"/>
    <cellStyle name="Normal GHG whole table 6 3" xfId="1440"/>
    <cellStyle name="Normal GHG whole table 6 3 2" xfId="2680"/>
    <cellStyle name="Normal GHG whole table 6 4" xfId="807"/>
    <cellStyle name="Normal GHG whole table 6 5" xfId="2054"/>
    <cellStyle name="Normal GHG whole table 7" xfId="418"/>
    <cellStyle name="Normal GHG whole table 7 2" xfId="1745"/>
    <cellStyle name="Normal GHG whole table 7 2 2" xfId="2984"/>
    <cellStyle name="Normal GHG whole table 7 3" xfId="1380"/>
    <cellStyle name="Normal GHG whole table 7 4" xfId="2621"/>
    <cellStyle name="Normal GHG whole table 8" xfId="1167"/>
    <cellStyle name="Normal GHG whole table 8 2" xfId="2409"/>
    <cellStyle name="Normal GHG whole table 9" xfId="346"/>
    <cellStyle name="Normal GHG whole table 9 2" xfId="3258"/>
    <cellStyle name="Normal GHG-Shade" xfId="236"/>
    <cellStyle name="Normál_Munka1" xfId="237"/>
    <cellStyle name="Normal_Sheet1" xfId="5"/>
    <cellStyle name="Note" xfId="169" builtinId="10" customBuiltin="1"/>
    <cellStyle name="Note 2" xfId="38"/>
    <cellStyle name="Output" xfId="164" builtinId="21" customBuiltin="1"/>
    <cellStyle name="Pattern" xfId="238"/>
    <cellStyle name="Pattern 10" xfId="810"/>
    <cellStyle name="Pattern 2" xfId="400"/>
    <cellStyle name="Pattern 2 2" xfId="458"/>
    <cellStyle name="Pattern 2 2 2" xfId="558"/>
    <cellStyle name="Pattern 2 2 2 2" xfId="1803"/>
    <cellStyle name="Pattern 2 2 2 2 2" xfId="3042"/>
    <cellStyle name="Pattern 2 2 2 3" xfId="1484"/>
    <cellStyle name="Pattern 2 2 2 4" xfId="2724"/>
    <cellStyle name="Pattern 2 2 3" xfId="1401"/>
    <cellStyle name="Pattern 2 2 3 2" xfId="2641"/>
    <cellStyle name="Pattern 2 2 4" xfId="1713"/>
    <cellStyle name="Pattern 2 2 4 2" xfId="2952"/>
    <cellStyle name="Pattern 2 2 5" xfId="1223"/>
    <cellStyle name="Pattern 2 2 5 2" xfId="2464"/>
    <cellStyle name="Pattern 2 2 6" xfId="862"/>
    <cellStyle name="Pattern 2 2 6 2" xfId="3337"/>
    <cellStyle name="Pattern 2 2 7" xfId="2106"/>
    <cellStyle name="Pattern 2 3" xfId="607"/>
    <cellStyle name="Pattern 2 3 2" xfId="1837"/>
    <cellStyle name="Pattern 2 3 2 2" xfId="3076"/>
    <cellStyle name="Pattern 2 3 3" xfId="1285"/>
    <cellStyle name="Pattern 2 3 3 2" xfId="2526"/>
    <cellStyle name="Pattern 2 3 4" xfId="911"/>
    <cellStyle name="Pattern 2 3 5" xfId="2154"/>
    <cellStyle name="Pattern 2 4" xfId="671"/>
    <cellStyle name="Pattern 2 4 2" xfId="1901"/>
    <cellStyle name="Pattern 2 4 2 2" xfId="3140"/>
    <cellStyle name="Pattern 2 4 3" xfId="1583"/>
    <cellStyle name="Pattern 2 4 3 2" xfId="2823"/>
    <cellStyle name="Pattern 2 4 4" xfId="975"/>
    <cellStyle name="Pattern 2 4 5" xfId="2218"/>
    <cellStyle name="Pattern 2 5" xfId="733"/>
    <cellStyle name="Pattern 2 5 2" xfId="1963"/>
    <cellStyle name="Pattern 2 5 2 2" xfId="3202"/>
    <cellStyle name="Pattern 2 5 3" xfId="1641"/>
    <cellStyle name="Pattern 2 5 3 2" xfId="2880"/>
    <cellStyle name="Pattern 2 5 4" xfId="1037"/>
    <cellStyle name="Pattern 2 5 5" xfId="2280"/>
    <cellStyle name="Pattern 2 6" xfId="538"/>
    <cellStyle name="Pattern 2 6 2" xfId="1465"/>
    <cellStyle name="Pattern 2 6 3" xfId="2705"/>
    <cellStyle name="Pattern 2 7" xfId="1156"/>
    <cellStyle name="Pattern 2 7 2" xfId="2398"/>
    <cellStyle name="Pattern 2 8" xfId="839"/>
    <cellStyle name="Pattern 2 8 2" xfId="3302"/>
    <cellStyle name="Pattern 2 9" xfId="2083"/>
    <cellStyle name="Pattern 3" xfId="330"/>
    <cellStyle name="Pattern 3 10" xfId="2035"/>
    <cellStyle name="Pattern 3 2" xfId="428"/>
    <cellStyle name="Pattern 3 2 2" xfId="577"/>
    <cellStyle name="Pattern 3 2 2 2" xfId="1503"/>
    <cellStyle name="Pattern 3 2 2 3" xfId="2743"/>
    <cellStyle name="Pattern 3 2 3" xfId="1707"/>
    <cellStyle name="Pattern 3 2 3 2" xfId="2946"/>
    <cellStyle name="Pattern 3 2 4" xfId="1256"/>
    <cellStyle name="Pattern 3 2 4 2" xfId="2497"/>
    <cellStyle name="Pattern 3 2 5" xfId="881"/>
    <cellStyle name="Pattern 3 2 5 2" xfId="3355"/>
    <cellStyle name="Pattern 3 2 6" xfId="2125"/>
    <cellStyle name="Pattern 3 3" xfId="626"/>
    <cellStyle name="Pattern 3 3 2" xfId="1541"/>
    <cellStyle name="Pattern 3 3 2 2" xfId="1856"/>
    <cellStyle name="Pattern 3 3 2 2 2" xfId="3095"/>
    <cellStyle name="Pattern 3 3 2 3" xfId="2781"/>
    <cellStyle name="Pattern 3 3 3" xfId="1117"/>
    <cellStyle name="Pattern 3 3 3 2" xfId="2360"/>
    <cellStyle name="Pattern 3 3 4" xfId="1314"/>
    <cellStyle name="Pattern 3 3 4 2" xfId="2555"/>
    <cellStyle name="Pattern 3 3 5" xfId="930"/>
    <cellStyle name="Pattern 3 3 6" xfId="2173"/>
    <cellStyle name="Pattern 3 4" xfId="690"/>
    <cellStyle name="Pattern 3 4 2" xfId="1920"/>
    <cellStyle name="Pattern 3 4 2 2" xfId="3159"/>
    <cellStyle name="Pattern 3 4 3" xfId="1602"/>
    <cellStyle name="Pattern 3 4 3 2" xfId="2842"/>
    <cellStyle name="Pattern 3 4 4" xfId="994"/>
    <cellStyle name="Pattern 3 4 5" xfId="2237"/>
    <cellStyle name="Pattern 3 5" xfId="752"/>
    <cellStyle name="Pattern 3 5 2" xfId="1982"/>
    <cellStyle name="Pattern 3 5 2 2" xfId="3221"/>
    <cellStyle name="Pattern 3 5 3" xfId="1660"/>
    <cellStyle name="Pattern 3 5 3 2" xfId="2899"/>
    <cellStyle name="Pattern 3 5 4" xfId="1056"/>
    <cellStyle name="Pattern 3 5 5" xfId="2299"/>
    <cellStyle name="Pattern 3 6" xfId="430"/>
    <cellStyle name="Pattern 3 6 2" xfId="1384"/>
    <cellStyle name="Pattern 3 6 3" xfId="2625"/>
    <cellStyle name="Pattern 3 7" xfId="1112"/>
    <cellStyle name="Pattern 3 7 2" xfId="2355"/>
    <cellStyle name="Pattern 3 8" xfId="1088"/>
    <cellStyle name="Pattern 3 8 2" xfId="2331"/>
    <cellStyle name="Pattern 3 9" xfId="787"/>
    <cellStyle name="Pattern 3 9 2" xfId="3283"/>
    <cellStyle name="Pattern 4" xfId="508"/>
    <cellStyle name="Pattern 4 2" xfId="1439"/>
    <cellStyle name="Pattern 4 2 2" xfId="1776"/>
    <cellStyle name="Pattern 4 2 2 2" xfId="3015"/>
    <cellStyle name="Pattern 4 2 3" xfId="2679"/>
    <cellStyle name="Pattern 4 3" xfId="1689"/>
    <cellStyle name="Pattern 4 3 2" xfId="2928"/>
    <cellStyle name="Pattern 4 4" xfId="1104"/>
    <cellStyle name="Pattern 4 4 2" xfId="2347"/>
    <cellStyle name="Pattern 4 5" xfId="806"/>
    <cellStyle name="Pattern 4 5 2" xfId="3314"/>
    <cellStyle name="Pattern 4 6" xfId="2053"/>
    <cellStyle name="Pattern 5" xfId="649"/>
    <cellStyle name="Pattern 5 2" xfId="1879"/>
    <cellStyle name="Pattern 5 2 2" xfId="3118"/>
    <cellStyle name="Pattern 5 3" xfId="1102"/>
    <cellStyle name="Pattern 5 3 2" xfId="2345"/>
    <cellStyle name="Pattern 5 4" xfId="953"/>
    <cellStyle name="Pattern 5 4 2" xfId="3391"/>
    <cellStyle name="Pattern 5 5" xfId="2196"/>
    <cellStyle name="Pattern 6" xfId="350"/>
    <cellStyle name="Pattern 6 2" xfId="1756"/>
    <cellStyle name="Pattern 6 2 2" xfId="2995"/>
    <cellStyle name="Pattern 6 3" xfId="1343"/>
    <cellStyle name="Pattern 6 3 2" xfId="2584"/>
    <cellStyle name="Pattern 6 4" xfId="304"/>
    <cellStyle name="Pattern 6 5" xfId="2018"/>
    <cellStyle name="Pattern 7" xfId="373"/>
    <cellStyle name="Pattern 7 2" xfId="1789"/>
    <cellStyle name="Pattern 7 2 2" xfId="3028"/>
    <cellStyle name="Pattern 7 3" xfId="1357"/>
    <cellStyle name="Pattern 7 4" xfId="2598"/>
    <cellStyle name="Pattern 8" xfId="1364"/>
    <cellStyle name="Pattern 8 2" xfId="2605"/>
    <cellStyle name="Pattern 9" xfId="491"/>
    <cellStyle name="Pattern 9 2" xfId="3311"/>
    <cellStyle name="Percent" xfId="52" builtinId="5"/>
    <cellStyle name="Percent 2" xfId="39"/>
    <cellStyle name="Percent 2 2" xfId="40"/>
    <cellStyle name="Percent 3" xfId="41"/>
    <cellStyle name="Percent 4" xfId="42"/>
    <cellStyle name="Percent 5" xfId="209"/>
    <cellStyle name="Percent 5 2" xfId="215"/>
    <cellStyle name="Percent 6" xfId="217"/>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1"/>
    <cellStyle name="Standaard 2 2 3" xfId="240"/>
    <cellStyle name="Standaard 2 3" xfId="120"/>
    <cellStyle name="Standaard 2 4" xfId="121"/>
    <cellStyle name="Standaard 2 5" xfId="239"/>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3"/>
    <cellStyle name="Standaard 3 3" xfId="244"/>
    <cellStyle name="Standaard 3 4" xfId="242"/>
    <cellStyle name="Standaard 4" xfId="139"/>
    <cellStyle name="Standaard 4 2" xfId="140"/>
    <cellStyle name="Standaard 4 3" xfId="245"/>
    <cellStyle name="Standaard 5" xfId="141"/>
    <cellStyle name="Standaard 6" xfId="142"/>
    <cellStyle name="Standaard 7" xfId="143"/>
    <cellStyle name="Standaard 7 2" xfId="144"/>
    <cellStyle name="Standaard 8" xfId="145"/>
    <cellStyle name="Standaard 8 2" xfId="146"/>
    <cellStyle name="Standaard 9" xfId="147"/>
    <cellStyle name="Standard 2" xfId="246"/>
    <cellStyle name="Standard 3" xfId="247"/>
    <cellStyle name="Standard 3 2" xfId="248"/>
    <cellStyle name="Standard_Aggregate CO2 balance" xfId="44"/>
    <cellStyle name="Tabeltitel" xfId="45"/>
    <cellStyle name="Tabeltitel 2" xfId="263"/>
    <cellStyle name="Tabeltitel 2 2" xfId="409"/>
    <cellStyle name="Tabeltitel 2 2 2" xfId="467"/>
    <cellStyle name="Tabeltitel 2 2 2 2" xfId="494"/>
    <cellStyle name="Tabeltitel 2 2 2 2 2" xfId="648"/>
    <cellStyle name="Tabeltitel 2 2 2 2 2 2" xfId="1878"/>
    <cellStyle name="Tabeltitel 2 2 2 2 2 2 2" xfId="3117"/>
    <cellStyle name="Tabeltitel 2 2 2 2 2 3" xfId="1563"/>
    <cellStyle name="Tabeltitel 2 2 2 2 2 4" xfId="2803"/>
    <cellStyle name="Tabeltitel 2 2 2 2 3" xfId="1744"/>
    <cellStyle name="Tabeltitel 2 2 2 2 3 2" xfId="2983"/>
    <cellStyle name="Tabeltitel 2 2 2 2 4" xfId="1428"/>
    <cellStyle name="Tabeltitel 2 2 2 2 4 2" xfId="2668"/>
    <cellStyle name="Tabeltitel 2 2 2 2 5" xfId="952"/>
    <cellStyle name="Tabeltitel 2 2 2 2 5 2" xfId="3390"/>
    <cellStyle name="Tabeltitel 2 2 2 2 6" xfId="2195"/>
    <cellStyle name="Tabeltitel 2 2 2 3" xfId="712"/>
    <cellStyle name="Tabeltitel 2 2 2 3 2" xfId="1942"/>
    <cellStyle name="Tabeltitel 2 2 2 3 2 2" xfId="3181"/>
    <cellStyle name="Tabeltitel 2 2 2 3 3" xfId="1624"/>
    <cellStyle name="Tabeltitel 2 2 2 3 3 2" xfId="2864"/>
    <cellStyle name="Tabeltitel 2 2 2 3 4" xfId="1016"/>
    <cellStyle name="Tabeltitel 2 2 2 3 5" xfId="2259"/>
    <cellStyle name="Tabeltitel 2 2 2 4" xfId="1410"/>
    <cellStyle name="Tabeltitel 2 2 2 4 2" xfId="2650"/>
    <cellStyle name="Tabeltitel 2 2 2 5" xfId="1705"/>
    <cellStyle name="Tabeltitel 2 2 2 5 2" xfId="2944"/>
    <cellStyle name="Tabeltitel 2 2 2 6" xfId="1232"/>
    <cellStyle name="Tabeltitel 2 2 2 6 2" xfId="2473"/>
    <cellStyle name="Tabeltitel 2 2 3" xfId="472"/>
    <cellStyle name="Tabeltitel 2 2 3 2" xfId="567"/>
    <cellStyle name="Tabeltitel 2 2 3 2 2" xfId="1493"/>
    <cellStyle name="Tabeltitel 2 2 3 2 3" xfId="2733"/>
    <cellStyle name="Tabeltitel 2 2 3 3" xfId="1809"/>
    <cellStyle name="Tabeltitel 2 2 3 3 2" xfId="3048"/>
    <cellStyle name="Tabeltitel 2 2 3 4" xfId="1413"/>
    <cellStyle name="Tabeltitel 2 2 3 4 2" xfId="2653"/>
    <cellStyle name="Tabeltitel 2 2 3 5" xfId="871"/>
    <cellStyle name="Tabeltitel 2 2 3 6" xfId="2115"/>
    <cellStyle name="Tabeltitel 2 2 4" xfId="616"/>
    <cellStyle name="Tabeltitel 2 2 4 2" xfId="1846"/>
    <cellStyle name="Tabeltitel 2 2 4 2 2" xfId="3085"/>
    <cellStyle name="Tabeltitel 2 2 4 3" xfId="1531"/>
    <cellStyle name="Tabeltitel 2 2 4 3 2" xfId="2771"/>
    <cellStyle name="Tabeltitel 2 2 4 4" xfId="920"/>
    <cellStyle name="Tabeltitel 2 2 4 5" xfId="2163"/>
    <cellStyle name="Tabeltitel 2 2 5" xfId="680"/>
    <cellStyle name="Tabeltitel 2 2 5 2" xfId="1910"/>
    <cellStyle name="Tabeltitel 2 2 5 2 2" xfId="3149"/>
    <cellStyle name="Tabeltitel 2 2 5 3" xfId="1592"/>
    <cellStyle name="Tabeltitel 2 2 5 3 2" xfId="2832"/>
    <cellStyle name="Tabeltitel 2 2 5 4" xfId="984"/>
    <cellStyle name="Tabeltitel 2 2 5 5" xfId="2227"/>
    <cellStyle name="Tabeltitel 2 2 6" xfId="742"/>
    <cellStyle name="Tabeltitel 2 2 6 2" xfId="1972"/>
    <cellStyle name="Tabeltitel 2 2 6 2 2" xfId="3211"/>
    <cellStyle name="Tabeltitel 2 2 6 3" xfId="1650"/>
    <cellStyle name="Tabeltitel 2 2 6 3 2" xfId="2889"/>
    <cellStyle name="Tabeltitel 2 2 6 4" xfId="1046"/>
    <cellStyle name="Tabeltitel 2 2 6 5" xfId="2289"/>
    <cellStyle name="Tabeltitel 2 2 7" xfId="1234"/>
    <cellStyle name="Tabeltitel 2 2 7 2" xfId="2475"/>
    <cellStyle name="Tabeltitel 2 2 8" xfId="1191"/>
    <cellStyle name="Tabeltitel 2 2 8 2" xfId="2432"/>
    <cellStyle name="Tabeltitel 2 3" xfId="421"/>
    <cellStyle name="Tabeltitel 2 3 2" xfId="662"/>
    <cellStyle name="Tabeltitel 2 3 2 2" xfId="1892"/>
    <cellStyle name="Tabeltitel 2 3 2 2 2" xfId="3131"/>
    <cellStyle name="Tabeltitel 2 3 2 3" xfId="1574"/>
    <cellStyle name="Tabeltitel 2 3 2 4" xfId="2814"/>
    <cellStyle name="Tabeltitel 2 3 3" xfId="1381"/>
    <cellStyle name="Tabeltitel 2 3 3 2" xfId="2622"/>
    <cellStyle name="Tabeltitel 2 3 4" xfId="1686"/>
    <cellStyle name="Tabeltitel 2 3 4 2" xfId="2925"/>
    <cellStyle name="Tabeltitel 2 3 5" xfId="1199"/>
    <cellStyle name="Tabeltitel 2 3 5 2" xfId="2440"/>
    <cellStyle name="Tabeltitel 2 3 6" xfId="966"/>
    <cellStyle name="Tabeltitel 2 3 6 2" xfId="3404"/>
    <cellStyle name="Tabeltitel 2 3 7" xfId="2209"/>
    <cellStyle name="Tabeltitel 2 4" xfId="312"/>
    <cellStyle name="Tabeltitel 2 4 2" xfId="1164"/>
    <cellStyle name="Tabeltitel 2 4 2 2" xfId="2406"/>
    <cellStyle name="Tabeltitel 2 4 3" xfId="1252"/>
    <cellStyle name="Tabeltitel 2 4 3 2" xfId="2493"/>
    <cellStyle name="Tabeltitel 2 4 4" xfId="1213"/>
    <cellStyle name="Tabeltitel 2 4 5" xfId="2454"/>
    <cellStyle name="Tabeltitel 2 5" xfId="1142"/>
    <cellStyle name="Tabeltitel 2 5 2" xfId="2384"/>
    <cellStyle name="Tabeltitel 2 6" xfId="1101"/>
    <cellStyle name="Tabeltitel 2 6 2" xfId="2344"/>
    <cellStyle name="Tabeltitel 3" xfId="343"/>
    <cellStyle name="Tabeltitel 3 2" xfId="433"/>
    <cellStyle name="Tabeltitel 3 2 2" xfId="485"/>
    <cellStyle name="Tabeltitel 3 2 2 2" xfId="633"/>
    <cellStyle name="Tabeltitel 3 2 2 2 2" xfId="1863"/>
    <cellStyle name="Tabeltitel 3 2 2 2 2 2" xfId="3102"/>
    <cellStyle name="Tabeltitel 3 2 2 2 3" xfId="1548"/>
    <cellStyle name="Tabeltitel 3 2 2 2 4" xfId="2788"/>
    <cellStyle name="Tabeltitel 3 2 2 3" xfId="1729"/>
    <cellStyle name="Tabeltitel 3 2 2 3 2" xfId="2968"/>
    <cellStyle name="Tabeltitel 3 2 2 4" xfId="1423"/>
    <cellStyle name="Tabeltitel 3 2 2 4 2" xfId="2663"/>
    <cellStyle name="Tabeltitel 3 2 2 5" xfId="937"/>
    <cellStyle name="Tabeltitel 3 2 2 5 2" xfId="3388"/>
    <cellStyle name="Tabeltitel 3 2 2 6" xfId="2180"/>
    <cellStyle name="Tabeltitel 3 2 3" xfId="697"/>
    <cellStyle name="Tabeltitel 3 2 3 2" xfId="1927"/>
    <cellStyle name="Tabeltitel 3 2 3 2 2" xfId="3166"/>
    <cellStyle name="Tabeltitel 3 2 3 3" xfId="1609"/>
    <cellStyle name="Tabeltitel 3 2 3 3 2" xfId="2849"/>
    <cellStyle name="Tabeltitel 3 2 3 4" xfId="1001"/>
    <cellStyle name="Tabeltitel 3 2 3 5" xfId="2244"/>
    <cellStyle name="Tabeltitel 3 2 4" xfId="1386"/>
    <cellStyle name="Tabeltitel 3 2 4 2" xfId="2627"/>
    <cellStyle name="Tabeltitel 3 2 5" xfId="1361"/>
    <cellStyle name="Tabeltitel 3 2 5 2" xfId="2602"/>
    <cellStyle name="Tabeltitel 3 2 6" xfId="1168"/>
    <cellStyle name="Tabeltitel 3 2 6 2" xfId="2410"/>
    <cellStyle name="Tabeltitel 3 3" xfId="356"/>
    <cellStyle name="Tabeltitel 3 3 2" xfId="512"/>
    <cellStyle name="Tabeltitel 3 3 2 2" xfId="1779"/>
    <cellStyle name="Tabeltitel 3 3 2 2 2" xfId="3018"/>
    <cellStyle name="Tabeltitel 3 3 2 3" xfId="1442"/>
    <cellStyle name="Tabeltitel 3 3 2 4" xfId="2682"/>
    <cellStyle name="Tabeltitel 3 3 3" xfId="1710"/>
    <cellStyle name="Tabeltitel 3 3 3 2" xfId="2949"/>
    <cellStyle name="Tabeltitel 3 3 4" xfId="1347"/>
    <cellStyle name="Tabeltitel 3 3 4 2" xfId="2588"/>
    <cellStyle name="Tabeltitel 3 3 5" xfId="812"/>
    <cellStyle name="Tabeltitel 3 3 6" xfId="2056"/>
    <cellStyle name="Tabeltitel 3 4" xfId="500"/>
    <cellStyle name="Tabeltitel 3 4 2" xfId="1769"/>
    <cellStyle name="Tabeltitel 3 4 2 2" xfId="3008"/>
    <cellStyle name="Tabeltitel 3 4 3" xfId="1431"/>
    <cellStyle name="Tabeltitel 3 4 3 2" xfId="2671"/>
    <cellStyle name="Tabeltitel 3 4 4" xfId="795"/>
    <cellStyle name="Tabeltitel 3 4 5" xfId="2043"/>
    <cellStyle name="Tabeltitel 3 5" xfId="328"/>
    <cellStyle name="Tabeltitel 3 5 2" xfId="1754"/>
    <cellStyle name="Tabeltitel 3 5 2 2" xfId="2993"/>
    <cellStyle name="Tabeltitel 3 5 3" xfId="1196"/>
    <cellStyle name="Tabeltitel 3 5 3 2" xfId="2437"/>
    <cellStyle name="Tabeltitel 3 5 4" xfId="283"/>
    <cellStyle name="Tabeltitel 3 5 5" xfId="2015"/>
    <cellStyle name="Tabeltitel 3 6" xfId="340"/>
    <cellStyle name="Tabeltitel 3 6 2" xfId="1755"/>
    <cellStyle name="Tabeltitel 3 6 2 2" xfId="2994"/>
    <cellStyle name="Tabeltitel 3 6 3" xfId="1258"/>
    <cellStyle name="Tabeltitel 3 6 3 2" xfId="2499"/>
    <cellStyle name="Tabeltitel 3 6 4" xfId="435"/>
    <cellStyle name="Tabeltitel 3 6 5" xfId="2016"/>
    <cellStyle name="Tabeltitel 3 7" xfId="1807"/>
    <cellStyle name="Tabeltitel 3 7 2" xfId="3046"/>
    <cellStyle name="Tabeltitel 3 8" xfId="1529"/>
    <cellStyle name="Tabeltitel 3 8 2" xfId="2769"/>
    <cellStyle name="Tabeltitel 3 9" xfId="1083"/>
    <cellStyle name="Tabeltitel 3 9 2" xfId="2326"/>
    <cellStyle name="Tabeltitel 4" xfId="293"/>
    <cellStyle name="Tabeltitel 4 2" xfId="416"/>
    <cellStyle name="Tabeltitel 4 2 2" xfId="1750"/>
    <cellStyle name="Tabeltitel 4 2 2 2" xfId="2989"/>
    <cellStyle name="Tabeltitel 4 2 3" xfId="1378"/>
    <cellStyle name="Tabeltitel 4 2 4" xfId="2619"/>
    <cellStyle name="Tabeltitel 4 3" xfId="1253"/>
    <cellStyle name="Tabeltitel 4 3 2" xfId="2494"/>
    <cellStyle name="Tabeltitel 4 4" xfId="1297"/>
    <cellStyle name="Tabeltitel 4 4 2" xfId="2538"/>
    <cellStyle name="Tabeltitel 4 5" xfId="1141"/>
    <cellStyle name="Tabeltitel 4 5 2" xfId="2383"/>
    <cellStyle name="Tabeltitel 4 6" xfId="301"/>
    <cellStyle name="Tabeltitel 4 6 2" xfId="3264"/>
    <cellStyle name="Tabeltitel 4 7" xfId="2011"/>
    <cellStyle name="Tabeltitel 5" xfId="353"/>
    <cellStyle name="Tabeltitel 5 2" xfId="1345"/>
    <cellStyle name="Tabeltitel 5 2 2" xfId="2586"/>
    <cellStyle name="Tabeltitel 5 3" xfId="1304"/>
    <cellStyle name="Tabeltitel 5 3 2" xfId="2545"/>
    <cellStyle name="Tabeltitel 5 4" xfId="1163"/>
    <cellStyle name="Tabeltitel 5 5" xfId="2405"/>
    <cellStyle name="Tabeltitel 6" xfId="1131"/>
    <cellStyle name="Tabeltitel 6 2" xfId="2373"/>
    <cellStyle name="Tabeltitel 7" xfId="378"/>
    <cellStyle name="Tabeltitel 7 2" xfId="2019"/>
    <cellStyle name="Titel" xfId="46"/>
    <cellStyle name="Title 2" xfId="151"/>
    <cellStyle name="Title 3" xfId="205"/>
    <cellStyle name="Title 4" xfId="198"/>
    <cellStyle name="Title 5" xfId="220"/>
    <cellStyle name="Total" xfId="171" builtinId="25" customBuiltin="1"/>
    <cellStyle name="W?rung [0]_Input" xfId="47"/>
    <cellStyle name="W?rung_Input" xfId="48"/>
    <cellStyle name="Währung [0]_Input" xfId="49"/>
    <cellStyle name="Währung_Input" xfId="50"/>
    <cellStyle name="Warning Text" xfId="168" builtinId="11" customBuiltin="1"/>
    <cellStyle name="Year" xfId="51"/>
    <cellStyle name="Обычный_CRF Software v1.20" xfId="249"/>
  </cellStyles>
  <dxfs count="25">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fill>
        <patternFill patternType="none">
          <fgColor indexed="64"/>
          <bgColor indexed="65"/>
        </patternFill>
      </fill>
    </dxf>
    <dxf>
      <numFmt numFmtId="178" formatCode="0.0%"/>
    </dxf>
    <dxf>
      <numFmt numFmtId="178" formatCode="0.0%"/>
    </dxf>
    <dxf>
      <numFmt numFmtId="178" formatCode="0.0%"/>
    </dxf>
    <dxf>
      <numFmt numFmtId="178" formatCode="0.0%"/>
      <fill>
        <patternFill patternType="none">
          <fgColor indexed="64"/>
          <bgColor indexed="65"/>
        </patternFill>
      </fill>
    </dxf>
    <dxf>
      <numFmt numFmtId="178" formatCode="0.0%"/>
    </dxf>
    <dxf>
      <numFmt numFmtId="178"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009999"/>
      <color rgb="FF33CC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883129F6-6FB8-4513-9FF3-12CC4B4BD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http://www4.vlaanderen.be/dar/svr/Pages/2011-01-24-studiedag-projecties.aspx" TargetMode="External"/><Relationship Id="rId2" Type="http://schemas.openxmlformats.org/officeDocument/2006/relationships/hyperlink" Target="mailto:tine.tanghe@vea.be" TargetMode="External"/><Relationship Id="rId1" Type="http://schemas.openxmlformats.org/officeDocument/2006/relationships/hyperlink" Target="mailto:Sander.VanHerzeele@eandis.be" TargetMode="External"/><Relationship Id="rId6" Type="http://schemas.openxmlformats.org/officeDocument/2006/relationships/printerSettings" Target="../printerSettings/printerSettings23.bin"/><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5" customFormat="1" ht="20.25" customHeight="1">
      <c r="A2" s="397" t="s">
        <v>723</v>
      </c>
      <c r="B2" s="398"/>
      <c r="C2" s="399"/>
    </row>
    <row r="3" spans="1:7" s="11" customFormat="1" ht="15" customHeight="1">
      <c r="A3" s="93"/>
      <c r="B3" s="74"/>
      <c r="C3" s="94"/>
    </row>
    <row r="4" spans="1:7" s="11" customFormat="1" ht="15.75" customHeight="1" thickBot="1">
      <c r="A4" s="105" t="s">
        <v>962</v>
      </c>
      <c r="B4" s="106"/>
      <c r="C4" s="107"/>
    </row>
    <row r="5" spans="1:7" s="392" customFormat="1" ht="15.75" customHeight="1">
      <c r="A5" s="389" t="s">
        <v>0</v>
      </c>
      <c r="B5" s="390"/>
      <c r="C5" s="391"/>
    </row>
    <row r="6" spans="1:7" s="392" customFormat="1" ht="15" customHeight="1">
      <c r="A6" s="393" t="str">
        <f>txtNIS</f>
        <v>31043</v>
      </c>
      <c r="B6" s="394"/>
      <c r="C6" s="395"/>
    </row>
    <row r="7" spans="1:7" s="392" customFormat="1" ht="15.75" customHeight="1">
      <c r="A7" s="396" t="str">
        <f>txtMunicipality</f>
        <v>KNOKKE-HEIST</v>
      </c>
      <c r="B7" s="394"/>
      <c r="C7" s="395"/>
    </row>
    <row r="8" spans="1:7" ht="15.75" thickBot="1">
      <c r="A8" s="45"/>
      <c r="B8" s="108"/>
      <c r="C8" s="109"/>
    </row>
    <row r="9" spans="1:7" s="385" customFormat="1" ht="15.75" thickBot="1">
      <c r="A9" s="409" t="s">
        <v>356</v>
      </c>
      <c r="B9" s="412"/>
      <c r="C9" s="413"/>
    </row>
    <row r="10" spans="1:7" s="15" customFormat="1" ht="57.75" customHeight="1" thickBot="1">
      <c r="A10" s="1059" t="s">
        <v>722</v>
      </c>
      <c r="B10" s="1060"/>
      <c r="C10" s="1061"/>
    </row>
    <row r="11" spans="1:7" s="386" customFormat="1" ht="15.75" thickBot="1">
      <c r="A11" s="409" t="s">
        <v>359</v>
      </c>
      <c r="B11" s="412"/>
      <c r="C11" s="413"/>
      <c r="G11" s="387"/>
    </row>
    <row r="12" spans="1:7">
      <c r="A12" s="44"/>
      <c r="B12" s="43"/>
      <c r="C12" s="96"/>
    </row>
    <row r="13" spans="1:7" s="386" customFormat="1">
      <c r="A13" s="763" t="s">
        <v>626</v>
      </c>
      <c r="B13" s="383"/>
      <c r="C13" s="384"/>
      <c r="D13" s="385"/>
      <c r="E13" s="385"/>
      <c r="G13" s="387"/>
    </row>
    <row r="14" spans="1:7" s="386" customFormat="1">
      <c r="A14" s="388"/>
      <c r="B14" s="383"/>
      <c r="C14" s="384"/>
      <c r="D14" s="385"/>
      <c r="E14" s="385"/>
      <c r="G14" s="387"/>
    </row>
    <row r="15" spans="1:7" s="15" customFormat="1" ht="15.75" thickBot="1">
      <c r="A15" s="97"/>
      <c r="B15" s="43"/>
      <c r="C15" s="96"/>
      <c r="D15"/>
      <c r="E15"/>
      <c r="G15" s="68"/>
    </row>
    <row r="16" spans="1:7" s="385" customFormat="1" ht="32.25" customHeight="1" thickBot="1">
      <c r="A16" s="409" t="s">
        <v>360</v>
      </c>
      <c r="B16" s="1062" t="s">
        <v>531</v>
      </c>
      <c r="C16" s="1063"/>
    </row>
    <row r="17" spans="1:3" s="15" customFormat="1" ht="15.75">
      <c r="A17" s="98"/>
      <c r="B17" s="70"/>
      <c r="C17" s="99"/>
    </row>
    <row r="18" spans="1:3">
      <c r="A18" s="95" t="s">
        <v>363</v>
      </c>
      <c r="B18" s="69" t="s">
        <v>375</v>
      </c>
      <c r="C18" s="100" t="s">
        <v>374</v>
      </c>
    </row>
    <row r="19" spans="1:3" s="337" customFormat="1">
      <c r="A19" s="376" t="s">
        <v>361</v>
      </c>
      <c r="B19" s="377" t="s">
        <v>706</v>
      </c>
      <c r="C19" s="378" t="s">
        <v>529</v>
      </c>
    </row>
    <row r="20" spans="1:3" s="337" customFormat="1">
      <c r="A20" s="379"/>
      <c r="B20" s="334"/>
      <c r="C20" s="380"/>
    </row>
    <row r="21" spans="1:3" s="337" customFormat="1">
      <c r="A21" s="381" t="s">
        <v>362</v>
      </c>
      <c r="B21" s="377" t="s">
        <v>526</v>
      </c>
      <c r="C21" s="378" t="s">
        <v>530</v>
      </c>
    </row>
    <row r="22" spans="1:3" s="337" customFormat="1">
      <c r="A22" s="382"/>
      <c r="B22" s="334"/>
      <c r="C22" s="380"/>
    </row>
    <row r="23" spans="1:3" s="337" customFormat="1" ht="30">
      <c r="A23" s="376" t="s">
        <v>443</v>
      </c>
      <c r="B23" s="448" t="s">
        <v>447</v>
      </c>
      <c r="C23" s="378" t="s">
        <v>527</v>
      </c>
    </row>
    <row r="24" spans="1:3" s="337" customFormat="1">
      <c r="A24" s="382"/>
      <c r="B24" s="334"/>
      <c r="C24" s="380"/>
    </row>
    <row r="25" spans="1:3" s="337" customFormat="1">
      <c r="A25" s="376" t="s">
        <v>445</v>
      </c>
      <c r="B25" s="377" t="s">
        <v>444</v>
      </c>
      <c r="C25" s="378" t="s">
        <v>528</v>
      </c>
    </row>
    <row r="26" spans="1:3" s="337" customFormat="1">
      <c r="A26" s="382"/>
      <c r="B26" s="334"/>
      <c r="C26" s="380"/>
    </row>
    <row r="27" spans="1:3" s="337" customFormat="1">
      <c r="A27" s="376" t="s">
        <v>417</v>
      </c>
      <c r="B27" s="377" t="s">
        <v>442</v>
      </c>
      <c r="C27" s="378"/>
    </row>
    <row r="28" spans="1:3" s="337" customFormat="1">
      <c r="A28" s="382"/>
      <c r="B28" s="334" t="s">
        <v>583</v>
      </c>
      <c r="C28" s="380"/>
    </row>
    <row r="29" spans="1:3" ht="15.75" thickBot="1">
      <c r="A29" s="44"/>
      <c r="B29" s="43"/>
      <c r="C29" s="96"/>
    </row>
    <row r="30" spans="1:3" s="385" customFormat="1" ht="15.75" thickBot="1">
      <c r="A30" s="409" t="s">
        <v>372</v>
      </c>
      <c r="B30" s="410"/>
      <c r="C30" s="411"/>
    </row>
    <row r="31" spans="1:3" s="15" customFormat="1" ht="15.75">
      <c r="A31" s="98"/>
      <c r="B31" s="71"/>
      <c r="C31" s="102"/>
    </row>
    <row r="32" spans="1:3" s="15" customFormat="1">
      <c r="A32" s="103" t="s">
        <v>373</v>
      </c>
      <c r="B32" s="73" t="s">
        <v>375</v>
      </c>
      <c r="C32" s="104"/>
    </row>
    <row r="33" spans="1:3" s="403" customFormat="1">
      <c r="A33" s="400" t="s">
        <v>364</v>
      </c>
      <c r="B33" s="401" t="s">
        <v>376</v>
      </c>
      <c r="C33" s="402"/>
    </row>
    <row r="34" spans="1:3" s="403" customFormat="1">
      <c r="A34" s="404" t="s">
        <v>365</v>
      </c>
      <c r="B34" s="405" t="s">
        <v>366</v>
      </c>
      <c r="C34" s="406"/>
    </row>
    <row r="35" spans="1:3" s="403" customFormat="1">
      <c r="A35" s="407" t="s">
        <v>367</v>
      </c>
      <c r="B35" s="405" t="s">
        <v>368</v>
      </c>
      <c r="C35" s="406"/>
    </row>
    <row r="36" spans="1:3" s="403" customFormat="1">
      <c r="A36" s="408" t="s">
        <v>369</v>
      </c>
      <c r="B36" s="405" t="s">
        <v>370</v>
      </c>
      <c r="C36" s="406"/>
    </row>
    <row r="37" spans="1:3" s="403" customFormat="1" ht="30">
      <c r="A37" s="436" t="s">
        <v>371</v>
      </c>
      <c r="B37" s="405" t="s">
        <v>475</v>
      </c>
      <c r="C37" s="406"/>
    </row>
    <row r="38" spans="1:3" ht="15.75" thickBot="1">
      <c r="A38" s="437"/>
      <c r="B38" s="438"/>
      <c r="C38" s="43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6.5703125" style="455" bestFit="1" customWidth="1"/>
    <col min="8" max="8" width="8.14062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26.42578125" style="455" bestFit="1"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474"/>
      <c r="B4" s="472"/>
      <c r="C4" s="504"/>
      <c r="D4" s="504"/>
      <c r="E4" s="504"/>
      <c r="F4" s="504"/>
      <c r="G4" s="504"/>
      <c r="H4" s="504"/>
      <c r="I4" s="504"/>
      <c r="J4" s="504"/>
      <c r="K4" s="504"/>
      <c r="L4" s="504"/>
      <c r="M4" s="504"/>
      <c r="N4" s="504"/>
      <c r="O4" s="504"/>
      <c r="P4" s="504"/>
    </row>
    <row r="5" spans="1:16" outlineLevel="1">
      <c r="A5" s="474"/>
      <c r="B5" s="472"/>
      <c r="C5" s="504"/>
      <c r="D5" s="504"/>
      <c r="E5" s="504"/>
      <c r="F5" s="504"/>
      <c r="G5" s="504"/>
      <c r="H5" s="504"/>
      <c r="I5" s="504"/>
      <c r="J5" s="504"/>
      <c r="K5" s="504"/>
      <c r="L5" s="504"/>
      <c r="M5" s="504"/>
      <c r="N5" s="504"/>
      <c r="O5" s="504"/>
      <c r="P5" s="504"/>
    </row>
    <row r="6" spans="1:16" outlineLevel="1">
      <c r="A6" s="474"/>
      <c r="B6" s="472"/>
      <c r="C6" s="504"/>
      <c r="D6" s="504"/>
      <c r="E6" s="504"/>
      <c r="F6" s="504"/>
      <c r="G6" s="504"/>
      <c r="H6" s="504"/>
      <c r="I6" s="504"/>
      <c r="J6" s="504"/>
      <c r="K6" s="504"/>
      <c r="L6" s="504"/>
      <c r="M6" s="504"/>
      <c r="N6" s="504"/>
      <c r="O6" s="504"/>
      <c r="P6" s="504"/>
    </row>
    <row r="7" spans="1:16" outlineLevel="1">
      <c r="A7" s="474"/>
      <c r="B7" s="472"/>
      <c r="C7" s="504"/>
      <c r="D7" s="504"/>
      <c r="E7" s="504"/>
      <c r="F7" s="504"/>
      <c r="G7" s="504"/>
      <c r="H7" s="504"/>
      <c r="I7" s="504"/>
      <c r="J7" s="504"/>
      <c r="K7" s="504"/>
      <c r="L7" s="504"/>
      <c r="M7" s="504"/>
      <c r="N7" s="504"/>
      <c r="O7" s="504"/>
      <c r="P7" s="504"/>
    </row>
    <row r="8" spans="1:16" outlineLevel="1">
      <c r="A8" s="680"/>
      <c r="B8" s="472"/>
      <c r="C8" s="504"/>
      <c r="D8" s="504"/>
      <c r="E8" s="504"/>
      <c r="F8" s="504"/>
      <c r="G8" s="504"/>
      <c r="H8" s="504"/>
      <c r="I8" s="504"/>
      <c r="J8" s="504"/>
      <c r="K8" s="504"/>
      <c r="L8" s="504"/>
      <c r="M8" s="504"/>
      <c r="N8" s="504"/>
      <c r="O8" s="504"/>
      <c r="P8" s="504"/>
    </row>
    <row r="9" spans="1:16" outlineLevel="1">
      <c r="A9" s="474"/>
      <c r="B9" s="472"/>
      <c r="C9" s="504"/>
      <c r="D9" s="504"/>
      <c r="E9" s="504"/>
      <c r="F9" s="504"/>
      <c r="G9" s="504"/>
      <c r="H9" s="504"/>
      <c r="I9" s="504"/>
      <c r="J9" s="504"/>
      <c r="K9" s="504"/>
      <c r="L9" s="504"/>
      <c r="M9" s="504"/>
      <c r="N9" s="504"/>
      <c r="O9" s="504"/>
      <c r="P9" s="504"/>
    </row>
    <row r="10" spans="1:16" outlineLevel="1">
      <c r="A10" s="474"/>
      <c r="B10" s="472"/>
      <c r="C10" s="504"/>
      <c r="D10" s="504"/>
      <c r="E10" s="504"/>
      <c r="F10" s="504"/>
      <c r="G10" s="504"/>
      <c r="H10" s="504"/>
      <c r="I10" s="504"/>
      <c r="J10" s="504"/>
      <c r="K10" s="504"/>
      <c r="L10" s="504"/>
      <c r="M10" s="504"/>
      <c r="N10" s="504"/>
      <c r="O10" s="504"/>
      <c r="P10" s="504"/>
    </row>
    <row r="11" spans="1:16" outlineLevel="1">
      <c r="A11" s="474"/>
      <c r="B11" s="472"/>
      <c r="C11" s="504"/>
      <c r="D11" s="504"/>
      <c r="E11" s="504"/>
      <c r="F11" s="504"/>
      <c r="G11" s="504"/>
      <c r="H11" s="504"/>
      <c r="I11" s="504"/>
      <c r="J11" s="504"/>
      <c r="K11" s="504"/>
      <c r="L11" s="504"/>
      <c r="M11" s="504"/>
      <c r="N11" s="504"/>
      <c r="O11" s="504"/>
      <c r="P11" s="504"/>
    </row>
    <row r="12" spans="1:16" ht="15.75" outlineLevel="1" thickBot="1">
      <c r="A12" s="474"/>
      <c r="B12" s="472"/>
      <c r="C12" s="504"/>
      <c r="D12" s="504"/>
      <c r="E12" s="504"/>
      <c r="F12" s="504"/>
      <c r="G12" s="504"/>
      <c r="H12" s="504"/>
      <c r="I12" s="504"/>
      <c r="J12" s="504"/>
      <c r="K12" s="504"/>
      <c r="L12" s="504"/>
      <c r="M12" s="504"/>
      <c r="N12" s="504"/>
      <c r="O12" s="504"/>
      <c r="P12" s="504"/>
    </row>
    <row r="13" spans="1:16" ht="25.5" customHeight="1" outlineLevel="1" thickBot="1">
      <c r="A13" s="475" t="s">
        <v>586</v>
      </c>
      <c r="B13" s="457"/>
      <c r="C13" s="476"/>
      <c r="D13" s="476"/>
      <c r="E13" s="476"/>
      <c r="F13" s="476"/>
      <c r="G13" s="476"/>
      <c r="H13" s="476"/>
      <c r="I13" s="476"/>
      <c r="J13" s="476"/>
      <c r="K13" s="476"/>
      <c r="L13" s="476"/>
      <c r="M13" s="476"/>
      <c r="N13" s="476"/>
      <c r="O13" s="1183"/>
      <c r="P13" s="1183"/>
    </row>
    <row r="14" spans="1:16" outlineLevel="1">
      <c r="A14" s="474"/>
      <c r="B14" s="52"/>
      <c r="C14" s="504"/>
      <c r="D14" s="504"/>
      <c r="E14" s="504"/>
      <c r="F14" s="504"/>
      <c r="G14" s="504"/>
      <c r="H14" s="504"/>
      <c r="I14" s="504"/>
      <c r="J14" s="504"/>
      <c r="K14" s="504"/>
      <c r="L14" s="504"/>
      <c r="M14" s="504"/>
      <c r="N14" s="504"/>
      <c r="O14" s="504"/>
      <c r="P14" s="504"/>
    </row>
    <row r="15" spans="1:16" s="469" customFormat="1" outlineLevel="1">
      <c r="A15" s="477" t="s">
        <v>305</v>
      </c>
      <c r="B15" s="478">
        <f>SUM(B4:B12)</f>
        <v>0</v>
      </c>
      <c r="C15" s="479"/>
      <c r="D15" s="479"/>
      <c r="E15" s="479"/>
      <c r="F15" s="479"/>
      <c r="G15" s="479"/>
      <c r="H15" s="479"/>
      <c r="I15" s="479"/>
      <c r="J15" s="479"/>
      <c r="K15" s="479"/>
      <c r="L15" s="479"/>
      <c r="M15" s="479"/>
      <c r="N15" s="479"/>
      <c r="O15" s="480"/>
      <c r="P15" s="480"/>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0.21943332184370506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c r="D19" s="483"/>
      <c r="E19" s="483"/>
      <c r="F19" s="483"/>
      <c r="G19" s="483"/>
      <c r="H19" s="483"/>
      <c r="I19" s="483"/>
      <c r="J19" s="483"/>
      <c r="K19" s="483"/>
      <c r="L19" s="483"/>
      <c r="M19" s="483"/>
      <c r="N19" s="483"/>
      <c r="O19" s="483"/>
      <c r="P19" s="483"/>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topLeftCell="A16" workbookViewId="0">
      <selection activeCell="G27" sqref="G27"/>
    </sheetView>
  </sheetViews>
  <sheetFormatPr defaultColWidth="9.140625" defaultRowHeight="15"/>
  <cols>
    <col min="1" max="1" width="34.7109375" style="455" customWidth="1"/>
    <col min="2" max="2" width="14.140625" style="455" customWidth="1"/>
    <col min="3" max="3" width="16.42578125" style="455" customWidth="1"/>
    <col min="4" max="4" width="15" style="455" customWidth="1"/>
    <col min="5" max="5" width="13.85546875" style="455" customWidth="1"/>
    <col min="6" max="6" width="14.85546875" style="455" customWidth="1"/>
    <col min="7" max="7" width="14.7109375" style="455" customWidth="1"/>
    <col min="8" max="8" width="14.28515625" style="455"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16.140625" style="455" customWidth="1"/>
    <col min="16" max="16" width="17.5703125" style="455" customWidth="1"/>
    <col min="17" max="17" width="9.140625" style="455"/>
    <col min="18" max="18" width="20.42578125" style="455" customWidth="1"/>
    <col min="19" max="16384" width="9.140625" style="455"/>
  </cols>
  <sheetData>
    <row r="1" spans="1:16" ht="15.75" customHeight="1" thickTop="1" thickBot="1">
      <c r="A1" s="1176" t="s">
        <v>327</v>
      </c>
      <c r="B1" s="1177" t="s">
        <v>194</v>
      </c>
      <c r="C1" s="1178"/>
      <c r="D1" s="1178"/>
      <c r="E1" s="1178"/>
      <c r="F1" s="1178"/>
      <c r="G1" s="1178"/>
      <c r="H1" s="1178"/>
      <c r="I1" s="1178"/>
      <c r="J1" s="1178"/>
      <c r="K1" s="1178"/>
      <c r="L1" s="1178"/>
      <c r="M1" s="1178"/>
      <c r="N1" s="1178"/>
      <c r="O1" s="1178"/>
      <c r="P1" s="1178"/>
    </row>
    <row r="2" spans="1:16" ht="15" customHeight="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c r="B4" s="472"/>
      <c r="C4" s="504"/>
      <c r="D4" s="473"/>
      <c r="E4" s="473"/>
      <c r="F4" s="504"/>
      <c r="G4" s="473"/>
      <c r="H4" s="473"/>
      <c r="I4" s="504"/>
      <c r="J4" s="504"/>
      <c r="K4" s="504"/>
      <c r="L4" s="504"/>
      <c r="M4" s="504"/>
      <c r="N4" s="504"/>
      <c r="O4" s="504"/>
      <c r="P4" s="504"/>
    </row>
    <row r="5" spans="1:16">
      <c r="B5" s="472"/>
      <c r="C5" s="52"/>
      <c r="D5" s="472"/>
      <c r="E5" s="472"/>
      <c r="F5" s="52"/>
      <c r="G5" s="472"/>
      <c r="H5" s="472"/>
      <c r="I5" s="52"/>
      <c r="J5" s="52"/>
      <c r="K5" s="52"/>
      <c r="L5" s="52"/>
      <c r="M5" s="52"/>
      <c r="N5" s="52"/>
      <c r="O5" s="52"/>
      <c r="P5" s="52"/>
    </row>
    <row r="6" spans="1:16">
      <c r="B6" s="472"/>
      <c r="C6" s="52"/>
      <c r="D6" s="472"/>
      <c r="E6" s="472"/>
      <c r="F6" s="52"/>
      <c r="G6" s="472"/>
      <c r="H6" s="472"/>
      <c r="I6" s="52"/>
      <c r="J6" s="52"/>
      <c r="K6" s="52"/>
      <c r="L6" s="52"/>
      <c r="M6" s="52"/>
      <c r="N6" s="52"/>
      <c r="O6" s="52"/>
      <c r="P6" s="52"/>
    </row>
    <row r="7" spans="1:16">
      <c r="B7" s="472"/>
      <c r="C7" s="52"/>
      <c r="D7" s="472"/>
      <c r="E7" s="472"/>
      <c r="F7" s="52"/>
      <c r="G7" s="472"/>
      <c r="H7" s="472"/>
      <c r="I7" s="52"/>
      <c r="J7" s="52"/>
      <c r="K7" s="52"/>
      <c r="L7" s="52"/>
      <c r="M7" s="52"/>
      <c r="N7" s="52"/>
      <c r="O7" s="52"/>
      <c r="P7" s="52"/>
    </row>
    <row r="8" spans="1:16">
      <c r="A8" s="469"/>
      <c r="B8" s="472"/>
      <c r="C8" s="52"/>
      <c r="D8" s="472"/>
      <c r="E8" s="472"/>
      <c r="F8" s="52"/>
      <c r="G8" s="472"/>
      <c r="H8" s="472"/>
      <c r="I8" s="52"/>
      <c r="J8" s="52"/>
      <c r="K8" s="52"/>
      <c r="L8" s="52"/>
      <c r="M8" s="52"/>
      <c r="N8" s="52"/>
      <c r="O8" s="52"/>
      <c r="P8" s="52"/>
    </row>
    <row r="9" spans="1:16">
      <c r="B9" s="472"/>
      <c r="C9" s="52"/>
      <c r="D9" s="472"/>
      <c r="E9" s="472"/>
      <c r="F9" s="52"/>
      <c r="G9" s="472"/>
      <c r="H9" s="472"/>
      <c r="I9" s="52"/>
      <c r="J9" s="52"/>
      <c r="K9" s="52"/>
      <c r="L9" s="52"/>
      <c r="M9" s="52"/>
      <c r="N9" s="52"/>
      <c r="O9" s="52"/>
      <c r="P9" s="52"/>
    </row>
    <row r="10" spans="1:16">
      <c r="B10" s="472"/>
      <c r="C10" s="52"/>
      <c r="D10" s="472"/>
      <c r="E10" s="472"/>
      <c r="F10" s="52"/>
      <c r="G10" s="472"/>
      <c r="H10" s="472"/>
      <c r="I10" s="52"/>
      <c r="J10" s="52"/>
      <c r="K10" s="52"/>
      <c r="L10" s="52"/>
      <c r="M10" s="52"/>
      <c r="N10" s="52"/>
      <c r="O10" s="52"/>
      <c r="P10" s="52"/>
    </row>
    <row r="11" spans="1:16">
      <c r="B11" s="472"/>
      <c r="C11" s="52"/>
      <c r="D11" s="472"/>
      <c r="E11" s="472"/>
      <c r="F11" s="52"/>
      <c r="G11" s="472"/>
      <c r="H11" s="472"/>
      <c r="I11" s="52"/>
      <c r="J11" s="52"/>
      <c r="K11" s="52"/>
      <c r="L11" s="52"/>
      <c r="M11" s="52"/>
      <c r="N11" s="52"/>
      <c r="O11" s="52"/>
      <c r="P11" s="52"/>
    </row>
    <row r="12" spans="1:16">
      <c r="B12" s="472"/>
      <c r="C12" s="52"/>
      <c r="D12" s="472"/>
      <c r="E12" s="472"/>
      <c r="F12" s="52"/>
      <c r="G12" s="472"/>
      <c r="H12" s="472"/>
      <c r="I12" s="52"/>
      <c r="J12" s="52"/>
      <c r="K12" s="52"/>
      <c r="L12" s="52"/>
      <c r="M12" s="52"/>
      <c r="N12" s="52"/>
      <c r="O12" s="52"/>
      <c r="P12" s="52"/>
    </row>
    <row r="13" spans="1:16">
      <c r="B13" s="472"/>
      <c r="C13" s="52"/>
      <c r="D13" s="472"/>
      <c r="E13" s="472"/>
      <c r="F13" s="52"/>
      <c r="G13" s="472"/>
      <c r="H13" s="472"/>
      <c r="I13" s="52"/>
      <c r="J13" s="52"/>
      <c r="K13" s="52"/>
      <c r="L13" s="52"/>
      <c r="M13" s="52"/>
      <c r="N13" s="52"/>
      <c r="O13" s="52"/>
      <c r="P13" s="52"/>
    </row>
    <row r="14" spans="1:16">
      <c r="B14" s="472"/>
      <c r="C14" s="52"/>
      <c r="D14" s="472"/>
      <c r="E14" s="472"/>
      <c r="F14" s="52"/>
      <c r="G14" s="472"/>
      <c r="H14" s="472"/>
      <c r="I14" s="52"/>
      <c r="J14" s="52"/>
      <c r="K14" s="52"/>
      <c r="L14" s="52"/>
      <c r="M14" s="52"/>
      <c r="N14" s="52"/>
      <c r="O14" s="52"/>
      <c r="P14" s="52"/>
    </row>
    <row r="15" spans="1:16">
      <c r="B15" s="472"/>
      <c r="C15" s="52"/>
      <c r="D15" s="472"/>
      <c r="E15" s="472"/>
      <c r="F15" s="52"/>
      <c r="G15" s="472"/>
      <c r="H15" s="472"/>
      <c r="I15" s="52"/>
      <c r="J15" s="52"/>
      <c r="K15" s="52"/>
      <c r="L15" s="52"/>
      <c r="M15" s="52"/>
      <c r="N15" s="52"/>
      <c r="O15" s="52"/>
      <c r="P15" s="52"/>
    </row>
    <row r="16" spans="1:16">
      <c r="B16" s="472"/>
      <c r="C16" s="52"/>
      <c r="D16" s="472"/>
      <c r="E16" s="472"/>
      <c r="F16" s="52"/>
      <c r="G16" s="472"/>
      <c r="H16" s="472"/>
      <c r="I16" s="52"/>
      <c r="J16" s="52"/>
      <c r="K16" s="52"/>
      <c r="L16" s="52"/>
      <c r="M16" s="52"/>
      <c r="N16" s="52"/>
      <c r="O16" s="52"/>
      <c r="P16" s="52"/>
    </row>
    <row r="17" spans="1:16">
      <c r="B17" s="472"/>
      <c r="C17" s="52"/>
      <c r="D17" s="472"/>
      <c r="E17" s="472"/>
      <c r="F17" s="52"/>
      <c r="G17" s="472"/>
      <c r="H17" s="472"/>
      <c r="I17" s="52"/>
      <c r="J17" s="52"/>
      <c r="K17" s="52"/>
      <c r="L17" s="52"/>
      <c r="M17" s="52"/>
      <c r="N17" s="52"/>
      <c r="O17" s="52"/>
      <c r="P17" s="52"/>
    </row>
    <row r="18" spans="1:16">
      <c r="B18" s="472"/>
      <c r="C18" s="52"/>
      <c r="D18" s="472"/>
      <c r="E18" s="472"/>
      <c r="F18" s="52"/>
      <c r="G18" s="472"/>
      <c r="H18" s="472"/>
      <c r="I18" s="52"/>
      <c r="J18" s="52"/>
      <c r="K18" s="52"/>
      <c r="L18" s="52"/>
      <c r="M18" s="52"/>
      <c r="N18" s="52"/>
      <c r="O18" s="52"/>
      <c r="P18" s="52"/>
    </row>
    <row r="19" spans="1:16">
      <c r="B19" s="472"/>
      <c r="C19" s="52"/>
      <c r="D19" s="472"/>
      <c r="E19" s="472"/>
      <c r="F19" s="52"/>
      <c r="G19" s="472"/>
      <c r="H19" s="472"/>
      <c r="I19" s="52"/>
      <c r="J19" s="52"/>
      <c r="K19" s="52"/>
      <c r="L19" s="52"/>
      <c r="M19" s="52"/>
      <c r="N19" s="52"/>
      <c r="O19" s="52"/>
      <c r="P19" s="52"/>
    </row>
    <row r="20" spans="1:16">
      <c r="B20" s="472"/>
      <c r="C20" s="52"/>
      <c r="D20" s="472"/>
      <c r="E20" s="472"/>
      <c r="F20" s="52"/>
      <c r="G20" s="472"/>
      <c r="H20" s="472"/>
      <c r="I20" s="52"/>
      <c r="J20" s="52"/>
      <c r="K20" s="52"/>
      <c r="L20" s="52"/>
      <c r="M20" s="52"/>
      <c r="N20" s="52"/>
      <c r="O20" s="52"/>
      <c r="P20" s="52"/>
    </row>
    <row r="21" spans="1:16">
      <c r="B21" s="472"/>
      <c r="C21" s="52"/>
      <c r="D21" s="472"/>
      <c r="E21" s="472"/>
      <c r="F21" s="52"/>
      <c r="G21" s="472"/>
      <c r="H21" s="472"/>
      <c r="I21" s="52"/>
      <c r="J21" s="52"/>
      <c r="K21" s="52"/>
      <c r="L21" s="52"/>
      <c r="M21" s="52"/>
      <c r="N21" s="52"/>
      <c r="O21" s="52"/>
      <c r="P21" s="52"/>
    </row>
    <row r="22" spans="1:16">
      <c r="B22" s="472"/>
      <c r="C22" s="52"/>
      <c r="D22" s="472"/>
      <c r="E22" s="472"/>
      <c r="F22" s="52"/>
      <c r="G22" s="472"/>
      <c r="H22" s="472"/>
      <c r="I22" s="52"/>
      <c r="J22" s="52"/>
      <c r="K22" s="52"/>
      <c r="L22" s="52"/>
      <c r="M22" s="52"/>
      <c r="N22" s="52"/>
      <c r="O22" s="52"/>
      <c r="P22" s="52"/>
    </row>
    <row r="23" spans="1:16" ht="15.75" thickBot="1">
      <c r="B23" s="472"/>
      <c r="C23" s="52"/>
      <c r="D23" s="472"/>
      <c r="E23" s="472"/>
      <c r="F23" s="52"/>
      <c r="G23" s="472"/>
      <c r="H23" s="472"/>
      <c r="I23" s="52"/>
      <c r="J23" s="52"/>
      <c r="K23" s="52"/>
      <c r="L23" s="52"/>
      <c r="M23" s="52"/>
      <c r="N23" s="52"/>
      <c r="O23" s="52"/>
      <c r="P23" s="52"/>
    </row>
    <row r="24" spans="1:16" ht="15.75" thickBot="1">
      <c r="A24" s="475" t="s">
        <v>586</v>
      </c>
    </row>
    <row r="26" spans="1:16" s="469" customFormat="1">
      <c r="A26" s="477" t="s">
        <v>536</v>
      </c>
      <c r="B26" s="477">
        <f t="shared" ref="B26:H26" si="0">SUM(B4:B23)</f>
        <v>0</v>
      </c>
      <c r="C26" s="477"/>
      <c r="D26" s="477">
        <f t="shared" si="0"/>
        <v>0</v>
      </c>
      <c r="E26" s="477">
        <f t="shared" si="0"/>
        <v>0</v>
      </c>
      <c r="F26" s="477"/>
      <c r="G26" s="477">
        <f t="shared" si="0"/>
        <v>0</v>
      </c>
      <c r="H26" s="477">
        <f t="shared" si="0"/>
        <v>0</v>
      </c>
      <c r="I26" s="477"/>
      <c r="J26" s="477"/>
      <c r="K26" s="477"/>
      <c r="L26" s="477"/>
      <c r="M26" s="477"/>
      <c r="N26" s="477"/>
      <c r="O26" s="477"/>
      <c r="P26" s="477"/>
    </row>
    <row r="27" spans="1:16" s="469" customFormat="1">
      <c r="A27" s="477" t="s">
        <v>604</v>
      </c>
      <c r="B27" s="477">
        <f>B26</f>
        <v>0</v>
      </c>
      <c r="C27" s="477"/>
      <c r="D27" s="477">
        <f>D26</f>
        <v>0</v>
      </c>
      <c r="E27" s="477">
        <f>E26</f>
        <v>0</v>
      </c>
      <c r="F27" s="477"/>
      <c r="G27" s="477">
        <f>(1-transport!C35)*'Eigen vloot'!G26</f>
        <v>0</v>
      </c>
      <c r="H27" s="477">
        <f>(1-transport!C42)*'Eigen vloot'!H26</f>
        <v>0</v>
      </c>
      <c r="I27" s="477"/>
      <c r="J27" s="477"/>
      <c r="K27" s="477"/>
      <c r="L27" s="477"/>
      <c r="M27" s="681">
        <f>G26*transport!C35+'Eigen vloot'!H26*transport!C42</f>
        <v>0</v>
      </c>
      <c r="N27" s="477"/>
      <c r="O27" s="477"/>
      <c r="P27" s="477"/>
    </row>
    <row r="29" spans="1:16">
      <c r="A29" s="482" t="s">
        <v>613</v>
      </c>
      <c r="B29" s="507">
        <f ca="1">'EF ele_warmte'!B12</f>
        <v>0.21943332184370506</v>
      </c>
      <c r="C29" s="507">
        <f ca="1">'EF ele_warmte'!B22</f>
        <v>0</v>
      </c>
      <c r="D29" s="507">
        <f>EF_CO2_aardgas</f>
        <v>0.20200000000000001</v>
      </c>
      <c r="E29" s="507">
        <f>EF_VLgas_CO2</f>
        <v>0.22700000000000001</v>
      </c>
      <c r="F29" s="507">
        <f>EF_stookolie_CO2</f>
        <v>0.26700000000000002</v>
      </c>
      <c r="G29" s="507">
        <f>EF_diesel_CO2</f>
        <v>0.26700000000000002</v>
      </c>
      <c r="H29" s="507">
        <f>EF_benzine_CO2</f>
        <v>0.249</v>
      </c>
      <c r="I29" s="507">
        <f>EF_bruinkool_CO2</f>
        <v>0.35099999999999998</v>
      </c>
      <c r="J29" s="507">
        <f>EF_steenkool_CO2</f>
        <v>0.35399999999999998</v>
      </c>
      <c r="K29" s="507">
        <f>EF_anderfossiel_CO2</f>
        <v>0.26400000000000001</v>
      </c>
      <c r="L29" s="507">
        <f>'EF brandstof'!J4</f>
        <v>0</v>
      </c>
      <c r="M29" s="507">
        <f>'EF brandstof'!K4</f>
        <v>0</v>
      </c>
      <c r="N29" s="507">
        <f>'EF brandstof'!L4</f>
        <v>0</v>
      </c>
      <c r="O29" s="507">
        <v>0</v>
      </c>
      <c r="P29" s="507">
        <v>0</v>
      </c>
    </row>
    <row r="31" spans="1:16">
      <c r="A31" s="477" t="s">
        <v>212</v>
      </c>
      <c r="B31" s="682">
        <f ca="1">B27*B29</f>
        <v>0</v>
      </c>
      <c r="C31" s="682"/>
      <c r="D31" s="682">
        <f>D27*D29</f>
        <v>0</v>
      </c>
      <c r="E31" s="682">
        <f>E27*E29</f>
        <v>0</v>
      </c>
      <c r="F31" s="682"/>
      <c r="G31" s="682">
        <f>G27*G29</f>
        <v>0</v>
      </c>
      <c r="H31" s="682">
        <f>H27*H29</f>
        <v>0</v>
      </c>
      <c r="I31" s="682"/>
      <c r="J31" s="682"/>
      <c r="K31" s="682"/>
      <c r="L31" s="682"/>
      <c r="M31" s="682">
        <f>M27*M29</f>
        <v>0</v>
      </c>
      <c r="N31" s="505"/>
      <c r="O31" s="505"/>
      <c r="P31" s="50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workbookViewId="0">
      <selection activeCell="B59" sqref="B59"/>
    </sheetView>
  </sheetViews>
  <sheetFormatPr defaultRowHeight="15"/>
  <cols>
    <col min="1" max="1" width="54" bestFit="1" customWidth="1"/>
    <col min="2" max="2" width="26" style="455" bestFit="1" customWidth="1"/>
    <col min="3" max="3" width="26" customWidth="1"/>
    <col min="4" max="4" width="69.42578125" customWidth="1"/>
  </cols>
  <sheetData>
    <row r="1" spans="1:11" s="43" customFormat="1" ht="15.75" thickBot="1">
      <c r="B1" s="457"/>
    </row>
    <row r="2" spans="1:11" s="43" customFormat="1">
      <c r="A2" s="185" t="s">
        <v>533</v>
      </c>
      <c r="B2" s="508"/>
      <c r="C2" s="186"/>
      <c r="D2" s="187"/>
    </row>
    <row r="3" spans="1:11">
      <c r="A3" s="101"/>
      <c r="B3" s="509"/>
      <c r="C3" s="142" t="s">
        <v>181</v>
      </c>
      <c r="D3" s="145" t="s">
        <v>392</v>
      </c>
    </row>
    <row r="4" spans="1:11">
      <c r="A4" s="44" t="s">
        <v>448</v>
      </c>
      <c r="B4" s="47"/>
      <c r="C4" s="32"/>
      <c r="D4" s="144" t="s">
        <v>394</v>
      </c>
    </row>
    <row r="5" spans="1:11">
      <c r="A5" s="44"/>
      <c r="B5" s="48"/>
      <c r="C5" s="32"/>
      <c r="D5" s="144"/>
    </row>
    <row r="6" spans="1:11" s="10" customFormat="1" ht="21.75" thickBot="1">
      <c r="A6" s="190" t="s">
        <v>481</v>
      </c>
      <c r="B6" s="510"/>
      <c r="C6" s="191"/>
      <c r="D6" s="192"/>
    </row>
    <row r="7" spans="1:11" s="43" customFormat="1" ht="15.75" thickBot="1">
      <c r="B7" s="457"/>
    </row>
    <row r="8" spans="1:11" s="43" customFormat="1">
      <c r="A8" s="185" t="s">
        <v>546</v>
      </c>
      <c r="B8" s="508"/>
      <c r="C8" s="186"/>
      <c r="D8" s="187"/>
    </row>
    <row r="9" spans="1:11" s="32" customFormat="1">
      <c r="A9" s="46"/>
      <c r="B9" s="511"/>
      <c r="C9" s="42"/>
      <c r="D9" s="302"/>
    </row>
    <row r="10" spans="1:11">
      <c r="A10" s="303" t="s">
        <v>574</v>
      </c>
      <c r="B10" s="509"/>
      <c r="C10" s="142" t="s">
        <v>181</v>
      </c>
      <c r="D10" s="145" t="s">
        <v>392</v>
      </c>
      <c r="I10" s="1184"/>
      <c r="K10" s="58"/>
    </row>
    <row r="11" spans="1:11" s="43" customFormat="1">
      <c r="A11" s="44" t="s">
        <v>575</v>
      </c>
      <c r="B11" s="47"/>
      <c r="D11" s="143" t="s">
        <v>393</v>
      </c>
      <c r="I11" s="1184"/>
      <c r="K11" s="58"/>
    </row>
    <row r="12" spans="1:11" s="43" customFormat="1">
      <c r="A12" s="44" t="s">
        <v>576</v>
      </c>
      <c r="B12" s="47"/>
      <c r="D12" s="143" t="s">
        <v>393</v>
      </c>
      <c r="I12" s="1184"/>
      <c r="K12" s="58"/>
    </row>
    <row r="13" spans="1:11" s="43" customFormat="1">
      <c r="A13" s="44"/>
      <c r="B13" s="457"/>
      <c r="D13" s="96"/>
      <c r="I13" s="1184"/>
    </row>
    <row r="14" spans="1:11" s="43" customFormat="1">
      <c r="A14" s="303" t="s">
        <v>573</v>
      </c>
      <c r="B14" s="509"/>
      <c r="C14" s="142" t="s">
        <v>181</v>
      </c>
      <c r="D14" s="145" t="s">
        <v>392</v>
      </c>
      <c r="I14" s="1184"/>
    </row>
    <row r="15" spans="1:11" s="43" customFormat="1">
      <c r="A15" s="44" t="s">
        <v>70</v>
      </c>
      <c r="B15" s="47"/>
      <c r="D15" s="143" t="s">
        <v>393</v>
      </c>
      <c r="I15" s="1184"/>
      <c r="J15" s="1184"/>
    </row>
    <row r="16" spans="1:11" s="43" customFormat="1">
      <c r="A16" s="44" t="s">
        <v>538</v>
      </c>
      <c r="B16" s="47"/>
      <c r="D16" s="143" t="s">
        <v>393</v>
      </c>
      <c r="I16" s="1184"/>
      <c r="J16" s="1184"/>
    </row>
    <row r="17" spans="1:11" s="43" customFormat="1">
      <c r="A17" s="44" t="s">
        <v>77</v>
      </c>
      <c r="B17" s="47"/>
      <c r="D17" s="143" t="s">
        <v>393</v>
      </c>
      <c r="I17" s="1184"/>
      <c r="J17" s="1184"/>
    </row>
    <row r="18" spans="1:11" s="43" customFormat="1">
      <c r="A18" s="44" t="s">
        <v>539</v>
      </c>
      <c r="B18" s="47"/>
      <c r="D18" s="143" t="s">
        <v>393</v>
      </c>
      <c r="I18" s="1184"/>
      <c r="J18" s="1184"/>
      <c r="K18" s="58"/>
    </row>
    <row r="19" spans="1:11" s="43" customFormat="1">
      <c r="A19" s="44" t="s">
        <v>76</v>
      </c>
      <c r="B19" s="47"/>
      <c r="D19" s="143" t="s">
        <v>393</v>
      </c>
      <c r="I19" s="1184"/>
      <c r="J19" s="1185"/>
      <c r="K19" s="58"/>
    </row>
    <row r="20" spans="1:11" s="43" customFormat="1">
      <c r="A20" s="32" t="s">
        <v>540</v>
      </c>
      <c r="B20" s="47"/>
      <c r="D20" s="143" t="s">
        <v>393</v>
      </c>
      <c r="I20" s="304"/>
      <c r="J20" s="305"/>
      <c r="K20" s="58"/>
    </row>
    <row r="21" spans="1:11" s="43" customFormat="1">
      <c r="A21" s="32" t="s">
        <v>541</v>
      </c>
      <c r="B21" s="47"/>
      <c r="D21" s="143" t="s">
        <v>393</v>
      </c>
      <c r="I21" s="304"/>
      <c r="J21" s="305"/>
      <c r="K21" s="58"/>
    </row>
    <row r="22" spans="1:11" s="43" customFormat="1">
      <c r="A22" s="32" t="s">
        <v>542</v>
      </c>
      <c r="B22" s="47"/>
      <c r="D22" s="143" t="s">
        <v>393</v>
      </c>
      <c r="I22" s="304"/>
      <c r="J22" s="305"/>
      <c r="K22" s="58"/>
    </row>
    <row r="23" spans="1:11">
      <c r="A23" s="32" t="s">
        <v>543</v>
      </c>
      <c r="B23" s="47"/>
      <c r="C23" s="43"/>
      <c r="D23" s="143" t="s">
        <v>393</v>
      </c>
      <c r="I23" s="58"/>
      <c r="J23" s="58"/>
      <c r="K23" s="58"/>
    </row>
    <row r="24" spans="1:11">
      <c r="A24" s="32" t="s">
        <v>544</v>
      </c>
      <c r="B24" s="47"/>
      <c r="C24" s="43"/>
      <c r="D24" s="143" t="s">
        <v>393</v>
      </c>
      <c r="I24" s="58"/>
      <c r="J24" s="58"/>
      <c r="K24" s="58"/>
    </row>
    <row r="25" spans="1:11">
      <c r="A25" s="58"/>
      <c r="B25" s="48"/>
      <c r="C25" s="43"/>
      <c r="D25" s="143"/>
      <c r="I25" s="58"/>
      <c r="J25" s="58"/>
      <c r="K25" s="58"/>
    </row>
    <row r="26" spans="1:11" ht="21.75" thickBot="1">
      <c r="A26" s="190" t="s">
        <v>584</v>
      </c>
      <c r="B26" s="512"/>
      <c r="C26" s="108"/>
      <c r="D26" s="109"/>
      <c r="I26" s="58"/>
      <c r="J26" s="58"/>
      <c r="K26" s="58"/>
    </row>
    <row r="28" spans="1:11" ht="15.75" thickBot="1"/>
    <row r="29" spans="1:11" s="43" customFormat="1">
      <c r="A29" s="185" t="s">
        <v>534</v>
      </c>
      <c r="B29" s="508"/>
      <c r="C29" s="186"/>
      <c r="D29" s="187"/>
    </row>
    <row r="30" spans="1:11" s="32" customFormat="1">
      <c r="A30" s="46"/>
      <c r="B30" s="511"/>
      <c r="C30" s="42"/>
      <c r="D30" s="302"/>
    </row>
    <row r="31" spans="1:11">
      <c r="A31" s="303" t="s">
        <v>574</v>
      </c>
      <c r="B31" s="509"/>
      <c r="C31" s="142" t="s">
        <v>181</v>
      </c>
      <c r="D31" s="145" t="s">
        <v>392</v>
      </c>
    </row>
    <row r="32" spans="1:11">
      <c r="A32" s="447" t="s">
        <v>575</v>
      </c>
      <c r="B32" s="47"/>
      <c r="C32" s="48"/>
      <c r="D32" s="143" t="s">
        <v>393</v>
      </c>
    </row>
    <row r="33" spans="1:11">
      <c r="A33" s="44"/>
      <c r="B33" s="48"/>
      <c r="C33" s="48"/>
      <c r="D33" s="143"/>
    </row>
    <row r="34" spans="1:11" s="43" customFormat="1">
      <c r="A34" s="303" t="s">
        <v>573</v>
      </c>
      <c r="B34" s="509"/>
      <c r="C34" s="142" t="s">
        <v>181</v>
      </c>
      <c r="D34" s="145" t="s">
        <v>392</v>
      </c>
      <c r="I34"/>
    </row>
    <row r="35" spans="1:11" s="43" customFormat="1">
      <c r="A35" s="446" t="s">
        <v>70</v>
      </c>
      <c r="B35" s="47"/>
      <c r="D35" s="143" t="s">
        <v>393</v>
      </c>
      <c r="I35" s="1184"/>
      <c r="J35" s="1184"/>
    </row>
    <row r="36" spans="1:11" s="43" customFormat="1">
      <c r="A36" s="446" t="s">
        <v>538</v>
      </c>
      <c r="B36" s="47"/>
      <c r="D36" s="143" t="s">
        <v>393</v>
      </c>
      <c r="I36" s="1184"/>
      <c r="J36" s="1184"/>
    </row>
    <row r="37" spans="1:11" s="43" customFormat="1">
      <c r="A37" s="446" t="s">
        <v>77</v>
      </c>
      <c r="B37" s="47"/>
      <c r="D37" s="143" t="s">
        <v>393</v>
      </c>
      <c r="I37" s="1184"/>
      <c r="J37" s="1184"/>
    </row>
    <row r="38" spans="1:11" s="43" customFormat="1">
      <c r="A38" s="446" t="s">
        <v>539</v>
      </c>
      <c r="B38" s="47"/>
      <c r="D38" s="143" t="s">
        <v>393</v>
      </c>
      <c r="I38" s="1184"/>
      <c r="J38" s="1184"/>
      <c r="K38" s="58"/>
    </row>
    <row r="39" spans="1:11" s="43" customFormat="1">
      <c r="A39" s="446" t="s">
        <v>76</v>
      </c>
      <c r="B39" s="47"/>
      <c r="D39" s="143" t="s">
        <v>393</v>
      </c>
      <c r="I39" s="1184"/>
      <c r="J39" s="1185"/>
      <c r="K39" s="58"/>
    </row>
    <row r="40" spans="1:11" s="43" customFormat="1">
      <c r="A40" s="182" t="s">
        <v>540</v>
      </c>
      <c r="B40" s="48"/>
      <c r="D40" s="143" t="s">
        <v>393</v>
      </c>
      <c r="I40" s="304"/>
      <c r="J40" s="305"/>
      <c r="K40" s="58"/>
    </row>
    <row r="41" spans="1:11" s="43" customFormat="1">
      <c r="A41" s="182" t="s">
        <v>541</v>
      </c>
      <c r="B41" s="47"/>
      <c r="D41" s="143" t="s">
        <v>393</v>
      </c>
      <c r="I41" s="304"/>
      <c r="J41" s="305"/>
      <c r="K41" s="58"/>
    </row>
    <row r="42" spans="1:11" s="43" customFormat="1">
      <c r="A42" s="182" t="s">
        <v>542</v>
      </c>
      <c r="B42" s="47"/>
      <c r="D42" s="143" t="s">
        <v>393</v>
      </c>
      <c r="I42" s="304"/>
      <c r="J42" s="305"/>
      <c r="K42" s="58"/>
    </row>
    <row r="43" spans="1:11">
      <c r="A43" s="182" t="s">
        <v>543</v>
      </c>
      <c r="B43" s="47"/>
      <c r="C43" s="43"/>
      <c r="D43" s="143" t="s">
        <v>393</v>
      </c>
      <c r="I43" s="58"/>
      <c r="J43" s="58"/>
      <c r="K43" s="58"/>
    </row>
    <row r="44" spans="1:11">
      <c r="A44" s="182" t="s">
        <v>544</v>
      </c>
      <c r="B44" s="47"/>
      <c r="C44" s="43"/>
      <c r="D44" s="143" t="s">
        <v>393</v>
      </c>
      <c r="I44" s="58"/>
      <c r="J44" s="58"/>
      <c r="K44" s="58"/>
    </row>
    <row r="45" spans="1:11" s="15" customFormat="1" ht="21.75" thickBot="1">
      <c r="A45" s="905"/>
      <c r="B45" s="188"/>
      <c r="C45" s="155"/>
      <c r="D45" s="306"/>
      <c r="I45" s="58"/>
      <c r="J45" s="58"/>
      <c r="K45" s="58"/>
    </row>
    <row r="46" spans="1:11" s="15" customFormat="1">
      <c r="A46" s="58"/>
      <c r="B46" s="48"/>
      <c r="C46" s="32"/>
      <c r="D46" s="32"/>
      <c r="I46" s="58"/>
      <c r="J46" s="58"/>
      <c r="K46" s="58"/>
    </row>
    <row r="47" spans="1:11" ht="15.75" thickBot="1"/>
    <row r="48" spans="1:11" s="43" customFormat="1">
      <c r="A48" s="185" t="s">
        <v>391</v>
      </c>
      <c r="B48" s="508"/>
      <c r="C48" s="186"/>
      <c r="D48" s="187"/>
    </row>
    <row r="49" spans="1:4">
      <c r="A49" s="101"/>
      <c r="B49" s="509"/>
      <c r="C49" s="142" t="s">
        <v>181</v>
      </c>
      <c r="D49" s="145" t="s">
        <v>392</v>
      </c>
    </row>
    <row r="50" spans="1:4">
      <c r="A50" s="44" t="s">
        <v>577</v>
      </c>
      <c r="B50" s="47"/>
      <c r="C50" s="32"/>
      <c r="D50" s="144" t="s">
        <v>394</v>
      </c>
    </row>
    <row r="51" spans="1:4">
      <c r="A51" s="44" t="s">
        <v>578</v>
      </c>
      <c r="B51" s="47"/>
      <c r="C51" s="32"/>
      <c r="D51" s="144" t="s">
        <v>394</v>
      </c>
    </row>
    <row r="52" spans="1:4" ht="15.75" thickBot="1">
      <c r="A52" s="45"/>
      <c r="B52" s="188"/>
      <c r="C52" s="155"/>
      <c r="D52" s="193"/>
    </row>
    <row r="54" spans="1:4" ht="15.75" thickBot="1"/>
    <row r="55" spans="1:4" s="43" customFormat="1">
      <c r="A55" s="185" t="s">
        <v>535</v>
      </c>
      <c r="B55" s="508"/>
      <c r="C55" s="186"/>
      <c r="D55" s="187"/>
    </row>
    <row r="56" spans="1:4">
      <c r="A56" s="101"/>
      <c r="B56" s="509"/>
      <c r="C56" s="142" t="s">
        <v>181</v>
      </c>
      <c r="D56" s="145" t="s">
        <v>392</v>
      </c>
    </row>
    <row r="57" spans="1:4">
      <c r="A57" s="44" t="s">
        <v>579</v>
      </c>
      <c r="B57" s="47"/>
      <c r="C57" s="32"/>
      <c r="D57" s="143" t="s">
        <v>154</v>
      </c>
    </row>
    <row r="58" spans="1:4">
      <c r="A58" s="44" t="s">
        <v>580</v>
      </c>
      <c r="B58" s="47"/>
      <c r="C58" s="32"/>
      <c r="D58" s="143" t="s">
        <v>155</v>
      </c>
    </row>
    <row r="59" spans="1:4">
      <c r="A59" s="44" t="s">
        <v>581</v>
      </c>
      <c r="B59" s="47"/>
      <c r="C59" s="48"/>
      <c r="D59" s="143" t="s">
        <v>390</v>
      </c>
    </row>
    <row r="60" spans="1:4">
      <c r="A60" s="44" t="s">
        <v>582</v>
      </c>
      <c r="B60" s="47"/>
      <c r="C60" s="48"/>
      <c r="D60" s="143" t="s">
        <v>111</v>
      </c>
    </row>
    <row r="61" spans="1:4">
      <c r="A61" s="44"/>
      <c r="B61" s="48"/>
      <c r="C61" s="48"/>
      <c r="D61" s="143"/>
    </row>
    <row r="62" spans="1:4" ht="21.75" thickBot="1">
      <c r="A62" s="190" t="s">
        <v>537</v>
      </c>
      <c r="B62" s="188"/>
      <c r="C62" s="188"/>
      <c r="D62" s="189"/>
    </row>
    <row r="63" spans="1:4" s="43" customFormat="1">
      <c r="B63" s="45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4"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10.5703125" bestFit="1" customWidth="1"/>
    <col min="10" max="10" width="9.42578125" bestFit="1" customWidth="1"/>
  </cols>
  <sheetData>
    <row r="1" spans="1:5" ht="15.75" thickBot="1">
      <c r="A1" s="643" t="s">
        <v>599</v>
      </c>
      <c r="B1" s="644"/>
      <c r="C1" s="644"/>
      <c r="D1" s="644"/>
      <c r="E1" s="645"/>
    </row>
    <row r="2" spans="1:5">
      <c r="A2" s="656" t="s">
        <v>395</v>
      </c>
      <c r="B2" s="661" t="s">
        <v>525</v>
      </c>
      <c r="C2" s="657"/>
      <c r="D2" s="657"/>
      <c r="E2" s="658"/>
    </row>
    <row r="3" spans="1:5">
      <c r="A3" s="659"/>
      <c r="B3" s="660"/>
      <c r="C3" s="648"/>
      <c r="D3" s="648"/>
      <c r="E3" s="649"/>
    </row>
    <row r="4" spans="1:5" s="331" customFormat="1" ht="45">
      <c r="A4" s="647" t="s">
        <v>603</v>
      </c>
      <c r="B4" s="655" t="s">
        <v>592</v>
      </c>
      <c r="C4" s="676" t="s">
        <v>614</v>
      </c>
      <c r="D4" s="677" t="s">
        <v>615</v>
      </c>
      <c r="E4" s="678" t="s">
        <v>616</v>
      </c>
    </row>
    <row r="5" spans="1:5">
      <c r="A5" s="650" t="s">
        <v>593</v>
      </c>
      <c r="B5" s="642" t="s">
        <v>594</v>
      </c>
      <c r="C5" s="673">
        <v>3.678273E-2</v>
      </c>
      <c r="D5" s="674">
        <v>0.27778000000000003</v>
      </c>
      <c r="E5" s="666">
        <f>C5*D5</f>
        <v>1.0217506739400001E-2</v>
      </c>
    </row>
    <row r="6" spans="1:5">
      <c r="A6" s="650" t="s">
        <v>593</v>
      </c>
      <c r="B6" s="642" t="s">
        <v>595</v>
      </c>
      <c r="C6" s="673">
        <v>4.2278999999999997E-2</v>
      </c>
      <c r="D6" s="674">
        <v>0.27778000000000003</v>
      </c>
      <c r="E6" s="666">
        <f t="shared" ref="E6:E21" si="0">C6*D6</f>
        <v>1.174426062E-2</v>
      </c>
    </row>
    <row r="7" spans="1:5">
      <c r="A7" s="650" t="s">
        <v>593</v>
      </c>
      <c r="B7" s="642" t="s">
        <v>596</v>
      </c>
      <c r="C7" s="673">
        <v>42.279000000000003</v>
      </c>
      <c r="D7" s="674">
        <v>0.27778000000000003</v>
      </c>
      <c r="E7" s="666">
        <f t="shared" si="0"/>
        <v>11.744260620000002</v>
      </c>
    </row>
    <row r="8" spans="1:5">
      <c r="A8" s="650" t="s">
        <v>597</v>
      </c>
      <c r="B8" s="642" t="s">
        <v>594</v>
      </c>
      <c r="C8" s="673">
        <v>3.8573799999999998E-2</v>
      </c>
      <c r="D8" s="674">
        <v>0.27778000000000003</v>
      </c>
      <c r="E8" s="666">
        <f t="shared" si="0"/>
        <v>1.0715030164E-2</v>
      </c>
    </row>
    <row r="9" spans="1:5">
      <c r="A9" s="650" t="s">
        <v>597</v>
      </c>
      <c r="B9" s="642" t="s">
        <v>595</v>
      </c>
      <c r="C9" s="673">
        <v>4.0604000000000001E-2</v>
      </c>
      <c r="D9" s="674">
        <v>0.27778000000000003</v>
      </c>
      <c r="E9" s="666">
        <f t="shared" si="0"/>
        <v>1.1278979120000001E-2</v>
      </c>
    </row>
    <row r="10" spans="1:5">
      <c r="A10" s="650" t="s">
        <v>597</v>
      </c>
      <c r="B10" s="642" t="s">
        <v>596</v>
      </c>
      <c r="C10" s="673">
        <v>40.603999999999999</v>
      </c>
      <c r="D10" s="674">
        <v>0.27778000000000003</v>
      </c>
      <c r="E10" s="666">
        <f t="shared" si="0"/>
        <v>11.278979120000001</v>
      </c>
    </row>
    <row r="11" spans="1:5">
      <c r="A11" s="650" t="s">
        <v>617</v>
      </c>
      <c r="B11" s="642" t="s">
        <v>594</v>
      </c>
      <c r="C11" s="673">
        <v>2.3511000000000001E-2</v>
      </c>
      <c r="D11" s="674">
        <v>0.27778000000000003</v>
      </c>
      <c r="E11" s="666">
        <f t="shared" si="0"/>
        <v>6.5308855800000004E-3</v>
      </c>
    </row>
    <row r="12" spans="1:5">
      <c r="A12" s="650" t="s">
        <v>617</v>
      </c>
      <c r="B12" s="642" t="s">
        <v>595</v>
      </c>
      <c r="C12" s="673">
        <v>4.6100000000000002E-2</v>
      </c>
      <c r="D12" s="674">
        <v>0.27778000000000003</v>
      </c>
      <c r="E12" s="666">
        <f t="shared" si="0"/>
        <v>1.2805658000000001E-2</v>
      </c>
    </row>
    <row r="13" spans="1:5">
      <c r="A13" s="650" t="s">
        <v>617</v>
      </c>
      <c r="B13" s="642" t="s">
        <v>596</v>
      </c>
      <c r="C13" s="673">
        <v>46.1</v>
      </c>
      <c r="D13" s="674">
        <v>0.27778000000000003</v>
      </c>
      <c r="E13" s="666">
        <f t="shared" si="0"/>
        <v>12.805658000000001</v>
      </c>
    </row>
    <row r="14" spans="1:5">
      <c r="A14" s="650" t="s">
        <v>618</v>
      </c>
      <c r="B14" s="642" t="s">
        <v>594</v>
      </c>
      <c r="C14" s="673">
        <v>2.6525139999999999E-2</v>
      </c>
      <c r="D14" s="674">
        <v>0.27778000000000003</v>
      </c>
      <c r="E14" s="666">
        <f t="shared" si="0"/>
        <v>7.3681533892000009E-3</v>
      </c>
    </row>
    <row r="15" spans="1:5">
      <c r="A15" s="650" t="s">
        <v>618</v>
      </c>
      <c r="B15" s="642" t="s">
        <v>595</v>
      </c>
      <c r="C15" s="673">
        <v>4.5733000000000003E-2</v>
      </c>
      <c r="D15" s="674">
        <v>0.27778000000000003</v>
      </c>
      <c r="E15" s="666">
        <f t="shared" si="0"/>
        <v>1.2703712740000001E-2</v>
      </c>
    </row>
    <row r="16" spans="1:5">
      <c r="A16" s="650" t="s">
        <v>618</v>
      </c>
      <c r="B16" s="642" t="s">
        <v>596</v>
      </c>
      <c r="C16" s="673">
        <v>45.732999999999997</v>
      </c>
      <c r="D16" s="674">
        <v>0.27778000000000003</v>
      </c>
      <c r="E16" s="666">
        <f t="shared" si="0"/>
        <v>12.70371274</v>
      </c>
    </row>
    <row r="17" spans="1:10">
      <c r="A17" s="650" t="s">
        <v>601</v>
      </c>
      <c r="B17" s="642" t="s">
        <v>598</v>
      </c>
      <c r="C17" s="673">
        <v>3.2923000000000001E-2</v>
      </c>
      <c r="D17" s="674">
        <f>0.27778</f>
        <v>0.27778000000000003</v>
      </c>
      <c r="E17" s="666">
        <f t="shared" si="0"/>
        <v>9.1453509400000015E-3</v>
      </c>
    </row>
    <row r="18" spans="1:10">
      <c r="A18" s="650" t="s">
        <v>602</v>
      </c>
      <c r="B18" s="642" t="s">
        <v>598</v>
      </c>
      <c r="C18" s="673">
        <v>3.8852400000000002E-2</v>
      </c>
      <c r="D18" s="674">
        <f>0.27778</f>
        <v>0.27778000000000003</v>
      </c>
      <c r="E18" s="666">
        <f t="shared" si="0"/>
        <v>1.0792419672000002E-2</v>
      </c>
    </row>
    <row r="19" spans="1:10">
      <c r="A19" s="650" t="s">
        <v>605</v>
      </c>
      <c r="B19" s="642" t="s">
        <v>594</v>
      </c>
      <c r="C19" s="673">
        <v>2.4812460000000001E-2</v>
      </c>
      <c r="D19" s="674">
        <v>0.27778000000000003</v>
      </c>
      <c r="E19" s="666">
        <f t="shared" si="0"/>
        <v>6.8924051388000009E-3</v>
      </c>
    </row>
    <row r="20" spans="1:10">
      <c r="A20" s="650" t="s">
        <v>605</v>
      </c>
      <c r="B20" s="642" t="s">
        <v>595</v>
      </c>
      <c r="C20" s="673">
        <v>4.5948999999999997E-2</v>
      </c>
      <c r="D20" s="674">
        <v>0.27778000000000003</v>
      </c>
      <c r="E20" s="666">
        <f t="shared" si="0"/>
        <v>1.276371322E-2</v>
      </c>
    </row>
    <row r="21" spans="1:10">
      <c r="A21" s="650" t="s">
        <v>605</v>
      </c>
      <c r="B21" s="642" t="s">
        <v>596</v>
      </c>
      <c r="C21" s="673">
        <v>45.948999999999998</v>
      </c>
      <c r="D21" s="674">
        <v>0.27778000000000003</v>
      </c>
      <c r="E21" s="666">
        <f t="shared" si="0"/>
        <v>12.763713220000001</v>
      </c>
    </row>
    <row r="22" spans="1:10" ht="15.75" thickBot="1">
      <c r="A22" s="671"/>
      <c r="B22" s="653"/>
      <c r="C22" s="675"/>
      <c r="D22" s="675"/>
      <c r="E22" s="654"/>
    </row>
    <row r="23" spans="1:10" ht="15.75" thickBot="1">
      <c r="A23" s="646"/>
      <c r="B23" s="646"/>
      <c r="C23" s="646"/>
      <c r="D23" s="646"/>
      <c r="E23" s="646"/>
    </row>
    <row r="24" spans="1:10" ht="15.75" thickBot="1">
      <c r="A24" s="643" t="s">
        <v>600</v>
      </c>
      <c r="B24" s="644"/>
      <c r="C24" s="644"/>
      <c r="D24" s="644"/>
      <c r="E24" s="645"/>
    </row>
    <row r="25" spans="1:10">
      <c r="A25" s="670" t="s">
        <v>395</v>
      </c>
      <c r="B25" s="1050" t="s">
        <v>948</v>
      </c>
      <c r="C25" s="648"/>
      <c r="D25" s="648"/>
      <c r="E25" s="649"/>
    </row>
    <row r="26" spans="1:10">
      <c r="A26" s="44"/>
      <c r="B26" s="43"/>
      <c r="C26" s="43"/>
      <c r="D26" s="43"/>
      <c r="E26" s="96"/>
    </row>
    <row r="27" spans="1:10" s="331" customFormat="1">
      <c r="A27" s="647" t="s">
        <v>603</v>
      </c>
      <c r="B27" s="655" t="s">
        <v>592</v>
      </c>
      <c r="C27" s="663"/>
      <c r="D27" s="662"/>
      <c r="E27" s="678" t="s">
        <v>607</v>
      </c>
    </row>
    <row r="28" spans="1:10">
      <c r="A28" s="650" t="s">
        <v>201</v>
      </c>
      <c r="B28" s="642" t="s">
        <v>594</v>
      </c>
      <c r="C28" s="664"/>
      <c r="D28" s="665"/>
      <c r="E28" s="672">
        <f>E29*0.84</f>
        <v>9.962166666666666E-3</v>
      </c>
      <c r="G28" s="786"/>
      <c r="H28" s="881"/>
      <c r="I28" s="786"/>
      <c r="J28" s="786"/>
    </row>
    <row r="29" spans="1:10">
      <c r="A29" s="650" t="s">
        <v>201</v>
      </c>
      <c r="B29" s="642" t="s">
        <v>595</v>
      </c>
      <c r="C29" s="664"/>
      <c r="D29" s="665"/>
      <c r="E29" s="672">
        <f>0.042695/3.6</f>
        <v>1.1859722222222221E-2</v>
      </c>
      <c r="G29" s="879"/>
      <c r="H29" s="881"/>
      <c r="I29" s="786"/>
      <c r="J29" s="786"/>
    </row>
    <row r="30" spans="1:10">
      <c r="A30" s="650" t="s">
        <v>119</v>
      </c>
      <c r="B30" s="642" t="s">
        <v>594</v>
      </c>
      <c r="C30" s="664"/>
      <c r="D30" s="665"/>
      <c r="E30" s="672">
        <f>E31*0.75</f>
        <v>9.1195833333333337E-3</v>
      </c>
      <c r="G30" s="786"/>
      <c r="H30" s="881"/>
      <c r="I30" s="786"/>
      <c r="J30" s="786"/>
    </row>
    <row r="31" spans="1:10">
      <c r="A31" s="650" t="s">
        <v>119</v>
      </c>
      <c r="B31" s="642" t="s">
        <v>595</v>
      </c>
      <c r="C31" s="664"/>
      <c r="D31" s="665"/>
      <c r="E31" s="672">
        <f>0.043774/3.6</f>
        <v>1.2159444444444445E-2</v>
      </c>
      <c r="G31" s="786"/>
      <c r="H31" s="786"/>
      <c r="I31" s="786"/>
      <c r="J31" s="786"/>
    </row>
    <row r="32" spans="1:10">
      <c r="A32" s="650" t="s">
        <v>605</v>
      </c>
      <c r="B32" s="642" t="s">
        <v>594</v>
      </c>
      <c r="C32" s="664"/>
      <c r="D32" s="665"/>
      <c r="E32" s="672">
        <f>E33*0.52</f>
        <v>6.7259111111111118E-3</v>
      </c>
      <c r="G32" s="786"/>
      <c r="H32" s="881"/>
    </row>
    <row r="33" spans="1:8">
      <c r="A33" s="650" t="s">
        <v>605</v>
      </c>
      <c r="B33" s="642" t="s">
        <v>595</v>
      </c>
      <c r="C33" s="664"/>
      <c r="D33" s="665"/>
      <c r="E33" s="672">
        <f>0.046564/3.6</f>
        <v>1.2934444444444445E-2</v>
      </c>
      <c r="G33" s="786"/>
      <c r="H33" s="881"/>
    </row>
    <row r="34" spans="1:8">
      <c r="A34" s="650" t="s">
        <v>606</v>
      </c>
      <c r="B34" s="642" t="s">
        <v>594</v>
      </c>
      <c r="C34" s="664"/>
      <c r="D34" s="665"/>
      <c r="E34" s="672">
        <f>E35*0.175</f>
        <v>2.3333333333333331E-3</v>
      </c>
      <c r="G34" s="786"/>
      <c r="H34" s="880"/>
    </row>
    <row r="35" spans="1:8">
      <c r="A35" s="650" t="s">
        <v>606</v>
      </c>
      <c r="B35" s="642" t="s">
        <v>595</v>
      </c>
      <c r="C35" s="664"/>
      <c r="D35" s="665"/>
      <c r="E35" s="672">
        <f>0.048/3.6</f>
        <v>1.3333333333333332E-2</v>
      </c>
      <c r="G35" s="786"/>
    </row>
    <row r="36" spans="1:8" ht="15.75" thickBot="1">
      <c r="A36" s="651"/>
      <c r="B36" s="652"/>
      <c r="C36" s="667"/>
      <c r="D36" s="668"/>
      <c r="E36" s="66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topLeftCell="A8" workbookViewId="0">
      <selection activeCell="C17" sqref="C17"/>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446</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459</v>
      </c>
      <c r="B6" s="130" t="s">
        <v>460</v>
      </c>
      <c r="C6" s="131" t="s">
        <v>462</v>
      </c>
    </row>
    <row r="7" spans="1:3" s="11" customFormat="1">
      <c r="A7" s="123"/>
      <c r="B7" s="159"/>
      <c r="C7" s="160" t="s">
        <v>619</v>
      </c>
    </row>
    <row r="8" spans="1:3" s="11" customFormat="1">
      <c r="A8" s="132"/>
      <c r="B8" s="133"/>
      <c r="C8" s="134"/>
    </row>
    <row r="9" spans="1:3" s="11" customFormat="1">
      <c r="A9" s="113" t="s">
        <v>461</v>
      </c>
      <c r="B9" s="130" t="s">
        <v>464</v>
      </c>
      <c r="C9" s="131" t="s">
        <v>521</v>
      </c>
    </row>
    <row r="10" spans="1:3" s="11" customFormat="1">
      <c r="A10" s="132"/>
      <c r="B10" s="133"/>
      <c r="C10" s="134"/>
    </row>
    <row r="11" spans="1:3" s="11" customFormat="1" ht="18">
      <c r="A11" s="113" t="s">
        <v>463</v>
      </c>
      <c r="B11" s="130" t="s">
        <v>465</v>
      </c>
      <c r="C11" s="157" t="s">
        <v>519</v>
      </c>
    </row>
    <row r="12" spans="1:3" s="11" customFormat="1">
      <c r="A12" s="132"/>
      <c r="B12" s="133"/>
      <c r="C12" s="134"/>
    </row>
    <row r="13" spans="1:3" s="11" customFormat="1" ht="18">
      <c r="A13" s="113" t="s">
        <v>466</v>
      </c>
      <c r="B13" s="130" t="s">
        <v>467</v>
      </c>
      <c r="C13" s="158" t="s">
        <v>520</v>
      </c>
    </row>
    <row r="14" spans="1:3" s="11" customFormat="1">
      <c r="A14" s="132"/>
      <c r="B14" s="133"/>
      <c r="C14" s="134"/>
    </row>
    <row r="15" spans="1:3" s="11" customFormat="1" ht="18">
      <c r="A15" s="113" t="s">
        <v>468</v>
      </c>
      <c r="B15" t="s">
        <v>472</v>
      </c>
      <c r="C15" s="131" t="s">
        <v>522</v>
      </c>
    </row>
    <row r="16" spans="1:3" s="11" customFormat="1">
      <c r="A16" s="132"/>
      <c r="B16" s="133"/>
      <c r="C16" s="134"/>
    </row>
    <row r="17" spans="1:3" s="11" customFormat="1" ht="30">
      <c r="A17" s="113" t="s">
        <v>394</v>
      </c>
      <c r="B17" s="130" t="s">
        <v>473</v>
      </c>
      <c r="C17" s="131" t="s">
        <v>523</v>
      </c>
    </row>
    <row r="18" spans="1:3" s="11" customFormat="1">
      <c r="A18" s="132"/>
      <c r="B18" s="133"/>
      <c r="C18" s="134" t="s">
        <v>469</v>
      </c>
    </row>
    <row r="19" spans="1:3" s="11" customFormat="1" ht="30">
      <c r="A19" s="113" t="s">
        <v>470</v>
      </c>
      <c r="B19" s="130" t="s">
        <v>474</v>
      </c>
      <c r="C19" s="131" t="s">
        <v>524</v>
      </c>
    </row>
    <row r="20" spans="1:3" s="11" customFormat="1">
      <c r="A20" s="132"/>
      <c r="B20" s="133"/>
      <c r="C20" s="134"/>
    </row>
    <row r="21" spans="1:3" s="11" customFormat="1" ht="30">
      <c r="A21" s="113" t="s">
        <v>471</v>
      </c>
      <c r="B21" s="130" t="s">
        <v>709</v>
      </c>
      <c r="C21" s="131" t="s">
        <v>587</v>
      </c>
    </row>
    <row r="22" spans="1:3" s="11" customFormat="1">
      <c r="A22" s="141"/>
      <c r="B22" s="159"/>
      <c r="C22" s="160"/>
    </row>
    <row r="23" spans="1:3" ht="21">
      <c r="A23" s="126" t="s">
        <v>476</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6"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964</v>
      </c>
      <c r="B1" s="1277">
        <v>2011</v>
      </c>
      <c r="C1" s="1278"/>
      <c r="D1" s="1278"/>
      <c r="E1" s="1278"/>
      <c r="F1" s="1279"/>
    </row>
    <row r="2" spans="1:6">
      <c r="A2" s="331"/>
      <c r="B2" s="331"/>
      <c r="C2" s="331"/>
      <c r="D2" s="331"/>
      <c r="E2" s="331"/>
      <c r="F2" s="331"/>
    </row>
    <row r="3" spans="1:6" ht="19.5">
      <c r="A3" s="1280" t="s">
        <v>0</v>
      </c>
      <c r="B3" s="331"/>
      <c r="C3" s="331"/>
      <c r="D3" s="331"/>
      <c r="E3" s="331"/>
      <c r="F3" s="331"/>
    </row>
    <row r="4" spans="1:6" ht="22.5">
      <c r="A4" s="1281" t="s">
        <v>964</v>
      </c>
      <c r="B4" s="331"/>
      <c r="C4" s="331"/>
      <c r="D4" s="331"/>
      <c r="E4" s="331"/>
      <c r="F4" s="331"/>
    </row>
    <row r="5" spans="1:6" ht="22.5">
      <c r="A5" s="1281" t="s">
        <v>965</v>
      </c>
      <c r="B5" s="331"/>
      <c r="C5" s="331"/>
      <c r="D5" s="331"/>
      <c r="E5" s="331"/>
      <c r="F5" s="331"/>
    </row>
    <row r="6" spans="1:6" ht="15.75" thickBot="1">
      <c r="A6" s="331"/>
      <c r="B6" s="331"/>
      <c r="C6" s="331"/>
      <c r="D6" s="331"/>
      <c r="E6" s="331"/>
      <c r="F6" s="331"/>
    </row>
    <row r="7" spans="1:6" ht="20.25" thickBot="1">
      <c r="A7" s="1282" t="s">
        <v>1</v>
      </c>
      <c r="B7" s="332" t="s">
        <v>395</v>
      </c>
      <c r="C7" s="332" t="s">
        <v>396</v>
      </c>
      <c r="D7" s="332"/>
      <c r="E7" s="332"/>
      <c r="F7" s="333"/>
    </row>
    <row r="8" spans="1:6" ht="16.5" thickTop="1" thickBot="1">
      <c r="A8" s="1283" t="s">
        <v>4</v>
      </c>
      <c r="B8" s="1284"/>
      <c r="C8" s="1284"/>
      <c r="D8" s="1278"/>
      <c r="E8" s="1278"/>
      <c r="F8" s="1279"/>
    </row>
    <row r="9" spans="1:6">
      <c r="A9" s="1285" t="s">
        <v>2</v>
      </c>
      <c r="B9" s="1286">
        <v>16712</v>
      </c>
      <c r="C9" s="334"/>
      <c r="D9" s="334"/>
      <c r="E9" s="334"/>
      <c r="F9" s="334"/>
    </row>
    <row r="10" spans="1:6">
      <c r="A10" s="335"/>
      <c r="B10" s="331"/>
      <c r="C10" s="331"/>
      <c r="D10" s="331"/>
      <c r="E10" s="331"/>
      <c r="F10" s="331"/>
    </row>
    <row r="11" spans="1:6" ht="15.75" thickBot="1">
      <c r="A11" s="335"/>
      <c r="B11" s="331"/>
      <c r="C11" s="331"/>
      <c r="D11" s="331"/>
      <c r="E11" s="331"/>
      <c r="F11" s="331"/>
    </row>
    <row r="12" spans="1:6" ht="20.25" thickBot="1">
      <c r="A12" s="1282" t="s">
        <v>3</v>
      </c>
      <c r="B12" s="332" t="s">
        <v>395</v>
      </c>
      <c r="C12" s="332" t="s">
        <v>638</v>
      </c>
      <c r="D12" s="332"/>
      <c r="E12" s="332"/>
      <c r="F12" s="336"/>
    </row>
    <row r="13" spans="1:6" ht="16.5" thickTop="1" thickBot="1">
      <c r="A13" s="1287" t="s">
        <v>4</v>
      </c>
      <c r="B13" s="1288" t="s">
        <v>5</v>
      </c>
      <c r="C13" s="1288"/>
      <c r="D13" s="1288"/>
      <c r="E13" s="1288"/>
      <c r="F13" s="1289"/>
    </row>
    <row r="14" spans="1:6">
      <c r="A14" s="1290" t="s">
        <v>792</v>
      </c>
      <c r="B14" s="1291">
        <v>3464</v>
      </c>
      <c r="C14" s="331"/>
      <c r="D14" s="331"/>
      <c r="E14" s="331"/>
      <c r="F14" s="331"/>
    </row>
    <row r="15" spans="1:6">
      <c r="A15" s="1290" t="s">
        <v>183</v>
      </c>
      <c r="B15" s="1291">
        <v>18</v>
      </c>
      <c r="C15" s="331"/>
      <c r="D15" s="331"/>
      <c r="E15" s="331"/>
      <c r="F15" s="331"/>
    </row>
    <row r="16" spans="1:6">
      <c r="A16" s="1290" t="s">
        <v>6</v>
      </c>
      <c r="B16" s="1291">
        <v>511</v>
      </c>
      <c r="C16" s="331"/>
      <c r="D16" s="331"/>
      <c r="E16" s="331"/>
      <c r="F16" s="331"/>
    </row>
    <row r="17" spans="1:6">
      <c r="A17" s="1290" t="s">
        <v>7</v>
      </c>
      <c r="B17" s="1291">
        <v>1144</v>
      </c>
      <c r="C17" s="331"/>
      <c r="D17" s="331"/>
      <c r="E17" s="331"/>
      <c r="F17" s="331"/>
    </row>
    <row r="18" spans="1:6">
      <c r="A18" s="1290" t="s">
        <v>8</v>
      </c>
      <c r="B18" s="1291">
        <v>1509</v>
      </c>
      <c r="C18" s="331"/>
      <c r="D18" s="331"/>
      <c r="E18" s="331"/>
      <c r="F18" s="331"/>
    </row>
    <row r="19" spans="1:6">
      <c r="A19" s="1290" t="s">
        <v>9</v>
      </c>
      <c r="B19" s="1291">
        <v>1363</v>
      </c>
      <c r="C19" s="331"/>
      <c r="D19" s="331"/>
      <c r="E19" s="331"/>
      <c r="F19" s="331"/>
    </row>
    <row r="20" spans="1:6">
      <c r="A20" s="1290" t="s">
        <v>10</v>
      </c>
      <c r="B20" s="1291">
        <v>901</v>
      </c>
      <c r="C20" s="331"/>
      <c r="D20" s="331"/>
      <c r="E20" s="331"/>
      <c r="F20" s="331"/>
    </row>
    <row r="21" spans="1:6">
      <c r="A21" s="1290" t="s">
        <v>11</v>
      </c>
      <c r="B21" s="1291">
        <v>1508</v>
      </c>
      <c r="C21" s="331"/>
      <c r="D21" s="331"/>
      <c r="E21" s="331"/>
      <c r="F21" s="331"/>
    </row>
    <row r="22" spans="1:6">
      <c r="A22" s="1290" t="s">
        <v>12</v>
      </c>
      <c r="B22" s="1291">
        <v>4291</v>
      </c>
      <c r="C22" s="331"/>
      <c r="D22" s="331"/>
      <c r="E22" s="331"/>
      <c r="F22" s="331"/>
    </row>
    <row r="23" spans="1:6">
      <c r="A23" s="1290" t="s">
        <v>13</v>
      </c>
      <c r="B23" s="1291">
        <v>49</v>
      </c>
      <c r="C23" s="331"/>
      <c r="D23" s="331"/>
      <c r="E23" s="331"/>
      <c r="F23" s="331"/>
    </row>
    <row r="24" spans="1:6">
      <c r="A24" s="1290" t="s">
        <v>14</v>
      </c>
      <c r="B24" s="1291">
        <v>7</v>
      </c>
      <c r="C24" s="331"/>
      <c r="D24" s="331"/>
      <c r="E24" s="331"/>
      <c r="F24" s="331"/>
    </row>
    <row r="25" spans="1:6">
      <c r="A25" s="1290" t="s">
        <v>15</v>
      </c>
      <c r="B25" s="1291">
        <v>439</v>
      </c>
      <c r="C25" s="331"/>
      <c r="D25" s="331"/>
      <c r="E25" s="331"/>
      <c r="F25" s="331"/>
    </row>
    <row r="26" spans="1:6">
      <c r="A26" s="1290" t="s">
        <v>16</v>
      </c>
      <c r="B26" s="1291">
        <v>307</v>
      </c>
      <c r="C26" s="331"/>
      <c r="D26" s="331"/>
      <c r="E26" s="331"/>
      <c r="F26" s="331"/>
    </row>
    <row r="27" spans="1:6">
      <c r="A27" s="1290" t="s">
        <v>17</v>
      </c>
      <c r="B27" s="1291">
        <v>1</v>
      </c>
      <c r="C27" s="331"/>
      <c r="D27" s="331"/>
      <c r="E27" s="331"/>
      <c r="F27" s="331"/>
    </row>
    <row r="28" spans="1:6" s="43" customFormat="1">
      <c r="A28" s="1292" t="s">
        <v>18</v>
      </c>
      <c r="B28" s="1293">
        <v>27525</v>
      </c>
      <c r="C28" s="337"/>
      <c r="D28" s="337"/>
      <c r="E28" s="337"/>
      <c r="F28" s="337"/>
    </row>
    <row r="29" spans="1:6">
      <c r="A29" s="1292" t="s">
        <v>966</v>
      </c>
      <c r="B29" s="1293">
        <v>359</v>
      </c>
      <c r="C29" s="337"/>
      <c r="D29" s="337"/>
      <c r="E29" s="337"/>
      <c r="F29" s="337"/>
    </row>
    <row r="30" spans="1:6">
      <c r="A30" s="1285" t="s">
        <v>967</v>
      </c>
      <c r="B30" s="1294">
        <v>87</v>
      </c>
      <c r="C30" s="334"/>
      <c r="D30" s="334"/>
      <c r="E30" s="334"/>
      <c r="F30" s="334"/>
    </row>
    <row r="31" spans="1:6" ht="15.75" thickBot="1">
      <c r="A31" s="335"/>
      <c r="B31" s="331"/>
      <c r="C31" s="331"/>
      <c r="D31" s="331"/>
      <c r="E31" s="331"/>
      <c r="F31" s="331"/>
    </row>
    <row r="32" spans="1:6" ht="20.25" thickBot="1">
      <c r="A32" s="1282" t="s">
        <v>19</v>
      </c>
      <c r="B32" s="332" t="s">
        <v>395</v>
      </c>
      <c r="C32" s="332" t="s">
        <v>968</v>
      </c>
      <c r="D32" s="332"/>
      <c r="E32" s="332"/>
      <c r="F32" s="336"/>
    </row>
    <row r="33" spans="1:6" ht="16.5" thickTop="1" thickBot="1">
      <c r="A33" s="1295"/>
      <c r="B33" s="1296"/>
      <c r="C33" s="1296"/>
      <c r="D33" s="1296"/>
      <c r="E33" s="1296" t="s">
        <v>20</v>
      </c>
      <c r="F33" s="1297"/>
    </row>
    <row r="34" spans="1:6" ht="16.5" thickTop="1" thickBot="1">
      <c r="A34" s="1298" t="s">
        <v>21</v>
      </c>
      <c r="B34" s="1299" t="s">
        <v>22</v>
      </c>
      <c r="C34" s="1299" t="s">
        <v>5</v>
      </c>
      <c r="D34" s="1299" t="s">
        <v>23</v>
      </c>
      <c r="E34" s="1299" t="s">
        <v>5</v>
      </c>
      <c r="F34" s="1300" t="s">
        <v>23</v>
      </c>
    </row>
    <row r="35" spans="1:6">
      <c r="A35" s="1290" t="s">
        <v>24</v>
      </c>
      <c r="B35" s="1290" t="s">
        <v>25</v>
      </c>
      <c r="C35" s="1291">
        <v>0</v>
      </c>
      <c r="D35" s="1291">
        <v>0</v>
      </c>
      <c r="E35" s="1291">
        <v>0</v>
      </c>
      <c r="F35" s="1291">
        <v>0</v>
      </c>
    </row>
    <row r="36" spans="1:6">
      <c r="A36" s="1290" t="s">
        <v>24</v>
      </c>
      <c r="B36" s="1290" t="s">
        <v>26</v>
      </c>
      <c r="C36" s="1291">
        <v>4</v>
      </c>
      <c r="D36" s="1291">
        <v>781456.32737795601</v>
      </c>
      <c r="E36" s="1291">
        <v>6</v>
      </c>
      <c r="F36" s="1291">
        <v>44955.017902735402</v>
      </c>
    </row>
    <row r="37" spans="1:6">
      <c r="A37" s="1290" t="s">
        <v>24</v>
      </c>
      <c r="B37" s="1290" t="s">
        <v>27</v>
      </c>
      <c r="C37" s="1291">
        <v>0</v>
      </c>
      <c r="D37" s="1291">
        <v>0</v>
      </c>
      <c r="E37" s="1291">
        <v>0</v>
      </c>
      <c r="F37" s="1291">
        <v>0</v>
      </c>
    </row>
    <row r="38" spans="1:6">
      <c r="A38" s="1290" t="s">
        <v>24</v>
      </c>
      <c r="B38" s="1290" t="s">
        <v>28</v>
      </c>
      <c r="C38" s="1291">
        <v>1</v>
      </c>
      <c r="D38" s="1291">
        <v>19458.622543613699</v>
      </c>
      <c r="E38" s="1291">
        <v>1</v>
      </c>
      <c r="F38" s="1291">
        <v>100</v>
      </c>
    </row>
    <row r="39" spans="1:6">
      <c r="A39" s="1290" t="s">
        <v>29</v>
      </c>
      <c r="B39" s="1290" t="s">
        <v>30</v>
      </c>
      <c r="C39" s="1291">
        <v>22598</v>
      </c>
      <c r="D39" s="1291">
        <v>261537518.96953499</v>
      </c>
      <c r="E39" s="1291">
        <v>32165</v>
      </c>
      <c r="F39" s="1291">
        <v>83911285.798678994</v>
      </c>
    </row>
    <row r="40" spans="1:6">
      <c r="A40" s="1290" t="s">
        <v>29</v>
      </c>
      <c r="B40" s="1290" t="s">
        <v>28</v>
      </c>
      <c r="C40" s="1291">
        <v>1</v>
      </c>
      <c r="D40" s="1291">
        <v>6082.3786973539</v>
      </c>
      <c r="E40" s="1291">
        <v>1</v>
      </c>
      <c r="F40" s="1291">
        <v>803</v>
      </c>
    </row>
    <row r="41" spans="1:6">
      <c r="A41" s="1290" t="s">
        <v>31</v>
      </c>
      <c r="B41" s="1290" t="s">
        <v>32</v>
      </c>
      <c r="C41" s="1291">
        <v>349</v>
      </c>
      <c r="D41" s="1291">
        <v>5724100.2717344202</v>
      </c>
      <c r="E41" s="1291">
        <v>744</v>
      </c>
      <c r="F41" s="1291">
        <v>3989374.81324095</v>
      </c>
    </row>
    <row r="42" spans="1:6">
      <c r="A42" s="1290" t="s">
        <v>31</v>
      </c>
      <c r="B42" s="1290" t="s">
        <v>33</v>
      </c>
      <c r="C42" s="1291">
        <v>0</v>
      </c>
      <c r="D42" s="1291">
        <v>0</v>
      </c>
      <c r="E42" s="1291">
        <v>0</v>
      </c>
      <c r="F42" s="1291">
        <v>0</v>
      </c>
    </row>
    <row r="43" spans="1:6">
      <c r="A43" s="1290" t="s">
        <v>31</v>
      </c>
      <c r="B43" s="1290" t="s">
        <v>34</v>
      </c>
      <c r="C43" s="1291">
        <v>0</v>
      </c>
      <c r="D43" s="1291">
        <v>0</v>
      </c>
      <c r="E43" s="1291">
        <v>0</v>
      </c>
      <c r="F43" s="1291">
        <v>0</v>
      </c>
    </row>
    <row r="44" spans="1:6">
      <c r="A44" s="1290" t="s">
        <v>31</v>
      </c>
      <c r="B44" s="1290" t="s">
        <v>35</v>
      </c>
      <c r="C44" s="1291">
        <v>8</v>
      </c>
      <c r="D44" s="1291">
        <v>92557.279557381495</v>
      </c>
      <c r="E44" s="1291">
        <v>16</v>
      </c>
      <c r="F44" s="1291">
        <v>55851.089443005701</v>
      </c>
    </row>
    <row r="45" spans="1:6">
      <c r="A45" s="1290" t="s">
        <v>31</v>
      </c>
      <c r="B45" s="1290" t="s">
        <v>36</v>
      </c>
      <c r="C45" s="1291">
        <v>0</v>
      </c>
      <c r="D45" s="1291">
        <v>0</v>
      </c>
      <c r="E45" s="1291">
        <v>0</v>
      </c>
      <c r="F45" s="1291">
        <v>0</v>
      </c>
    </row>
    <row r="46" spans="1:6">
      <c r="A46" s="1290" t="s">
        <v>31</v>
      </c>
      <c r="B46" s="1290" t="s">
        <v>37</v>
      </c>
      <c r="C46" s="1291">
        <v>0</v>
      </c>
      <c r="D46" s="1291">
        <v>0</v>
      </c>
      <c r="E46" s="1291">
        <v>0</v>
      </c>
      <c r="F46" s="1291">
        <v>0</v>
      </c>
    </row>
    <row r="47" spans="1:6">
      <c r="A47" s="1290" t="s">
        <v>31</v>
      </c>
      <c r="B47" s="1290" t="s">
        <v>38</v>
      </c>
      <c r="C47" s="1291">
        <v>6</v>
      </c>
      <c r="D47" s="1291">
        <v>171053.79626932499</v>
      </c>
      <c r="E47" s="1291">
        <v>7</v>
      </c>
      <c r="F47" s="1291">
        <v>62067.192446462199</v>
      </c>
    </row>
    <row r="48" spans="1:6">
      <c r="A48" s="1290" t="s">
        <v>31</v>
      </c>
      <c r="B48" s="1290" t="s">
        <v>28</v>
      </c>
      <c r="C48" s="1291">
        <v>56</v>
      </c>
      <c r="D48" s="1291">
        <v>1554922.9187407501</v>
      </c>
      <c r="E48" s="1291">
        <v>84</v>
      </c>
      <c r="F48" s="1291">
        <v>4216031.03179901</v>
      </c>
    </row>
    <row r="49" spans="1:6">
      <c r="A49" s="1290" t="s">
        <v>31</v>
      </c>
      <c r="B49" s="1290" t="s">
        <v>39</v>
      </c>
      <c r="C49" s="1291">
        <v>4</v>
      </c>
      <c r="D49" s="1291">
        <v>63194.334195239899</v>
      </c>
      <c r="E49" s="1291">
        <v>8</v>
      </c>
      <c r="F49" s="1291">
        <v>144220.79033853801</v>
      </c>
    </row>
    <row r="50" spans="1:6">
      <c r="A50" s="1290" t="s">
        <v>31</v>
      </c>
      <c r="B50" s="1290" t="s">
        <v>40</v>
      </c>
      <c r="C50" s="1291">
        <v>39</v>
      </c>
      <c r="D50" s="1291">
        <v>2275235.90429101</v>
      </c>
      <c r="E50" s="1291">
        <v>53</v>
      </c>
      <c r="F50" s="1291">
        <v>1916371.16244168</v>
      </c>
    </row>
    <row r="51" spans="1:6">
      <c r="A51" s="1290" t="s">
        <v>41</v>
      </c>
      <c r="B51" s="1290" t="s">
        <v>42</v>
      </c>
      <c r="C51" s="1291">
        <v>22</v>
      </c>
      <c r="D51" s="1291">
        <v>407428.82921955799</v>
      </c>
      <c r="E51" s="1291">
        <v>109</v>
      </c>
      <c r="F51" s="1291">
        <v>1692012.1429530701</v>
      </c>
    </row>
    <row r="52" spans="1:6">
      <c r="A52" s="1290" t="s">
        <v>41</v>
      </c>
      <c r="B52" s="1290" t="s">
        <v>28</v>
      </c>
      <c r="C52" s="1291">
        <v>12</v>
      </c>
      <c r="D52" s="1291">
        <v>229615.35047213201</v>
      </c>
      <c r="E52" s="1291">
        <v>9</v>
      </c>
      <c r="F52" s="1291">
        <v>41824.926437834103</v>
      </c>
    </row>
    <row r="53" spans="1:6">
      <c r="A53" s="1290" t="s">
        <v>43</v>
      </c>
      <c r="B53" s="1290" t="s">
        <v>44</v>
      </c>
      <c r="C53" s="1291">
        <v>908</v>
      </c>
      <c r="D53" s="1291">
        <v>14817548.853466401</v>
      </c>
      <c r="E53" s="1291">
        <v>1939</v>
      </c>
      <c r="F53" s="1291">
        <v>8140415.0153035801</v>
      </c>
    </row>
    <row r="54" spans="1:6">
      <c r="A54" s="1290" t="s">
        <v>45</v>
      </c>
      <c r="B54" s="1290" t="s">
        <v>46</v>
      </c>
      <c r="C54" s="1291">
        <v>0</v>
      </c>
      <c r="D54" s="1291">
        <v>0</v>
      </c>
      <c r="E54" s="1291">
        <v>1</v>
      </c>
      <c r="F54" s="1291">
        <v>3251463</v>
      </c>
    </row>
    <row r="55" spans="1:6">
      <c r="A55" s="1290" t="s">
        <v>45</v>
      </c>
      <c r="B55" s="1290" t="s">
        <v>28</v>
      </c>
      <c r="C55" s="1291">
        <v>0</v>
      </c>
      <c r="D55" s="1291">
        <v>0</v>
      </c>
      <c r="E55" s="1291">
        <v>0</v>
      </c>
      <c r="F55" s="1291">
        <v>0</v>
      </c>
    </row>
    <row r="56" spans="1:6">
      <c r="A56" s="1290" t="s">
        <v>47</v>
      </c>
      <c r="B56" s="1290" t="s">
        <v>28</v>
      </c>
      <c r="C56" s="1291">
        <v>0</v>
      </c>
      <c r="D56" s="1291">
        <v>0</v>
      </c>
      <c r="E56" s="1291">
        <v>0</v>
      </c>
      <c r="F56" s="1291">
        <v>0</v>
      </c>
    </row>
    <row r="57" spans="1:6">
      <c r="A57" s="1290" t="s">
        <v>48</v>
      </c>
      <c r="B57" s="1290" t="s">
        <v>49</v>
      </c>
      <c r="C57" s="1291">
        <v>124</v>
      </c>
      <c r="D57" s="1291">
        <v>3438270.2351711802</v>
      </c>
      <c r="E57" s="1291">
        <v>304</v>
      </c>
      <c r="F57" s="1291">
        <v>6198860.7698548697</v>
      </c>
    </row>
    <row r="58" spans="1:6">
      <c r="A58" s="1290" t="s">
        <v>48</v>
      </c>
      <c r="B58" s="1290" t="s">
        <v>50</v>
      </c>
      <c r="C58" s="1291">
        <v>91</v>
      </c>
      <c r="D58" s="1291">
        <v>3601520.12714455</v>
      </c>
      <c r="E58" s="1291">
        <v>135</v>
      </c>
      <c r="F58" s="1291">
        <v>2077290.8303409501</v>
      </c>
    </row>
    <row r="59" spans="1:6">
      <c r="A59" s="1290" t="s">
        <v>48</v>
      </c>
      <c r="B59" s="1290" t="s">
        <v>51</v>
      </c>
      <c r="C59" s="1291">
        <v>729</v>
      </c>
      <c r="D59" s="1291">
        <v>14848017.8239886</v>
      </c>
      <c r="E59" s="1291">
        <v>1439</v>
      </c>
      <c r="F59" s="1291">
        <v>30900373.182549901</v>
      </c>
    </row>
    <row r="60" spans="1:6">
      <c r="A60" s="1290" t="s">
        <v>48</v>
      </c>
      <c r="B60" s="1290" t="s">
        <v>52</v>
      </c>
      <c r="C60" s="1291">
        <v>352</v>
      </c>
      <c r="D60" s="1291">
        <v>20010245.2823488</v>
      </c>
      <c r="E60" s="1291">
        <v>489</v>
      </c>
      <c r="F60" s="1291">
        <v>17465415.891116701</v>
      </c>
    </row>
    <row r="61" spans="1:6">
      <c r="A61" s="1290" t="s">
        <v>48</v>
      </c>
      <c r="B61" s="1290" t="s">
        <v>53</v>
      </c>
      <c r="C61" s="1291">
        <v>1830</v>
      </c>
      <c r="D61" s="1291">
        <v>67958953.379202396</v>
      </c>
      <c r="E61" s="1291">
        <v>4859</v>
      </c>
      <c r="F61" s="1291">
        <v>30749455.340318799</v>
      </c>
    </row>
    <row r="62" spans="1:6">
      <c r="A62" s="1290" t="s">
        <v>48</v>
      </c>
      <c r="B62" s="1290" t="s">
        <v>54</v>
      </c>
      <c r="C62" s="1291">
        <v>22</v>
      </c>
      <c r="D62" s="1291">
        <v>3722487.69229839</v>
      </c>
      <c r="E62" s="1291">
        <v>22</v>
      </c>
      <c r="F62" s="1291">
        <v>500614.25593620498</v>
      </c>
    </row>
    <row r="63" spans="1:6">
      <c r="A63" s="1290" t="s">
        <v>48</v>
      </c>
      <c r="B63" s="1290" t="s">
        <v>28</v>
      </c>
      <c r="C63" s="1291">
        <v>194</v>
      </c>
      <c r="D63" s="1291">
        <v>8046922.6152323699</v>
      </c>
      <c r="E63" s="1291">
        <v>165</v>
      </c>
      <c r="F63" s="1291">
        <v>7966327.07868955</v>
      </c>
    </row>
    <row r="64" spans="1:6">
      <c r="A64" s="1290" t="s">
        <v>55</v>
      </c>
      <c r="B64" s="1290" t="s">
        <v>56</v>
      </c>
      <c r="C64" s="1291">
        <v>3</v>
      </c>
      <c r="D64" s="1291">
        <v>65223.720056597303</v>
      </c>
      <c r="E64" s="1291">
        <v>3</v>
      </c>
      <c r="F64" s="1291">
        <v>5908.1260171626</v>
      </c>
    </row>
    <row r="65" spans="1:6">
      <c r="A65" s="1290" t="s">
        <v>55</v>
      </c>
      <c r="B65" s="1290" t="s">
        <v>28</v>
      </c>
      <c r="C65" s="1291">
        <v>4</v>
      </c>
      <c r="D65" s="1291">
        <v>84815.641865109705</v>
      </c>
      <c r="E65" s="1291">
        <v>3</v>
      </c>
      <c r="F65" s="1291">
        <v>25133.497047553101</v>
      </c>
    </row>
    <row r="66" spans="1:6">
      <c r="A66" s="1290" t="s">
        <v>55</v>
      </c>
      <c r="B66" s="1290" t="s">
        <v>57</v>
      </c>
      <c r="C66" s="1291">
        <v>0</v>
      </c>
      <c r="D66" s="1291">
        <v>0</v>
      </c>
      <c r="E66" s="1291">
        <v>0</v>
      </c>
      <c r="F66" s="1291">
        <v>0</v>
      </c>
    </row>
    <row r="67" spans="1:6">
      <c r="A67" s="1292" t="s">
        <v>55</v>
      </c>
      <c r="B67" s="1292" t="s">
        <v>58</v>
      </c>
      <c r="C67" s="1291">
        <v>0</v>
      </c>
      <c r="D67" s="1291">
        <v>0</v>
      </c>
      <c r="E67" s="1291">
        <v>0</v>
      </c>
      <c r="F67" s="1291">
        <v>0</v>
      </c>
    </row>
    <row r="68" spans="1:6">
      <c r="A68" s="1285" t="s">
        <v>55</v>
      </c>
      <c r="B68" s="1285" t="s">
        <v>59</v>
      </c>
      <c r="C68" s="1294">
        <v>21</v>
      </c>
      <c r="D68" s="1294">
        <v>446779.44934310101</v>
      </c>
      <c r="E68" s="1294">
        <v>42</v>
      </c>
      <c r="F68" s="1294">
        <v>1247791.5258495701</v>
      </c>
    </row>
    <row r="69" spans="1:6" ht="15.75" thickBot="1">
      <c r="A69" s="335"/>
      <c r="B69" s="331"/>
      <c r="C69" s="331"/>
      <c r="D69" s="331"/>
      <c r="E69" s="331"/>
      <c r="F69" s="331"/>
    </row>
    <row r="70" spans="1:6" ht="19.5">
      <c r="A70" s="1282" t="s">
        <v>60</v>
      </c>
      <c r="B70" s="332" t="s">
        <v>969</v>
      </c>
      <c r="C70" s="332" t="s">
        <v>796</v>
      </c>
      <c r="D70" s="332"/>
      <c r="E70" s="332"/>
      <c r="F70" s="336"/>
    </row>
    <row r="71" spans="1:6" ht="20.25" thickBot="1">
      <c r="A71" s="1301"/>
      <c r="B71" s="338"/>
      <c r="C71" s="338"/>
      <c r="D71" s="339" t="s">
        <v>449</v>
      </c>
      <c r="E71" s="338"/>
      <c r="F71" s="340"/>
    </row>
    <row r="72" spans="1:6" ht="16.5" thickTop="1" thickBot="1">
      <c r="A72" s="1287" t="s">
        <v>61</v>
      </c>
      <c r="B72" s="1288" t="s">
        <v>62</v>
      </c>
      <c r="C72" s="1302" t="s">
        <v>770</v>
      </c>
      <c r="D72" s="1303"/>
      <c r="E72" s="1303"/>
      <c r="F72" s="1289"/>
    </row>
    <row r="73" spans="1:6">
      <c r="A73" s="1290" t="s">
        <v>63</v>
      </c>
      <c r="B73" s="1290" t="s">
        <v>771</v>
      </c>
      <c r="C73" s="1304" t="s">
        <v>772</v>
      </c>
      <c r="D73" s="1305">
        <v>124113066</v>
      </c>
      <c r="E73" s="455"/>
      <c r="F73" s="331"/>
    </row>
    <row r="74" spans="1:6">
      <c r="A74" s="1290" t="s">
        <v>63</v>
      </c>
      <c r="B74" s="1290" t="s">
        <v>773</v>
      </c>
      <c r="C74" s="1304" t="s">
        <v>774</v>
      </c>
      <c r="D74" s="1305">
        <v>12406751.650587199</v>
      </c>
      <c r="E74" s="455"/>
      <c r="F74" s="331"/>
    </row>
    <row r="75" spans="1:6">
      <c r="A75" s="1290" t="s">
        <v>64</v>
      </c>
      <c r="B75" s="1290" t="s">
        <v>771</v>
      </c>
      <c r="C75" s="1304" t="s">
        <v>775</v>
      </c>
      <c r="D75" s="1305">
        <v>32492815</v>
      </c>
      <c r="E75" s="455"/>
      <c r="F75" s="331"/>
    </row>
    <row r="76" spans="1:6">
      <c r="A76" s="1290" t="s">
        <v>64</v>
      </c>
      <c r="B76" s="1290" t="s">
        <v>773</v>
      </c>
      <c r="C76" s="1304" t="s">
        <v>776</v>
      </c>
      <c r="D76" s="1305">
        <v>1249330.6505871995</v>
      </c>
      <c r="E76" s="455"/>
      <c r="F76" s="331"/>
    </row>
    <row r="77" spans="1:6">
      <c r="A77" s="1290" t="s">
        <v>65</v>
      </c>
      <c r="B77" s="1290" t="s">
        <v>771</v>
      </c>
      <c r="C77" s="1304" t="s">
        <v>777</v>
      </c>
      <c r="D77" s="1305">
        <v>0</v>
      </c>
      <c r="E77" s="455"/>
      <c r="F77" s="331"/>
    </row>
    <row r="78" spans="1:6">
      <c r="A78" s="1285" t="s">
        <v>65</v>
      </c>
      <c r="B78" s="1285" t="s">
        <v>773</v>
      </c>
      <c r="C78" s="1285" t="s">
        <v>778</v>
      </c>
      <c r="D78" s="1306">
        <v>0</v>
      </c>
      <c r="E78" s="1307"/>
      <c r="F78" s="334"/>
    </row>
    <row r="79" spans="1:6">
      <c r="A79" s="1308"/>
      <c r="B79" s="1308"/>
      <c r="C79" s="331"/>
      <c r="D79" s="331"/>
      <c r="E79" s="331"/>
      <c r="F79" s="331"/>
    </row>
    <row r="80" spans="1:6" ht="15.75" thickBot="1">
      <c r="A80" s="1308"/>
      <c r="B80" s="1308"/>
      <c r="C80" s="331"/>
      <c r="D80" s="331"/>
      <c r="E80" s="331"/>
      <c r="F80" s="331"/>
    </row>
    <row r="81" spans="1:6" ht="20.25" thickBot="1">
      <c r="A81" s="1282" t="s">
        <v>333</v>
      </c>
      <c r="B81" s="1309" t="s">
        <v>395</v>
      </c>
      <c r="C81" s="332" t="s">
        <v>970</v>
      </c>
      <c r="D81" s="332"/>
      <c r="E81" s="332"/>
      <c r="F81" s="336"/>
    </row>
    <row r="82" spans="1:6" ht="16.5" thickTop="1" thickBot="1">
      <c r="A82" s="1287" t="s">
        <v>334</v>
      </c>
      <c r="B82" s="1303"/>
      <c r="C82" s="1303"/>
      <c r="D82" s="1288"/>
      <c r="E82" s="1288"/>
      <c r="F82" s="1289"/>
    </row>
    <row r="83" spans="1:6">
      <c r="A83" s="1290" t="s">
        <v>335</v>
      </c>
      <c r="B83" s="1305">
        <v>487314.69882560114</v>
      </c>
      <c r="C83" s="455"/>
      <c r="D83" s="331"/>
      <c r="E83" s="331"/>
      <c r="F83" s="331"/>
    </row>
    <row r="84" spans="1:6">
      <c r="A84" s="1285" t="s">
        <v>336</v>
      </c>
      <c r="B84" s="1306">
        <v>174589.57465704018</v>
      </c>
      <c r="C84" s="1307"/>
      <c r="D84" s="334"/>
      <c r="E84" s="334"/>
      <c r="F84" s="334"/>
    </row>
    <row r="85" spans="1:6">
      <c r="A85" s="1308"/>
      <c r="B85" s="1310"/>
      <c r="C85" s="331"/>
      <c r="D85" s="331"/>
      <c r="E85" s="331"/>
      <c r="F85" s="331"/>
    </row>
    <row r="86" spans="1:6" ht="15.75" thickBot="1">
      <c r="A86" s="335"/>
      <c r="B86" s="331"/>
      <c r="C86" s="331"/>
      <c r="D86" s="331"/>
      <c r="E86" s="331"/>
      <c r="F86" s="331"/>
    </row>
    <row r="87" spans="1:6" ht="20.25" thickBot="1">
      <c r="A87" s="1282" t="s">
        <v>66</v>
      </c>
      <c r="B87" s="332" t="s">
        <v>395</v>
      </c>
      <c r="C87" s="332" t="s">
        <v>412</v>
      </c>
      <c r="D87" s="332"/>
      <c r="E87" s="332"/>
      <c r="F87" s="336"/>
    </row>
    <row r="88" spans="1:6" ht="16.5" thickTop="1" thickBot="1">
      <c r="A88" s="1287" t="s">
        <v>4</v>
      </c>
      <c r="B88" s="1288" t="s">
        <v>169</v>
      </c>
      <c r="C88" s="1288"/>
      <c r="D88" s="1288"/>
      <c r="E88" s="1288"/>
      <c r="F88" s="1289"/>
    </row>
    <row r="89" spans="1:6">
      <c r="A89" s="1290" t="s">
        <v>559</v>
      </c>
      <c r="B89" s="1291">
        <v>0</v>
      </c>
      <c r="C89" s="331"/>
      <c r="D89" s="331"/>
      <c r="E89" s="331"/>
      <c r="F89" s="331"/>
    </row>
    <row r="90" spans="1:6">
      <c r="A90" s="1290" t="s">
        <v>560</v>
      </c>
      <c r="B90" s="1291">
        <v>0</v>
      </c>
      <c r="C90" s="331"/>
      <c r="D90" s="331"/>
      <c r="E90" s="331"/>
      <c r="F90" s="331"/>
    </row>
    <row r="91" spans="1:6">
      <c r="A91" s="1290" t="s">
        <v>67</v>
      </c>
      <c r="B91" s="1291">
        <v>1069.1887099597782</v>
      </c>
      <c r="C91" s="331"/>
      <c r="D91" s="331"/>
      <c r="E91" s="331"/>
      <c r="F91" s="331"/>
    </row>
    <row r="92" spans="1:6">
      <c r="A92" s="1285" t="s">
        <v>68</v>
      </c>
      <c r="B92" s="1286">
        <v>383.82213292227823</v>
      </c>
      <c r="C92" s="334"/>
      <c r="D92" s="334"/>
      <c r="E92" s="334"/>
      <c r="F92" s="334"/>
    </row>
    <row r="93" spans="1:6">
      <c r="A93" s="335"/>
      <c r="B93" s="331"/>
      <c r="C93" s="331"/>
      <c r="D93" s="331"/>
      <c r="E93" s="331"/>
      <c r="F93" s="331"/>
    </row>
    <row r="94" spans="1:6" ht="15.75" thickBot="1">
      <c r="A94" s="335"/>
      <c r="B94" s="331"/>
      <c r="C94" s="331"/>
      <c r="D94" s="331"/>
      <c r="E94" s="331"/>
      <c r="F94" s="331"/>
    </row>
    <row r="95" spans="1:6" ht="20.25" thickBot="1">
      <c r="A95" s="1282" t="s">
        <v>69</v>
      </c>
      <c r="B95" s="332" t="s">
        <v>395</v>
      </c>
      <c r="C95" s="332" t="s">
        <v>413</v>
      </c>
      <c r="D95" s="332"/>
      <c r="E95" s="332"/>
      <c r="F95" s="336"/>
    </row>
    <row r="96" spans="1:6" ht="16.5" thickTop="1" thickBot="1">
      <c r="A96" s="1287" t="s">
        <v>4</v>
      </c>
      <c r="B96" s="1288" t="s">
        <v>5</v>
      </c>
      <c r="C96" s="1288"/>
      <c r="D96" s="1288"/>
      <c r="E96" s="1288"/>
      <c r="F96" s="1289"/>
    </row>
    <row r="97" spans="1:6">
      <c r="A97" s="1290" t="s">
        <v>70</v>
      </c>
      <c r="B97" s="1291">
        <v>9792</v>
      </c>
      <c r="C97" s="331"/>
      <c r="D97" s="331"/>
      <c r="E97" s="331"/>
      <c r="F97" s="331"/>
    </row>
    <row r="98" spans="1:6">
      <c r="A98" s="1290" t="s">
        <v>71</v>
      </c>
      <c r="B98" s="1291">
        <v>3</v>
      </c>
      <c r="C98" s="331"/>
      <c r="D98" s="331"/>
      <c r="E98" s="331"/>
      <c r="F98" s="331"/>
    </row>
    <row r="99" spans="1:6">
      <c r="A99" s="1290" t="s">
        <v>72</v>
      </c>
      <c r="B99" s="1291">
        <v>58</v>
      </c>
      <c r="C99" s="331"/>
      <c r="D99" s="331"/>
      <c r="E99" s="331"/>
      <c r="F99" s="331"/>
    </row>
    <row r="100" spans="1:6">
      <c r="A100" s="1290" t="s">
        <v>73</v>
      </c>
      <c r="B100" s="1291">
        <v>1420</v>
      </c>
      <c r="C100" s="331"/>
      <c r="D100" s="331"/>
      <c r="E100" s="331"/>
      <c r="F100" s="331"/>
    </row>
    <row r="101" spans="1:6">
      <c r="A101" s="1290" t="s">
        <v>74</v>
      </c>
      <c r="B101" s="1291">
        <v>56</v>
      </c>
      <c r="C101" s="331"/>
      <c r="D101" s="331"/>
      <c r="E101" s="331"/>
      <c r="F101" s="331"/>
    </row>
    <row r="102" spans="1:6">
      <c r="A102" s="1290" t="s">
        <v>75</v>
      </c>
      <c r="B102" s="1291">
        <v>435</v>
      </c>
      <c r="C102" s="331"/>
      <c r="D102" s="331"/>
      <c r="E102" s="331"/>
      <c r="F102" s="331"/>
    </row>
    <row r="103" spans="1:6">
      <c r="A103" s="1290" t="s">
        <v>76</v>
      </c>
      <c r="B103" s="1291">
        <v>92</v>
      </c>
      <c r="C103" s="331"/>
      <c r="D103" s="331"/>
      <c r="E103" s="331"/>
      <c r="F103" s="331"/>
    </row>
    <row r="104" spans="1:6">
      <c r="A104" s="1290" t="s">
        <v>77</v>
      </c>
      <c r="B104" s="1291">
        <v>3205</v>
      </c>
      <c r="C104" s="331"/>
      <c r="D104" s="331"/>
      <c r="E104" s="331"/>
      <c r="F104" s="331"/>
    </row>
    <row r="105" spans="1:6">
      <c r="A105" s="1285" t="s">
        <v>78</v>
      </c>
      <c r="B105" s="1294">
        <v>2</v>
      </c>
      <c r="C105" s="334"/>
      <c r="D105" s="334"/>
      <c r="E105" s="334"/>
      <c r="F105" s="334"/>
    </row>
    <row r="106" spans="1:6">
      <c r="A106" s="335"/>
      <c r="B106" s="331"/>
      <c r="C106" s="331"/>
      <c r="D106" s="331"/>
      <c r="E106" s="331"/>
      <c r="F106" s="331"/>
    </row>
    <row r="107" spans="1:6" ht="15.75" thickBot="1">
      <c r="A107" s="335"/>
      <c r="B107" s="331"/>
      <c r="C107" s="331"/>
      <c r="D107" s="331"/>
      <c r="E107" s="331"/>
      <c r="F107" s="331"/>
    </row>
    <row r="108" spans="1:6" ht="20.25" thickBot="1">
      <c r="A108" s="1282" t="s">
        <v>667</v>
      </c>
      <c r="B108" s="332" t="s">
        <v>395</v>
      </c>
      <c r="C108" s="332" t="s">
        <v>412</v>
      </c>
      <c r="D108" s="332"/>
      <c r="E108" s="332"/>
      <c r="F108" s="336"/>
    </row>
    <row r="109" spans="1:6" ht="16.5" thickTop="1" thickBot="1">
      <c r="A109" s="1287" t="s">
        <v>4</v>
      </c>
      <c r="B109" s="1288" t="s">
        <v>5</v>
      </c>
      <c r="C109" s="1288"/>
      <c r="D109" s="1288"/>
      <c r="E109" s="1288"/>
      <c r="F109" s="1289"/>
    </row>
    <row r="110" spans="1:6">
      <c r="A110" s="1290" t="s">
        <v>668</v>
      </c>
      <c r="B110" s="1291">
        <v>0</v>
      </c>
      <c r="C110" s="331"/>
      <c r="D110" s="331"/>
      <c r="E110" s="331"/>
      <c r="F110" s="331"/>
    </row>
    <row r="111" spans="1:6">
      <c r="A111" s="1311" t="s">
        <v>669</v>
      </c>
      <c r="B111" s="1312">
        <v>0</v>
      </c>
      <c r="C111" s="1314"/>
      <c r="D111" s="1314"/>
      <c r="E111" s="1314"/>
      <c r="F111" s="1314"/>
    </row>
    <row r="112" spans="1:6">
      <c r="A112" s="1290"/>
      <c r="B112" s="331"/>
      <c r="C112" s="331"/>
      <c r="D112" s="331"/>
      <c r="E112" s="331"/>
      <c r="F112" s="331"/>
    </row>
    <row r="113" spans="1:6" ht="15.75" thickBot="1">
      <c r="A113" s="1285"/>
      <c r="B113" s="334"/>
      <c r="C113" s="334"/>
      <c r="D113" s="334"/>
      <c r="E113" s="334"/>
      <c r="F113" s="334"/>
    </row>
    <row r="114" spans="1:6" ht="20.25" thickBot="1">
      <c r="A114" s="1282" t="s">
        <v>79</v>
      </c>
      <c r="B114" s="332" t="s">
        <v>395</v>
      </c>
      <c r="C114" s="332" t="s">
        <v>412</v>
      </c>
      <c r="D114" s="332"/>
      <c r="E114" s="332"/>
      <c r="F114" s="336"/>
    </row>
    <row r="115" spans="1:6" ht="16.5" thickTop="1" thickBot="1">
      <c r="A115" s="341"/>
      <c r="B115" s="342" t="s">
        <v>80</v>
      </c>
      <c r="C115" s="342" t="s">
        <v>81</v>
      </c>
      <c r="D115" s="342"/>
      <c r="E115" s="342"/>
      <c r="F115" s="343"/>
    </row>
    <row r="116" spans="1:6" ht="16.5" thickTop="1" thickBot="1">
      <c r="A116" s="1287" t="s">
        <v>4</v>
      </c>
      <c r="B116" s="1288" t="s">
        <v>5</v>
      </c>
      <c r="C116" s="1288" t="s">
        <v>5</v>
      </c>
      <c r="D116" s="1288"/>
      <c r="E116" s="1288"/>
      <c r="F116" s="1289"/>
    </row>
    <row r="117" spans="1:6">
      <c r="A117" s="1290" t="s">
        <v>82</v>
      </c>
      <c r="B117" s="1291">
        <v>0</v>
      </c>
      <c r="C117" s="1291">
        <v>0</v>
      </c>
      <c r="D117" s="331"/>
      <c r="E117" s="331"/>
      <c r="F117" s="331"/>
    </row>
    <row r="118" spans="1:6">
      <c r="A118" s="1290" t="s">
        <v>83</v>
      </c>
      <c r="B118" s="1291">
        <v>0</v>
      </c>
      <c r="C118" s="1291">
        <v>0</v>
      </c>
      <c r="D118" s="331"/>
      <c r="E118" s="331"/>
      <c r="F118" s="331"/>
    </row>
    <row r="119" spans="1:6">
      <c r="A119" s="1290" t="s">
        <v>31</v>
      </c>
      <c r="B119" s="1291">
        <v>0</v>
      </c>
      <c r="C119" s="1291">
        <v>0</v>
      </c>
      <c r="D119" s="331"/>
      <c r="E119" s="331"/>
      <c r="F119" s="331"/>
    </row>
    <row r="120" spans="1:6">
      <c r="A120" s="1290" t="s">
        <v>84</v>
      </c>
      <c r="B120" s="1291">
        <v>0</v>
      </c>
      <c r="C120" s="1291">
        <v>0</v>
      </c>
      <c r="D120" s="331"/>
      <c r="E120" s="331"/>
      <c r="F120" s="331"/>
    </row>
    <row r="121" spans="1:6">
      <c r="A121" s="1290" t="s">
        <v>85</v>
      </c>
      <c r="B121" s="1291">
        <v>0</v>
      </c>
      <c r="C121" s="1291">
        <v>0</v>
      </c>
      <c r="D121" s="331"/>
      <c r="E121" s="331"/>
      <c r="F121" s="331"/>
    </row>
    <row r="122" spans="1:6">
      <c r="A122" s="1290" t="s">
        <v>86</v>
      </c>
      <c r="B122" s="1291">
        <v>0</v>
      </c>
      <c r="C122" s="1291">
        <v>0</v>
      </c>
      <c r="D122" s="331"/>
      <c r="E122" s="331"/>
      <c r="F122" s="331"/>
    </row>
    <row r="123" spans="1:6">
      <c r="A123" s="1290" t="s">
        <v>87</v>
      </c>
      <c r="B123" s="1291">
        <v>2</v>
      </c>
      <c r="C123" s="1291">
        <v>4</v>
      </c>
      <c r="D123" s="331"/>
      <c r="E123" s="331"/>
      <c r="F123" s="331"/>
    </row>
    <row r="124" spans="1:6" s="43" customFormat="1">
      <c r="A124" s="1292" t="s">
        <v>88</v>
      </c>
      <c r="B124" s="1313">
        <v>0</v>
      </c>
      <c r="C124" s="1313">
        <v>0</v>
      </c>
      <c r="D124" s="337"/>
      <c r="E124" s="337"/>
      <c r="F124" s="337"/>
    </row>
    <row r="125" spans="1:6">
      <c r="A125" s="1285" t="s">
        <v>963</v>
      </c>
      <c r="B125" s="1313">
        <v>0</v>
      </c>
      <c r="C125" s="1313">
        <v>0</v>
      </c>
      <c r="D125" s="331"/>
      <c r="E125" s="331"/>
      <c r="F125" s="331"/>
    </row>
    <row r="126" spans="1:6" ht="15.75" thickBot="1">
      <c r="A126" s="1308"/>
      <c r="B126" s="331"/>
      <c r="C126" s="331"/>
      <c r="D126" s="331"/>
      <c r="E126" s="331"/>
      <c r="F126" s="331"/>
    </row>
    <row r="127" spans="1:6" ht="20.25" thickBot="1">
      <c r="A127" s="1282" t="s">
        <v>292</v>
      </c>
      <c r="B127" s="332" t="s">
        <v>395</v>
      </c>
      <c r="C127" s="332" t="s">
        <v>412</v>
      </c>
      <c r="D127" s="332"/>
      <c r="E127" s="332"/>
      <c r="F127" s="336"/>
    </row>
    <row r="128" spans="1:6" ht="16.5" thickTop="1" thickBot="1">
      <c r="A128" s="1287" t="s">
        <v>4</v>
      </c>
      <c r="B128" s="1288" t="s">
        <v>5</v>
      </c>
      <c r="C128" s="1288"/>
      <c r="D128" s="1288"/>
      <c r="E128" s="1288"/>
      <c r="F128" s="1289"/>
    </row>
    <row r="129" spans="1:6">
      <c r="A129" s="1290" t="s">
        <v>293</v>
      </c>
      <c r="B129" s="1291">
        <v>35</v>
      </c>
      <c r="C129" s="331"/>
      <c r="D129" s="331"/>
      <c r="E129" s="331"/>
      <c r="F129" s="331"/>
    </row>
    <row r="130" spans="1:6">
      <c r="A130" s="1290" t="s">
        <v>294</v>
      </c>
      <c r="B130" s="1291">
        <v>0</v>
      </c>
      <c r="C130" s="331"/>
      <c r="D130" s="331"/>
      <c r="E130" s="331"/>
      <c r="F130" s="331"/>
    </row>
    <row r="131" spans="1:6">
      <c r="A131" s="1290" t="s">
        <v>295</v>
      </c>
      <c r="B131" s="1291">
        <v>4</v>
      </c>
      <c r="C131" s="331"/>
      <c r="D131" s="331"/>
      <c r="E131" s="331"/>
      <c r="F131" s="331"/>
    </row>
    <row r="132" spans="1:6">
      <c r="A132" s="1285" t="s">
        <v>296</v>
      </c>
      <c r="B132" s="1286">
        <v>3</v>
      </c>
      <c r="C132" s="334"/>
      <c r="D132" s="334"/>
      <c r="E132" s="334"/>
      <c r="F132" s="334"/>
    </row>
    <row r="133" spans="1:6">
      <c r="A133" s="331"/>
      <c r="B133" s="331"/>
      <c r="C133" s="331"/>
      <c r="D133" s="331"/>
      <c r="E133" s="331"/>
      <c r="F133" s="331"/>
    </row>
    <row r="134" spans="1:6">
      <c r="A134" s="1310"/>
      <c r="B134" s="331"/>
      <c r="C134" s="331"/>
      <c r="D134" s="331"/>
      <c r="E134" s="331"/>
      <c r="F134" s="33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K53"/>
  <sheetViews>
    <sheetView showGridLines="0" workbookViewId="0">
      <selection activeCell="B47" sqref="B47"/>
    </sheetView>
  </sheetViews>
  <sheetFormatPr defaultRowHeight="15"/>
  <cols>
    <col min="1" max="1" width="46.7109375" bestFit="1" customWidth="1"/>
    <col min="2" max="2" width="38.5703125" style="527" customWidth="1"/>
  </cols>
  <sheetData>
    <row r="1" spans="1:9" ht="18.75" thickBot="1">
      <c r="A1" s="121" t="s">
        <v>179</v>
      </c>
      <c r="B1" s="513"/>
    </row>
    <row r="2" spans="1:9">
      <c r="A2" s="44" t="s">
        <v>790</v>
      </c>
      <c r="B2" s="514"/>
    </row>
    <row r="3" spans="1:9">
      <c r="A3" s="44"/>
      <c r="B3" s="514"/>
    </row>
    <row r="4" spans="1:9" ht="18">
      <c r="A4" s="137" t="s">
        <v>180</v>
      </c>
      <c r="B4" s="515" t="s">
        <v>389</v>
      </c>
    </row>
    <row r="5" spans="1:9" ht="21">
      <c r="A5" s="116" t="s">
        <v>182</v>
      </c>
      <c r="B5" s="516"/>
      <c r="E5" s="9"/>
      <c r="F5" s="9"/>
      <c r="G5" s="9"/>
    </row>
    <row r="6" spans="1:9">
      <c r="A6" s="117" t="s">
        <v>183</v>
      </c>
      <c r="B6" s="517">
        <v>3.9849787380274715</v>
      </c>
      <c r="E6" s="10"/>
      <c r="F6" s="10"/>
      <c r="G6" s="10"/>
      <c r="H6" s="10"/>
      <c r="I6" s="10"/>
    </row>
    <row r="7" spans="1:9">
      <c r="A7" s="117" t="s">
        <v>6</v>
      </c>
      <c r="B7" s="517">
        <v>145.2039646716907</v>
      </c>
      <c r="H7" s="10"/>
      <c r="I7" s="10"/>
    </row>
    <row r="8" spans="1:9">
      <c r="A8" s="117" t="s">
        <v>7</v>
      </c>
      <c r="B8" s="517">
        <v>91.939542261645002</v>
      </c>
      <c r="H8" s="10"/>
      <c r="I8" s="10"/>
    </row>
    <row r="9" spans="1:9">
      <c r="A9" s="117" t="s">
        <v>8</v>
      </c>
      <c r="B9" s="517">
        <v>31.466379225633723</v>
      </c>
      <c r="E9" s="10"/>
      <c r="F9" s="10"/>
      <c r="G9" s="10"/>
      <c r="H9" s="10"/>
      <c r="I9" s="10"/>
    </row>
    <row r="10" spans="1:9">
      <c r="A10" s="117" t="s">
        <v>9</v>
      </c>
      <c r="B10" s="517">
        <v>47.265136268950577</v>
      </c>
      <c r="E10" s="11"/>
      <c r="F10" s="11"/>
      <c r="G10" s="11"/>
      <c r="H10" s="10"/>
      <c r="I10" s="10"/>
    </row>
    <row r="11" spans="1:9">
      <c r="A11" s="117" t="s">
        <v>10</v>
      </c>
      <c r="B11" s="517">
        <v>47.685070955670071</v>
      </c>
      <c r="E11" s="11"/>
      <c r="F11" s="11"/>
      <c r="G11" s="11"/>
      <c r="H11" s="10"/>
      <c r="I11" s="10"/>
    </row>
    <row r="12" spans="1:9">
      <c r="A12" s="118" t="s">
        <v>16</v>
      </c>
      <c r="B12" s="517">
        <v>8</v>
      </c>
      <c r="E12" s="10"/>
      <c r="F12" s="10"/>
      <c r="G12" s="10"/>
      <c r="H12" s="10"/>
      <c r="I12" s="10"/>
    </row>
    <row r="13" spans="1:9">
      <c r="A13" s="118" t="s">
        <v>17</v>
      </c>
      <c r="B13" s="517">
        <v>5</v>
      </c>
      <c r="E13" s="10"/>
      <c r="F13" s="10"/>
      <c r="G13" s="10"/>
      <c r="H13" s="10"/>
      <c r="I13" s="10"/>
    </row>
    <row r="14" spans="1:9">
      <c r="A14" s="118" t="s">
        <v>184</v>
      </c>
      <c r="B14" s="517">
        <v>1.5</v>
      </c>
      <c r="E14" s="10"/>
      <c r="F14" s="10"/>
      <c r="G14" s="10"/>
      <c r="H14" s="10"/>
      <c r="I14" s="10"/>
    </row>
    <row r="15" spans="1:9">
      <c r="A15" s="118" t="s">
        <v>185</v>
      </c>
      <c r="B15" s="517">
        <v>18</v>
      </c>
      <c r="E15" s="10"/>
      <c r="F15" s="10"/>
      <c r="G15" s="10"/>
      <c r="H15" s="10"/>
      <c r="I15" s="10"/>
    </row>
    <row r="16" spans="1:9">
      <c r="A16" s="118" t="s">
        <v>186</v>
      </c>
      <c r="B16" s="518">
        <v>10</v>
      </c>
      <c r="E16" s="10"/>
      <c r="F16" s="10"/>
      <c r="G16" s="10"/>
      <c r="H16" s="10"/>
      <c r="I16" s="10"/>
    </row>
    <row r="17" spans="1:9" s="43" customFormat="1" ht="15.75" thickBot="1">
      <c r="A17" s="119"/>
      <c r="B17" s="519"/>
      <c r="E17" s="156"/>
      <c r="F17" s="156"/>
      <c r="G17" s="156"/>
      <c r="H17" s="156"/>
      <c r="I17" s="156"/>
    </row>
    <row r="18" spans="1:9" s="43" customFormat="1" ht="15.75" thickBot="1">
      <c r="A18" s="196"/>
      <c r="B18" s="520"/>
      <c r="E18" s="156"/>
      <c r="F18" s="156"/>
      <c r="G18" s="156"/>
      <c r="H18" s="156"/>
      <c r="I18" s="156"/>
    </row>
    <row r="19" spans="1:9" ht="18.75" thickBot="1">
      <c r="A19" s="121" t="s">
        <v>187</v>
      </c>
      <c r="B19" s="513"/>
      <c r="E19" s="10"/>
      <c r="F19" s="10"/>
      <c r="G19" s="10"/>
      <c r="H19" s="10"/>
      <c r="I19" s="10"/>
    </row>
    <row r="20" spans="1:9">
      <c r="A20" s="44" t="s">
        <v>790</v>
      </c>
      <c r="B20" s="514"/>
      <c r="E20" s="10"/>
      <c r="F20" s="10"/>
      <c r="G20" s="10"/>
      <c r="H20" s="10"/>
      <c r="I20" s="10"/>
    </row>
    <row r="21" spans="1:9">
      <c r="A21" s="44"/>
      <c r="B21" s="514"/>
      <c r="E21" s="10"/>
      <c r="F21" s="10"/>
      <c r="G21" s="10"/>
      <c r="H21" s="10"/>
      <c r="I21" s="10"/>
    </row>
    <row r="22" spans="1:9" ht="18">
      <c r="A22" s="138" t="s">
        <v>180</v>
      </c>
      <c r="B22" s="521" t="s">
        <v>389</v>
      </c>
      <c r="E22" s="10"/>
      <c r="F22" s="10"/>
      <c r="G22" s="10"/>
      <c r="H22" s="10"/>
      <c r="I22" s="10"/>
    </row>
    <row r="23" spans="1:9" s="72" customFormat="1">
      <c r="A23" s="118" t="s">
        <v>182</v>
      </c>
      <c r="B23" s="517">
        <v>10.510911513863443</v>
      </c>
    </row>
    <row r="24" spans="1:9">
      <c r="A24" s="117" t="s">
        <v>183</v>
      </c>
      <c r="B24" s="517">
        <v>4.2231090152811745</v>
      </c>
      <c r="E24" s="10"/>
      <c r="F24" s="10"/>
      <c r="G24" s="10"/>
      <c r="H24" s="10"/>
      <c r="I24" s="10"/>
    </row>
    <row r="25" spans="1:9">
      <c r="A25" s="117" t="s">
        <v>6</v>
      </c>
      <c r="B25" s="517">
        <v>36.708437923254813</v>
      </c>
      <c r="E25" s="10"/>
      <c r="F25" s="10"/>
      <c r="G25" s="10"/>
      <c r="H25" s="10"/>
      <c r="I25" s="10"/>
    </row>
    <row r="26" spans="1:9">
      <c r="A26" s="117" t="s">
        <v>7</v>
      </c>
      <c r="B26" s="517">
        <v>2.6322448484550991</v>
      </c>
      <c r="E26" s="10"/>
      <c r="F26" s="10"/>
      <c r="G26" s="10"/>
      <c r="H26" s="10"/>
      <c r="I26" s="10"/>
    </row>
    <row r="27" spans="1:9">
      <c r="A27" s="117" t="s">
        <v>8</v>
      </c>
      <c r="B27" s="517">
        <v>1.3742356711711319</v>
      </c>
      <c r="E27" s="10"/>
      <c r="F27" s="10"/>
      <c r="G27" s="10"/>
      <c r="H27" s="10"/>
      <c r="I27" s="10"/>
    </row>
    <row r="28" spans="1:9">
      <c r="A28" s="117" t="s">
        <v>9</v>
      </c>
      <c r="B28" s="517">
        <v>9.3577839260338891</v>
      </c>
      <c r="E28" s="10"/>
      <c r="F28" s="10"/>
      <c r="G28" s="10"/>
      <c r="H28" s="10"/>
      <c r="I28" s="10"/>
    </row>
    <row r="29" spans="1:9">
      <c r="A29" s="117" t="s">
        <v>10</v>
      </c>
      <c r="B29" s="517">
        <v>3.8951527391088074</v>
      </c>
      <c r="E29" s="10"/>
      <c r="F29" s="10"/>
      <c r="G29" s="10"/>
      <c r="H29" s="10"/>
      <c r="I29" s="10"/>
    </row>
    <row r="30" spans="1:9">
      <c r="A30" s="118" t="s">
        <v>184</v>
      </c>
      <c r="B30" s="517">
        <v>4.5147487611975414</v>
      </c>
      <c r="E30" s="10"/>
      <c r="F30" s="10"/>
      <c r="G30" s="10"/>
      <c r="H30" s="10"/>
      <c r="I30" s="10"/>
    </row>
    <row r="31" spans="1:9">
      <c r="A31" s="117" t="s">
        <v>11</v>
      </c>
      <c r="B31" s="517">
        <v>1.6075002802320004</v>
      </c>
      <c r="E31" s="10"/>
      <c r="F31" s="10"/>
      <c r="G31" s="10"/>
      <c r="H31" s="10"/>
      <c r="I31" s="10"/>
    </row>
    <row r="32" spans="1:9">
      <c r="A32" s="117" t="s">
        <v>12</v>
      </c>
      <c r="B32" s="517">
        <v>4.8225008406960006</v>
      </c>
      <c r="E32" s="10"/>
      <c r="F32" s="10"/>
      <c r="G32" s="10"/>
      <c r="H32" s="10"/>
      <c r="I32" s="10"/>
    </row>
    <row r="33" spans="1:11">
      <c r="A33" s="117" t="s">
        <v>13</v>
      </c>
      <c r="B33" s="517">
        <v>6.3685027042560023</v>
      </c>
      <c r="E33" s="10"/>
      <c r="F33" s="10"/>
      <c r="G33" s="10"/>
      <c r="H33" s="10"/>
      <c r="I33" s="10"/>
    </row>
    <row r="34" spans="1:11">
      <c r="A34" s="117" t="s">
        <v>14</v>
      </c>
      <c r="B34" s="517">
        <v>4.6362973013280016</v>
      </c>
      <c r="E34" s="10"/>
      <c r="F34" s="10"/>
      <c r="G34" s="10"/>
      <c r="H34" s="10"/>
      <c r="I34" s="10"/>
    </row>
    <row r="35" spans="1:11">
      <c r="A35" s="117" t="s">
        <v>15</v>
      </c>
      <c r="B35" s="517">
        <v>12.338973989496003</v>
      </c>
      <c r="E35" s="10"/>
      <c r="F35" s="10"/>
      <c r="G35" s="10"/>
      <c r="H35" s="10"/>
      <c r="I35" s="10"/>
    </row>
    <row r="36" spans="1:11">
      <c r="A36" s="118" t="s">
        <v>16</v>
      </c>
      <c r="B36" s="517">
        <v>0.19</v>
      </c>
      <c r="E36" s="10"/>
      <c r="F36" s="10"/>
      <c r="G36" s="10"/>
      <c r="H36" s="10"/>
      <c r="I36" s="10"/>
    </row>
    <row r="37" spans="1:11">
      <c r="A37" s="118" t="s">
        <v>17</v>
      </c>
      <c r="B37" s="517">
        <v>0.13</v>
      </c>
    </row>
    <row r="38" spans="1:11">
      <c r="A38" s="118" t="s">
        <v>185</v>
      </c>
      <c r="B38" s="517">
        <v>1.56</v>
      </c>
    </row>
    <row r="39" spans="1:11">
      <c r="A39" s="118" t="s">
        <v>186</v>
      </c>
      <c r="B39" s="517">
        <v>0.76</v>
      </c>
    </row>
    <row r="40" spans="1:11">
      <c r="A40" s="118" t="s">
        <v>18</v>
      </c>
      <c r="B40" s="518">
        <v>2.3704721055606063E-2</v>
      </c>
    </row>
    <row r="41" spans="1:11" ht="15.75" thickBot="1">
      <c r="A41" s="119"/>
      <c r="B41" s="522"/>
    </row>
    <row r="42" spans="1:11" s="43" customFormat="1" ht="15.75" thickBot="1">
      <c r="A42" s="197"/>
      <c r="B42" s="520"/>
      <c r="E42" s="198"/>
      <c r="F42" s="198"/>
      <c r="G42" s="198"/>
      <c r="H42" s="198"/>
      <c r="I42" s="198"/>
      <c r="J42" s="198"/>
      <c r="K42" s="198"/>
    </row>
    <row r="43" spans="1:11" ht="15.75" thickBot="1">
      <c r="A43" s="121" t="s">
        <v>188</v>
      </c>
      <c r="B43" s="523"/>
    </row>
    <row r="44" spans="1:11">
      <c r="A44" s="44" t="s">
        <v>710</v>
      </c>
      <c r="B44" s="514"/>
    </row>
    <row r="45" spans="1:11">
      <c r="A45" s="44"/>
      <c r="B45" s="514"/>
    </row>
    <row r="46" spans="1:11" ht="18">
      <c r="A46" s="137" t="s">
        <v>189</v>
      </c>
      <c r="B46" s="515" t="s">
        <v>585</v>
      </c>
    </row>
    <row r="47" spans="1:11">
      <c r="A47" s="116" t="s">
        <v>190</v>
      </c>
      <c r="B47" s="524">
        <v>0.91078472402969768</v>
      </c>
    </row>
    <row r="48" spans="1:11">
      <c r="A48" s="118" t="s">
        <v>191</v>
      </c>
      <c r="B48" s="517">
        <v>0.91081736334237906</v>
      </c>
    </row>
    <row r="49" spans="1:9">
      <c r="A49" s="118" t="s">
        <v>184</v>
      </c>
      <c r="B49" s="517">
        <v>3.3927234279543167E-2</v>
      </c>
    </row>
    <row r="50" spans="1:9">
      <c r="A50" s="118" t="s">
        <v>18</v>
      </c>
      <c r="B50" s="517">
        <v>9.8456821733816993E-4</v>
      </c>
      <c r="E50" s="10"/>
      <c r="F50" s="10"/>
      <c r="G50" s="10"/>
      <c r="H50" s="10"/>
      <c r="I50" s="10"/>
    </row>
    <row r="51" spans="1:9">
      <c r="A51" s="118" t="s">
        <v>16</v>
      </c>
      <c r="B51" s="517">
        <v>6.354064672145299E-3</v>
      </c>
      <c r="E51" s="10"/>
      <c r="F51" s="10"/>
      <c r="G51" s="10"/>
      <c r="H51" s="10"/>
      <c r="I51" s="10"/>
    </row>
    <row r="52" spans="1:9" ht="15.75" thickBot="1">
      <c r="A52" s="119" t="s">
        <v>126</v>
      </c>
      <c r="B52" s="525">
        <v>0.10414436253376488</v>
      </c>
    </row>
    <row r="53" spans="1:9">
      <c r="B53" s="52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33" sqref="B33"/>
    </sheetView>
  </sheetViews>
  <sheetFormatPr defaultRowHeight="15"/>
  <cols>
    <col min="1" max="1" width="80" customWidth="1"/>
    <col min="2" max="2" width="36" style="455" customWidth="1"/>
    <col min="3" max="3" width="70.28515625" style="530" customWidth="1"/>
  </cols>
  <sheetData>
    <row r="1" spans="1:3" s="331" customFormat="1" ht="15.75" thickBot="1">
      <c r="A1" s="370" t="s">
        <v>637</v>
      </c>
      <c r="B1" s="528"/>
      <c r="C1" s="529"/>
    </row>
    <row r="2" spans="1:3" s="331" customFormat="1">
      <c r="A2" s="374"/>
      <c r="B2" s="494"/>
      <c r="C2" s="531"/>
    </row>
    <row r="3" spans="1:3" s="331" customFormat="1">
      <c r="A3" s="372"/>
      <c r="B3" s="532">
        <v>2011</v>
      </c>
      <c r="C3" s="375" t="s">
        <v>181</v>
      </c>
    </row>
    <row r="4" spans="1:3">
      <c r="A4" s="120" t="s">
        <v>300</v>
      </c>
      <c r="B4" s="533">
        <v>6050.9562999999998</v>
      </c>
      <c r="C4" s="139" t="s">
        <v>705</v>
      </c>
    </row>
    <row r="5" spans="1:3" ht="15.75" thickBot="1">
      <c r="A5" s="115" t="s">
        <v>636</v>
      </c>
      <c r="B5" s="534">
        <v>672548</v>
      </c>
      <c r="C5" s="140" t="s">
        <v>634</v>
      </c>
    </row>
    <row r="11" spans="1:3">
      <c r="B11" s="788"/>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A2" sqref="A2"/>
    </sheetView>
  </sheetViews>
  <sheetFormatPr defaultRowHeight="15"/>
  <cols>
    <col min="1" max="1" width="32.42578125" customWidth="1"/>
    <col min="2" max="2" width="57.42578125" customWidth="1"/>
  </cols>
  <sheetData>
    <row r="1" spans="1:2" s="331" customFormat="1" ht="15.75" thickBot="1">
      <c r="A1" s="370" t="s">
        <v>450</v>
      </c>
      <c r="B1" s="371"/>
    </row>
    <row r="2" spans="1:2" s="331" customFormat="1">
      <c r="A2" s="362"/>
      <c r="B2" s="369"/>
    </row>
    <row r="3" spans="1:2" s="331" customFormat="1" ht="18">
      <c r="A3" s="372"/>
      <c r="B3" s="373" t="s">
        <v>453</v>
      </c>
    </row>
    <row r="4" spans="1:2" ht="18">
      <c r="A4" s="120" t="s">
        <v>451</v>
      </c>
      <c r="B4" s="535">
        <v>310</v>
      </c>
    </row>
    <row r="5" spans="1:2" ht="18.75" thickBot="1">
      <c r="A5" s="115" t="s">
        <v>452</v>
      </c>
      <c r="B5" s="536">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1" customFormat="1" ht="22.7" customHeight="1" thickBot="1">
      <c r="A1" s="366"/>
      <c r="B1" s="367" t="s">
        <v>198</v>
      </c>
      <c r="C1" s="367" t="s">
        <v>199</v>
      </c>
      <c r="D1" s="367" t="s">
        <v>200</v>
      </c>
      <c r="E1" s="367" t="s">
        <v>201</v>
      </c>
      <c r="F1" s="367" t="s">
        <v>119</v>
      </c>
      <c r="G1" s="367" t="s">
        <v>202</v>
      </c>
      <c r="H1" s="367" t="s">
        <v>203</v>
      </c>
      <c r="I1" s="367" t="s">
        <v>204</v>
      </c>
      <c r="J1" s="367" t="s">
        <v>205</v>
      </c>
      <c r="K1" s="367" t="s">
        <v>206</v>
      </c>
      <c r="L1" s="367" t="s">
        <v>207</v>
      </c>
      <c r="M1" s="368" t="s">
        <v>290</v>
      </c>
    </row>
    <row r="2" spans="1:13" s="331" customFormat="1">
      <c r="A2" s="362" t="s">
        <v>440</v>
      </c>
      <c r="B2" s="337"/>
      <c r="C2" s="337"/>
      <c r="D2" s="337"/>
      <c r="E2" s="337"/>
      <c r="F2" s="337"/>
      <c r="G2" s="337"/>
      <c r="H2" s="337"/>
      <c r="I2" s="337"/>
      <c r="J2" s="337"/>
      <c r="K2" s="337"/>
      <c r="L2" s="337"/>
      <c r="M2" s="369"/>
    </row>
    <row r="3" spans="1:13">
      <c r="A3" s="44"/>
      <c r="B3" s="43"/>
      <c r="C3" s="43"/>
      <c r="D3" s="43"/>
      <c r="E3" s="43"/>
      <c r="F3" s="43"/>
      <c r="G3" s="43"/>
      <c r="H3" s="43"/>
      <c r="I3" s="43"/>
      <c r="J3" s="43"/>
      <c r="K3" s="43"/>
      <c r="L3" s="43"/>
      <c r="M3" s="96"/>
    </row>
    <row r="4" spans="1:13" ht="15.75" thickBot="1">
      <c r="A4" s="211" t="s">
        <v>441</v>
      </c>
      <c r="B4" s="316">
        <v>0.20200000000000001</v>
      </c>
      <c r="C4" s="316">
        <v>0.22700000000000001</v>
      </c>
      <c r="D4" s="316">
        <v>0.26700000000000002</v>
      </c>
      <c r="E4" s="316">
        <v>0.26700000000000002</v>
      </c>
      <c r="F4" s="316">
        <v>0.249</v>
      </c>
      <c r="G4" s="316">
        <v>0.35099999999999998</v>
      </c>
      <c r="H4" s="316">
        <v>0.35399999999999998</v>
      </c>
      <c r="I4" s="316">
        <v>0.26400000000000001</v>
      </c>
      <c r="J4" s="316">
        <v>0</v>
      </c>
      <c r="K4" s="316">
        <v>0</v>
      </c>
      <c r="L4" s="316">
        <v>0</v>
      </c>
      <c r="M4" s="317">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7" sqref="A7"/>
    </sheetView>
  </sheetViews>
  <sheetFormatPr defaultRowHeight="15"/>
  <cols>
    <col min="1" max="1" width="39.140625" bestFit="1" customWidth="1"/>
    <col min="2" max="2" width="54.5703125" customWidth="1"/>
    <col min="3" max="3" width="111.28515625" customWidth="1"/>
  </cols>
  <sheetData>
    <row r="1" spans="1:3" ht="15.75" thickBot="1"/>
    <row r="2" spans="1:3" s="385" customFormat="1" ht="55.5" customHeight="1" thickBot="1">
      <c r="A2" s="414" t="s">
        <v>385</v>
      </c>
      <c r="B2" s="787"/>
      <c r="C2" s="413"/>
    </row>
    <row r="3" spans="1:3" s="15" customFormat="1" ht="15.75">
      <c r="A3" s="98"/>
      <c r="B3" s="70"/>
      <c r="C3" s="99"/>
    </row>
    <row r="4" spans="1:3" s="331" customFormat="1">
      <c r="A4" s="393" t="s">
        <v>363</v>
      </c>
      <c r="B4" s="415" t="s">
        <v>375</v>
      </c>
      <c r="C4" s="416" t="s">
        <v>374</v>
      </c>
    </row>
    <row r="5" spans="1:3" s="331" customFormat="1">
      <c r="A5" s="417"/>
      <c r="B5" s="337"/>
      <c r="C5" s="369"/>
    </row>
    <row r="6" spans="1:3" s="331" customFormat="1">
      <c r="A6" s="418" t="s">
        <v>358</v>
      </c>
      <c r="B6" s="419" t="s">
        <v>708</v>
      </c>
      <c r="C6" s="420" t="s">
        <v>357</v>
      </c>
    </row>
    <row r="7" spans="1:3" s="331" customFormat="1">
      <c r="A7" s="421" t="s">
        <v>707</v>
      </c>
      <c r="B7" s="422" t="s">
        <v>612</v>
      </c>
      <c r="C7" s="423" t="s">
        <v>611</v>
      </c>
    </row>
    <row r="8" spans="1:3" s="331" customFormat="1">
      <c r="A8" s="450"/>
      <c r="B8" s="422"/>
      <c r="C8" s="423"/>
    </row>
    <row r="9" spans="1:3" ht="21">
      <c r="A9" s="126" t="s">
        <v>476</v>
      </c>
      <c r="B9" s="125"/>
      <c r="C9" s="122"/>
    </row>
  </sheetData>
  <hyperlinks>
    <hyperlink ref="A6" location="'SEAP template'!A1" display="SEAP Nulmeting"/>
    <hyperlink ref="A7" location="'Nulmeting 2011'!A1" display="Nulmeting 201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5" sqref="B5"/>
    </sheetView>
  </sheetViews>
  <sheetFormatPr defaultRowHeight="15"/>
  <cols>
    <col min="1" max="1" width="82.7109375" style="331"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61" t="s">
        <v>492</v>
      </c>
      <c r="B1" s="199"/>
      <c r="C1" s="199"/>
      <c r="D1" s="199"/>
      <c r="E1" s="199"/>
      <c r="F1" s="199"/>
      <c r="G1" s="199"/>
      <c r="H1" s="199"/>
      <c r="I1" s="199"/>
      <c r="J1" s="199"/>
      <c r="K1" s="200"/>
    </row>
    <row r="2" spans="1:11">
      <c r="A2" s="362"/>
      <c r="B2" s="43"/>
      <c r="C2" s="43"/>
      <c r="D2" s="43"/>
      <c r="E2" s="43"/>
      <c r="F2" s="43"/>
      <c r="G2" s="43"/>
      <c r="H2" s="43"/>
      <c r="I2" s="43"/>
      <c r="J2" s="43"/>
      <c r="K2" s="96"/>
    </row>
    <row r="3" spans="1:11">
      <c r="A3" s="362" t="s">
        <v>510</v>
      </c>
      <c r="B3" s="49">
        <f ca="1">IF(ISERROR('SEAP template'!C27),0,'SEAP template'!C27)</f>
        <v>204965.77104027022</v>
      </c>
      <c r="C3" s="43" t="s">
        <v>169</v>
      </c>
      <c r="D3" s="43"/>
      <c r="E3" s="156"/>
      <c r="F3" s="43"/>
      <c r="G3" s="43"/>
      <c r="H3" s="43"/>
      <c r="I3" s="43"/>
      <c r="J3" s="43"/>
      <c r="K3" s="96"/>
    </row>
    <row r="4" spans="1:11">
      <c r="A4" s="362" t="s">
        <v>170</v>
      </c>
      <c r="B4" s="49">
        <f>IF(ISERROR('SEAP template'!B78+'SEAP template'!C78),0,'SEAP template'!B78+'SEAP template'!C78)</f>
        <v>1453.0108428820563</v>
      </c>
      <c r="C4" s="43" t="s">
        <v>169</v>
      </c>
      <c r="D4" s="43"/>
      <c r="E4" s="43"/>
      <c r="F4" s="43"/>
      <c r="G4" s="43"/>
      <c r="H4" s="43"/>
      <c r="I4" s="43"/>
      <c r="J4" s="43"/>
      <c r="K4" s="96"/>
    </row>
    <row r="5" spans="1:11">
      <c r="A5" s="362" t="s">
        <v>547</v>
      </c>
      <c r="B5" s="49">
        <f>IF(ISERROR('Eigen informatie GS &amp; warmtenet'!B4),0,'Eigen informatie GS &amp; warmtenet'!B4)</f>
        <v>0</v>
      </c>
      <c r="C5" s="43" t="s">
        <v>169</v>
      </c>
      <c r="D5" s="43"/>
      <c r="E5" s="43"/>
      <c r="F5" s="43"/>
      <c r="G5" s="43"/>
      <c r="H5" s="43"/>
      <c r="I5" s="43"/>
      <c r="J5" s="43"/>
      <c r="K5" s="96"/>
    </row>
    <row r="6" spans="1:11">
      <c r="A6" s="362" t="s">
        <v>171</v>
      </c>
      <c r="B6" s="538">
        <f>E6</f>
        <v>0.221</v>
      </c>
      <c r="C6" s="43" t="s">
        <v>172</v>
      </c>
      <c r="D6" s="43"/>
      <c r="E6" s="1001">
        <v>0.221</v>
      </c>
      <c r="F6" s="43" t="s">
        <v>835</v>
      </c>
      <c r="G6" s="43" t="s">
        <v>839</v>
      </c>
      <c r="H6" s="43"/>
      <c r="I6" s="43"/>
      <c r="J6" s="43"/>
      <c r="K6" s="96"/>
    </row>
    <row r="7" spans="1:11">
      <c r="A7" s="362"/>
      <c r="B7" s="457"/>
      <c r="C7" s="43"/>
      <c r="D7" s="43"/>
      <c r="E7" s="43"/>
      <c r="F7" s="48"/>
      <c r="G7" s="43"/>
      <c r="H7" s="43"/>
      <c r="I7" s="43"/>
      <c r="J7" s="43"/>
      <c r="K7" s="96"/>
    </row>
    <row r="8" spans="1:11">
      <c r="A8" s="362"/>
      <c r="B8" s="457"/>
      <c r="C8" s="43"/>
      <c r="D8" s="43"/>
      <c r="E8" s="43"/>
      <c r="F8" s="48"/>
      <c r="G8" s="43"/>
      <c r="H8" s="1002"/>
      <c r="I8" s="1003"/>
      <c r="J8" s="43"/>
      <c r="K8" s="96"/>
    </row>
    <row r="9" spans="1:11">
      <c r="A9" s="362" t="s">
        <v>174</v>
      </c>
      <c r="B9" s="49">
        <f>IF(ISERROR('SEAP template'!Q78),0,'SEAP template'!Q78)</f>
        <v>0</v>
      </c>
      <c r="C9" s="43" t="s">
        <v>173</v>
      </c>
      <c r="D9" s="43"/>
      <c r="E9" s="43"/>
      <c r="F9" s="43"/>
      <c r="G9" s="43"/>
      <c r="H9" s="43"/>
      <c r="I9" s="43"/>
      <c r="J9" s="43"/>
      <c r="K9" s="96"/>
    </row>
    <row r="10" spans="1:11">
      <c r="A10" s="362" t="s">
        <v>415</v>
      </c>
      <c r="B10" s="48">
        <v>0</v>
      </c>
      <c r="C10" s="43" t="s">
        <v>173</v>
      </c>
      <c r="D10" s="156"/>
      <c r="E10" s="43"/>
      <c r="F10" s="43"/>
      <c r="G10" s="43"/>
      <c r="H10" s="43"/>
      <c r="I10" s="43"/>
      <c r="J10" s="43"/>
      <c r="K10" s="96"/>
    </row>
    <row r="11" spans="1:11">
      <c r="A11" s="362"/>
      <c r="B11" s="457"/>
      <c r="C11" s="43"/>
      <c r="D11" s="43"/>
      <c r="E11" s="43"/>
      <c r="F11" s="43"/>
      <c r="G11" s="43"/>
      <c r="H11" s="43"/>
      <c r="I11" s="43"/>
      <c r="J11" s="43"/>
      <c r="K11" s="96"/>
    </row>
    <row r="12" spans="1:11">
      <c r="A12" s="363" t="s">
        <v>175</v>
      </c>
      <c r="B12" s="537">
        <f ca="1">IF((B4+B5)&gt;B3,(B9+B10)/(B4+B5),((B3-B4-B5)*B6+B9+B10)/B3)</f>
        <v>0.21943332184370506</v>
      </c>
      <c r="C12" s="43" t="s">
        <v>172</v>
      </c>
      <c r="D12" s="43"/>
      <c r="E12" s="156"/>
      <c r="F12" s="43"/>
      <c r="G12" s="43"/>
      <c r="H12" s="43"/>
      <c r="I12" s="43"/>
      <c r="J12" s="43"/>
      <c r="K12" s="96"/>
    </row>
    <row r="13" spans="1:11" ht="15.75" thickBot="1">
      <c r="A13" s="364"/>
      <c r="B13" s="108"/>
      <c r="C13" s="108"/>
      <c r="D13" s="108"/>
      <c r="E13" s="108"/>
      <c r="F13" s="108"/>
      <c r="G13" s="108"/>
      <c r="H13" s="108"/>
      <c r="I13" s="108"/>
      <c r="J13" s="108"/>
      <c r="K13" s="109"/>
    </row>
    <row r="14" spans="1:11" s="43" customFormat="1" ht="15.75" thickBot="1">
      <c r="A14" s="337"/>
    </row>
    <row r="15" spans="1:11">
      <c r="A15" s="365" t="s">
        <v>493</v>
      </c>
      <c r="B15" s="201"/>
      <c r="C15" s="201"/>
      <c r="D15" s="201"/>
      <c r="E15" s="201"/>
      <c r="F15" s="201"/>
      <c r="G15" s="201"/>
      <c r="H15" s="201"/>
      <c r="I15" s="201"/>
      <c r="J15" s="201"/>
      <c r="K15" s="202"/>
    </row>
    <row r="16" spans="1:11">
      <c r="A16" s="362"/>
      <c r="B16" s="43"/>
      <c r="C16" s="43"/>
      <c r="D16" s="43"/>
      <c r="E16" s="43"/>
      <c r="F16" s="43"/>
      <c r="G16" s="43"/>
      <c r="H16" s="43"/>
      <c r="I16" s="43"/>
      <c r="J16" s="43"/>
      <c r="K16" s="96"/>
    </row>
    <row r="17" spans="1:11">
      <c r="A17" s="362" t="s">
        <v>176</v>
      </c>
      <c r="B17" s="49">
        <f>IF(ISERROR('SEAP template'!Q90),0,'SEAP template'!Q90)</f>
        <v>0</v>
      </c>
      <c r="C17" s="43" t="s">
        <v>173</v>
      </c>
      <c r="D17" s="43"/>
      <c r="E17" s="43"/>
      <c r="F17" s="43"/>
      <c r="G17" s="43"/>
      <c r="H17" s="43"/>
      <c r="I17" s="43"/>
      <c r="J17" s="43"/>
      <c r="K17" s="96"/>
    </row>
    <row r="18" spans="1:11">
      <c r="A18" s="362" t="s">
        <v>177</v>
      </c>
      <c r="B18" s="49">
        <f>IF(ISERROR('Eigen informatie GS &amp; warmtenet'!B52),0,'Eigen informatie GS &amp; warmtenet'!B52)</f>
        <v>0</v>
      </c>
      <c r="C18" s="43" t="s">
        <v>173</v>
      </c>
      <c r="D18" s="43"/>
      <c r="E18" s="43"/>
      <c r="F18" s="43"/>
      <c r="G18" s="43"/>
      <c r="H18" s="43"/>
      <c r="I18" s="43"/>
      <c r="J18" s="43"/>
      <c r="K18" s="96"/>
    </row>
    <row r="19" spans="1:11">
      <c r="A19" s="362" t="s">
        <v>301</v>
      </c>
      <c r="B19" s="49">
        <f>IF(ISERROR('Eigen informatie GS &amp; warmtenet'!B53),0,'Eigen informatie GS &amp; warmtenet'!B53)</f>
        <v>0</v>
      </c>
      <c r="C19" s="43" t="s">
        <v>173</v>
      </c>
      <c r="D19" s="43"/>
      <c r="E19" s="43"/>
      <c r="F19" s="43"/>
      <c r="G19" s="43"/>
      <c r="H19" s="43"/>
      <c r="I19" s="43"/>
      <c r="J19" s="43"/>
      <c r="K19" s="96"/>
    </row>
    <row r="20" spans="1:11">
      <c r="A20" s="362" t="s">
        <v>511</v>
      </c>
      <c r="B20" s="49">
        <f ca="1">IF(ISERROR('SEAP template'!D27),0,('SEAP template'!D27))</f>
        <v>0</v>
      </c>
      <c r="C20" s="43" t="s">
        <v>169</v>
      </c>
      <c r="D20" s="43"/>
      <c r="E20" s="156"/>
      <c r="F20" s="156"/>
      <c r="G20" s="43"/>
      <c r="H20" s="43"/>
      <c r="I20" s="43"/>
      <c r="J20" s="43"/>
      <c r="K20" s="96"/>
    </row>
    <row r="21" spans="1:11">
      <c r="A21" s="362"/>
      <c r="B21" s="43"/>
      <c r="C21" s="43"/>
      <c r="D21" s="43"/>
      <c r="E21" s="43"/>
      <c r="F21" s="43"/>
      <c r="G21" s="43"/>
      <c r="H21" s="43"/>
      <c r="I21" s="43"/>
      <c r="J21" s="43"/>
      <c r="K21" s="96"/>
    </row>
    <row r="22" spans="1:11" s="43" customFormat="1">
      <c r="A22" s="363" t="s">
        <v>178</v>
      </c>
      <c r="B22" s="539">
        <f ca="1">IF(B20=0,0,(B17+B18-B19)/B20)</f>
        <v>0</v>
      </c>
      <c r="C22" s="43" t="s">
        <v>172</v>
      </c>
      <c r="K22" s="96"/>
    </row>
    <row r="23" spans="1:11" ht="15.75" thickBot="1">
      <c r="A23" s="364"/>
      <c r="B23" s="108"/>
      <c r="C23" s="108"/>
      <c r="D23" s="108"/>
      <c r="E23" s="108"/>
      <c r="F23" s="108"/>
      <c r="G23" s="108"/>
      <c r="H23" s="108"/>
      <c r="I23" s="108"/>
      <c r="J23" s="108"/>
      <c r="K23" s="109"/>
    </row>
    <row r="34" spans="1:1">
      <c r="A34" s="331"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15" bestFit="1" customWidth="1"/>
    <col min="2" max="2" width="22.7109375" style="315" customWidth="1"/>
    <col min="3" max="3" width="31.42578125" style="315" customWidth="1"/>
    <col min="4" max="4" width="22.28515625" style="315" customWidth="1"/>
    <col min="5" max="5" width="12.140625" style="315" customWidth="1"/>
    <col min="6" max="6" width="37.28515625" style="233" bestFit="1" customWidth="1"/>
    <col min="7" max="16384" width="9.140625" style="15"/>
  </cols>
  <sheetData>
    <row r="1" spans="1:8" s="315" customFormat="1">
      <c r="A1" s="15" t="s">
        <v>770</v>
      </c>
      <c r="B1" s="15" t="s">
        <v>307</v>
      </c>
      <c r="C1" s="15" t="s">
        <v>311</v>
      </c>
      <c r="D1" s="15" t="s">
        <v>312</v>
      </c>
      <c r="E1" s="15" t="s">
        <v>313</v>
      </c>
      <c r="F1" s="15" t="s">
        <v>314</v>
      </c>
      <c r="H1" s="1058" t="s">
        <v>958</v>
      </c>
    </row>
    <row r="2" spans="1:8">
      <c r="A2" s="315" t="str">
        <f>CONCATENATE(TableECFTransport[[#This Row],[Voertuigtype]],"_",TableECFTransport[[#This Row],[Wegtype]],"_",TableECFTransport[[#This Row],[Brandstoftechnologie]],"_",TableECFTransport[[#This Row],[Brandstof]])</f>
        <v>Tram_gemiddeld_Electric_Electric</v>
      </c>
      <c r="B2" s="315" t="s">
        <v>329</v>
      </c>
      <c r="C2" s="315" t="s">
        <v>341</v>
      </c>
      <c r="D2" s="315" t="s">
        <v>309</v>
      </c>
      <c r="E2" s="315" t="s">
        <v>309</v>
      </c>
      <c r="F2" s="1047">
        <v>1.269E-8</v>
      </c>
    </row>
    <row r="3" spans="1:8">
      <c r="A3" s="315" t="str">
        <f>CONCATENATE(TableECFTransport[[#This Row],[Voertuigtype]],"_",TableECFTransport[[#This Row],[Wegtype]],"_",TableECFTransport[[#This Row],[Brandstoftechnologie]],"_",TableECFTransport[[#This Row],[Brandstof]])</f>
        <v>BUS_Genummerde wegen_Diesel_Diesel</v>
      </c>
      <c r="B3" s="888" t="s">
        <v>779</v>
      </c>
      <c r="C3" s="888" t="s">
        <v>63</v>
      </c>
      <c r="D3" s="888" t="s">
        <v>201</v>
      </c>
      <c r="E3" s="888" t="s">
        <v>201</v>
      </c>
      <c r="F3" s="1052">
        <v>9.7772299999999993E-9</v>
      </c>
    </row>
    <row r="4" spans="1:8">
      <c r="A4" s="315" t="str">
        <f>CONCATENATE(TableECFTransport[[#This Row],[Voertuigtype]],"_",TableECFTransport[[#This Row],[Wegtype]],"_",TableECFTransport[[#This Row],[Brandstoftechnologie]],"_",TableECFTransport[[#This Row],[Brandstof]])</f>
        <v>BUS_Niet-genummerde wegen_Diesel_Diesel</v>
      </c>
      <c r="B4" s="888" t="s">
        <v>779</v>
      </c>
      <c r="C4" s="888" t="s">
        <v>64</v>
      </c>
      <c r="D4" s="888" t="s">
        <v>201</v>
      </c>
      <c r="E4" s="888" t="s">
        <v>201</v>
      </c>
      <c r="F4" s="1052">
        <v>1.77437E-8</v>
      </c>
    </row>
    <row r="5" spans="1:8">
      <c r="A5" s="315" t="str">
        <f>CONCATENATE(TableECFTransport[[#This Row],[Voertuigtype]],"_",TableECFTransport[[#This Row],[Wegtype]],"_",TableECFTransport[[#This Row],[Brandstoftechnologie]],"_",TableECFTransport[[#This Row],[Brandstof]])</f>
        <v>BUS_Genummerde wegen_Diesel Hybrid CS_Diesel</v>
      </c>
      <c r="B5" s="888" t="s">
        <v>779</v>
      </c>
      <c r="C5" s="888" t="s">
        <v>63</v>
      </c>
      <c r="D5" s="887" t="s">
        <v>316</v>
      </c>
      <c r="E5" s="888" t="s">
        <v>201</v>
      </c>
      <c r="F5" s="1052">
        <v>9.7772299999999993E-9</v>
      </c>
    </row>
    <row r="6" spans="1:8">
      <c r="A6" s="315" t="str">
        <f>CONCATENATE(TableECFTransport[[#This Row],[Voertuigtype]],"_",TableECFTransport[[#This Row],[Wegtype]],"_",TableECFTransport[[#This Row],[Brandstoftechnologie]],"_",TableECFTransport[[#This Row],[Brandstof]])</f>
        <v>BUS_Niet-genummerde wegen_Diesel Hybrid CS_Diesel</v>
      </c>
      <c r="B6" s="888" t="s">
        <v>779</v>
      </c>
      <c r="C6" s="888" t="s">
        <v>64</v>
      </c>
      <c r="D6" s="887" t="s">
        <v>316</v>
      </c>
      <c r="E6" s="888" t="s">
        <v>201</v>
      </c>
      <c r="F6" s="1052">
        <v>1.77437E-8</v>
      </c>
    </row>
    <row r="7" spans="1:8">
      <c r="A7" s="315" t="str">
        <f>CONCATENATE(TableECFTransport[[#This Row],[Voertuigtype]],"_",TableECFTransport[[#This Row],[Wegtype]],"_",TableECFTransport[[#This Row],[Brandstoftechnologie]],"_",TableECFTransport[[#This Row],[Brandstof]])</f>
        <v>Lichte voertuigen_Genummerde wegen_CNG_CNG</v>
      </c>
      <c r="B7" t="s">
        <v>771</v>
      </c>
      <c r="C7" t="s">
        <v>63</v>
      </c>
      <c r="D7" t="s">
        <v>308</v>
      </c>
      <c r="E7" t="s">
        <v>308</v>
      </c>
      <c r="F7" s="1053">
        <v>2.5667500000000001E-9</v>
      </c>
    </row>
    <row r="8" spans="1:8">
      <c r="A8" s="315" t="str">
        <f>CONCATENATE(TableECFTransport[[#This Row],[Voertuigtype]],"_",TableECFTransport[[#This Row],[Wegtype]],"_",TableECFTransport[[#This Row],[Brandstoftechnologie]],"_",TableECFTransport[[#This Row],[Brandstof]])</f>
        <v>Lichte voertuigen_Genummerde wegen_Diesel_Diesel</v>
      </c>
      <c r="B8" t="s">
        <v>771</v>
      </c>
      <c r="C8" t="s">
        <v>63</v>
      </c>
      <c r="D8" t="s">
        <v>201</v>
      </c>
      <c r="E8" t="s">
        <v>201</v>
      </c>
      <c r="F8" s="1053">
        <v>2.1976900000000001E-9</v>
      </c>
    </row>
    <row r="9" spans="1:8">
      <c r="A9" s="315" t="str">
        <f>CONCATENATE(TableECFTransport[[#This Row],[Voertuigtype]],"_",TableECFTransport[[#This Row],[Wegtype]],"_",TableECFTransport[[#This Row],[Brandstoftechnologie]],"_",TableECFTransport[[#This Row],[Brandstof]])</f>
        <v>Lichte voertuigen_Genummerde wegen_E85_E85</v>
      </c>
      <c r="B9" t="s">
        <v>771</v>
      </c>
      <c r="C9" t="s">
        <v>63</v>
      </c>
      <c r="D9" t="s">
        <v>729</v>
      </c>
      <c r="E9" t="s">
        <v>729</v>
      </c>
      <c r="F9" s="1053">
        <v>2.2056500000000001E-9</v>
      </c>
    </row>
    <row r="10" spans="1:8">
      <c r="A10" s="315" t="str">
        <f>CONCATENATE(TableECFTransport[[#This Row],[Voertuigtype]],"_",TableECFTransport[[#This Row],[Wegtype]],"_",TableECFTransport[[#This Row],[Brandstoftechnologie]],"_",TableECFTransport[[#This Row],[Brandstof]])</f>
        <v>Lichte voertuigen_Genummerde wegen_Electric_Electric</v>
      </c>
      <c r="B10" t="s">
        <v>771</v>
      </c>
      <c r="C10" t="s">
        <v>63</v>
      </c>
      <c r="D10" t="s">
        <v>309</v>
      </c>
      <c r="E10" t="s">
        <v>309</v>
      </c>
      <c r="F10" s="1053">
        <v>8.4999999999999996E-10</v>
      </c>
    </row>
    <row r="11" spans="1:8">
      <c r="A11" s="315" t="str">
        <f>CONCATENATE(TableECFTransport[[#This Row],[Voertuigtype]],"_",TableECFTransport[[#This Row],[Wegtype]],"_",TableECFTransport[[#This Row],[Brandstoftechnologie]],"_",TableECFTransport[[#This Row],[Brandstof]])</f>
        <v>Lichte voertuigen_Genummerde wegen_LPG_LPG</v>
      </c>
      <c r="B11" t="s">
        <v>771</v>
      </c>
      <c r="C11" t="s">
        <v>63</v>
      </c>
      <c r="D11" t="s">
        <v>118</v>
      </c>
      <c r="E11" t="s">
        <v>118</v>
      </c>
      <c r="F11" s="1053">
        <v>2.25512E-9</v>
      </c>
    </row>
    <row r="12" spans="1:8">
      <c r="A12" s="315" t="str">
        <f>CONCATENATE(TableECFTransport[[#This Row],[Voertuigtype]],"_",TableECFTransport[[#This Row],[Wegtype]],"_",TableECFTransport[[#This Row],[Brandstoftechnologie]],"_",TableECFTransport[[#This Row],[Brandstof]])</f>
        <v>Lichte voertuigen_Genummerde wegen_Petrol_Petrol</v>
      </c>
      <c r="B12" t="s">
        <v>771</v>
      </c>
      <c r="C12" t="s">
        <v>63</v>
      </c>
      <c r="D12" t="s">
        <v>310</v>
      </c>
      <c r="E12" t="s">
        <v>310</v>
      </c>
      <c r="F12" s="1053">
        <v>2.2056500000000001E-9</v>
      </c>
    </row>
    <row r="13" spans="1:8">
      <c r="A13" s="315" t="str">
        <f>CONCATENATE(TableECFTransport[[#This Row],[Voertuigtype]],"_",TableECFTransport[[#This Row],[Wegtype]],"_",TableECFTransport[[#This Row],[Brandstoftechnologie]],"_",TableECFTransport[[#This Row],[Brandstof]])</f>
        <v>Lichte voertuigen_Genummerde wegen_Petrol Hybrid_Petrol</v>
      </c>
      <c r="B13" t="s">
        <v>771</v>
      </c>
      <c r="C13" t="s">
        <v>63</v>
      </c>
      <c r="D13" t="s">
        <v>781</v>
      </c>
      <c r="E13" t="s">
        <v>310</v>
      </c>
      <c r="F13" s="1053">
        <v>1.4988099999999999E-9</v>
      </c>
    </row>
    <row r="14" spans="1:8">
      <c r="A14" s="315" t="str">
        <f>CONCATENATE(TableECFTransport[[#This Row],[Voertuigtype]],"_",TableECFTransport[[#This Row],[Wegtype]],"_",TableECFTransport[[#This Row],[Brandstoftechnologie]],"_",TableECFTransport[[#This Row],[Brandstof]])</f>
        <v>Lichte voertuigen_Niet-genummerde wegen_CNG_CNG</v>
      </c>
      <c r="B14" t="s">
        <v>771</v>
      </c>
      <c r="C14" t="s">
        <v>64</v>
      </c>
      <c r="D14" t="s">
        <v>308</v>
      </c>
      <c r="E14" t="s">
        <v>308</v>
      </c>
      <c r="F14" s="1053">
        <v>4.3424600000000003E-9</v>
      </c>
    </row>
    <row r="15" spans="1:8">
      <c r="A15" s="315" t="str">
        <f>CONCATENATE(TableECFTransport[[#This Row],[Voertuigtype]],"_",TableECFTransport[[#This Row],[Wegtype]],"_",TableECFTransport[[#This Row],[Brandstoftechnologie]],"_",TableECFTransport[[#This Row],[Brandstof]])</f>
        <v>Lichte voertuigen_Niet-genummerde wegen_Diesel_Diesel</v>
      </c>
      <c r="B15" t="s">
        <v>771</v>
      </c>
      <c r="C15" t="s">
        <v>64</v>
      </c>
      <c r="D15" t="s">
        <v>201</v>
      </c>
      <c r="E15" t="s">
        <v>201</v>
      </c>
      <c r="F15" s="1053">
        <v>3.3390300000000002E-9</v>
      </c>
    </row>
    <row r="16" spans="1:8">
      <c r="A16" s="315" t="str">
        <f>CONCATENATE(TableECFTransport[[#This Row],[Voertuigtype]],"_",TableECFTransport[[#This Row],[Wegtype]],"_",TableECFTransport[[#This Row],[Brandstoftechnologie]],"_",TableECFTransport[[#This Row],[Brandstof]])</f>
        <v>Lichte voertuigen_Niet-genummerde wegen_E85_E85</v>
      </c>
      <c r="B16" t="s">
        <v>771</v>
      </c>
      <c r="C16" t="s">
        <v>64</v>
      </c>
      <c r="D16" t="s">
        <v>729</v>
      </c>
      <c r="E16" t="s">
        <v>729</v>
      </c>
      <c r="F16" s="1053">
        <v>3.53496E-9</v>
      </c>
    </row>
    <row r="17" spans="1:6">
      <c r="A17" s="315" t="str">
        <f>CONCATENATE(TableECFTransport[[#This Row],[Voertuigtype]],"_",TableECFTransport[[#This Row],[Wegtype]],"_",TableECFTransport[[#This Row],[Brandstoftechnologie]],"_",TableECFTransport[[#This Row],[Brandstof]])</f>
        <v>Lichte voertuigen_Niet-genummerde wegen_Electric_Electric</v>
      </c>
      <c r="B17" t="s">
        <v>771</v>
      </c>
      <c r="C17" t="s">
        <v>64</v>
      </c>
      <c r="D17" t="s">
        <v>309</v>
      </c>
      <c r="E17" t="s">
        <v>309</v>
      </c>
      <c r="F17" s="1053">
        <v>8.4999999999999996E-10</v>
      </c>
    </row>
    <row r="18" spans="1:6">
      <c r="A18" s="315" t="str">
        <f>CONCATENATE(TableECFTransport[[#This Row],[Voertuigtype]],"_",TableECFTransport[[#This Row],[Wegtype]],"_",TableECFTransport[[#This Row],[Brandstoftechnologie]],"_",TableECFTransport[[#This Row],[Brandstof]])</f>
        <v>Lichte voertuigen_Niet-genummerde wegen_LPG_LPG</v>
      </c>
      <c r="B18" t="s">
        <v>771</v>
      </c>
      <c r="C18" t="s">
        <v>64</v>
      </c>
      <c r="D18" t="s">
        <v>118</v>
      </c>
      <c r="E18" t="s">
        <v>118</v>
      </c>
      <c r="F18" s="1053">
        <v>3.57471E-9</v>
      </c>
    </row>
    <row r="19" spans="1:6">
      <c r="A19" s="315" t="str">
        <f>CONCATENATE(TableECFTransport[[#This Row],[Voertuigtype]],"_",TableECFTransport[[#This Row],[Wegtype]],"_",TableECFTransport[[#This Row],[Brandstoftechnologie]],"_",TableECFTransport[[#This Row],[Brandstof]])</f>
        <v>Lichte voertuigen_Niet-genummerde wegen_Petrol_Petrol</v>
      </c>
      <c r="B19" t="s">
        <v>771</v>
      </c>
      <c r="C19" t="s">
        <v>64</v>
      </c>
      <c r="D19" t="s">
        <v>310</v>
      </c>
      <c r="E19" t="s">
        <v>310</v>
      </c>
      <c r="F19" s="1053">
        <v>3.53496E-9</v>
      </c>
    </row>
    <row r="20" spans="1:6">
      <c r="A20" s="315" t="str">
        <f>CONCATENATE(TableECFTransport[[#This Row],[Voertuigtype]],"_",TableECFTransport[[#This Row],[Wegtype]],"_",TableECFTransport[[#This Row],[Brandstoftechnologie]],"_",TableECFTransport[[#This Row],[Brandstof]])</f>
        <v>Lichte voertuigen_Niet-genummerde wegen_Petrol Hybrid_Petrol</v>
      </c>
      <c r="B20" t="s">
        <v>771</v>
      </c>
      <c r="C20" t="s">
        <v>64</v>
      </c>
      <c r="D20" t="s">
        <v>781</v>
      </c>
      <c r="E20" t="s">
        <v>310</v>
      </c>
      <c r="F20" s="1053">
        <v>2.5183100000000002E-9</v>
      </c>
    </row>
    <row r="21" spans="1:6">
      <c r="A21" s="315" t="str">
        <f>CONCATENATE(TableECFTransport[[#This Row],[Voertuigtype]],"_",TableECFTransport[[#This Row],[Wegtype]],"_",TableECFTransport[[#This Row],[Brandstoftechnologie]],"_",TableECFTransport[[#This Row],[Brandstof]])</f>
        <v>Lichte voertuigen_snelwegen_CNG_CNG</v>
      </c>
      <c r="B21" t="s">
        <v>771</v>
      </c>
      <c r="C21" t="s">
        <v>780</v>
      </c>
      <c r="D21" t="s">
        <v>308</v>
      </c>
      <c r="E21" t="s">
        <v>308</v>
      </c>
      <c r="F21" s="1053">
        <v>2.54163E-9</v>
      </c>
    </row>
    <row r="22" spans="1:6">
      <c r="A22" s="315" t="str">
        <f>CONCATENATE(TableECFTransport[[#This Row],[Voertuigtype]],"_",TableECFTransport[[#This Row],[Wegtype]],"_",TableECFTransport[[#This Row],[Brandstoftechnologie]],"_",TableECFTransport[[#This Row],[Brandstof]])</f>
        <v>Lichte voertuigen_snelwegen_Diesel_Diesel</v>
      </c>
      <c r="B22" t="s">
        <v>771</v>
      </c>
      <c r="C22" t="s">
        <v>780</v>
      </c>
      <c r="D22" t="s">
        <v>201</v>
      </c>
      <c r="E22" t="s">
        <v>201</v>
      </c>
      <c r="F22" s="1053">
        <v>2.50137E-9</v>
      </c>
    </row>
    <row r="23" spans="1:6">
      <c r="A23" s="315" t="str">
        <f>CONCATENATE(TableECFTransport[[#This Row],[Voertuigtype]],"_",TableECFTransport[[#This Row],[Wegtype]],"_",TableECFTransport[[#This Row],[Brandstoftechnologie]],"_",TableECFTransport[[#This Row],[Brandstof]])</f>
        <v>Lichte voertuigen_snelwegen_E85_E85</v>
      </c>
      <c r="B23" t="s">
        <v>771</v>
      </c>
      <c r="C23" t="s">
        <v>780</v>
      </c>
      <c r="D23" t="s">
        <v>729</v>
      </c>
      <c r="E23" t="s">
        <v>729</v>
      </c>
      <c r="F23" s="1053">
        <v>2.32214E-9</v>
      </c>
    </row>
    <row r="24" spans="1:6">
      <c r="A24" s="315" t="str">
        <f>CONCATENATE(TableECFTransport[[#This Row],[Voertuigtype]],"_",TableECFTransport[[#This Row],[Wegtype]],"_",TableECFTransport[[#This Row],[Brandstoftechnologie]],"_",TableECFTransport[[#This Row],[Brandstof]])</f>
        <v>Lichte voertuigen_snelwegen_Electric_Electric</v>
      </c>
      <c r="B24" t="s">
        <v>771</v>
      </c>
      <c r="C24" t="s">
        <v>780</v>
      </c>
      <c r="D24" t="s">
        <v>309</v>
      </c>
      <c r="E24" t="s">
        <v>309</v>
      </c>
      <c r="F24" s="1053">
        <v>8.4999999999999996E-10</v>
      </c>
    </row>
    <row r="25" spans="1:6">
      <c r="A25" s="315" t="str">
        <f>CONCATENATE(TableECFTransport[[#This Row],[Voertuigtype]],"_",TableECFTransport[[#This Row],[Wegtype]],"_",TableECFTransport[[#This Row],[Brandstoftechnologie]],"_",TableECFTransport[[#This Row],[Brandstof]])</f>
        <v>Lichte voertuigen_snelwegen_LPG_LPG</v>
      </c>
      <c r="B25" t="s">
        <v>771</v>
      </c>
      <c r="C25" t="s">
        <v>780</v>
      </c>
      <c r="D25" t="s">
        <v>118</v>
      </c>
      <c r="E25" t="s">
        <v>118</v>
      </c>
      <c r="F25" s="1053">
        <v>2.79103E-9</v>
      </c>
    </row>
    <row r="26" spans="1:6">
      <c r="A26" s="315" t="str">
        <f>CONCATENATE(TableECFTransport[[#This Row],[Voertuigtype]],"_",TableECFTransport[[#This Row],[Wegtype]],"_",TableECFTransport[[#This Row],[Brandstoftechnologie]],"_",TableECFTransport[[#This Row],[Brandstof]])</f>
        <v>Lichte voertuigen_snelwegen_Petrol_Petrol</v>
      </c>
      <c r="B26" t="s">
        <v>771</v>
      </c>
      <c r="C26" t="s">
        <v>780</v>
      </c>
      <c r="D26" t="s">
        <v>310</v>
      </c>
      <c r="E26" t="s">
        <v>310</v>
      </c>
      <c r="F26" s="1053">
        <v>2.32214E-9</v>
      </c>
    </row>
    <row r="27" spans="1:6">
      <c r="A27" s="315" t="str">
        <f>CONCATENATE(TableECFTransport[[#This Row],[Voertuigtype]],"_",TableECFTransport[[#This Row],[Wegtype]],"_",TableECFTransport[[#This Row],[Brandstoftechnologie]],"_",TableECFTransport[[#This Row],[Brandstof]])</f>
        <v>Lichte voertuigen_snelwegen_Petrol Hybrid_Petrol</v>
      </c>
      <c r="B27" t="s">
        <v>771</v>
      </c>
      <c r="C27" t="s">
        <v>780</v>
      </c>
      <c r="D27" t="s">
        <v>781</v>
      </c>
      <c r="E27" t="s">
        <v>310</v>
      </c>
      <c r="F27" s="1053">
        <v>1.8273499999999999E-9</v>
      </c>
    </row>
    <row r="28" spans="1:6">
      <c r="A28" s="315" t="str">
        <f>CONCATENATE(TableECFTransport[[#This Row],[Voertuigtype]],"_",TableECFTransport[[#This Row],[Wegtype]],"_",TableECFTransport[[#This Row],[Brandstoftechnologie]],"_",TableECFTransport[[#This Row],[Brandstof]])</f>
        <v>Zware voertuigen_Genummerde wegen_Diesel_Diesel</v>
      </c>
      <c r="B28" t="s">
        <v>773</v>
      </c>
      <c r="C28" t="s">
        <v>63</v>
      </c>
      <c r="D28" t="s">
        <v>201</v>
      </c>
      <c r="E28" t="s">
        <v>201</v>
      </c>
      <c r="F28" s="1053">
        <v>9.7991700000000002E-9</v>
      </c>
    </row>
    <row r="29" spans="1:6">
      <c r="A29" s="315" t="str">
        <f>CONCATENATE(TableECFTransport[[#This Row],[Voertuigtype]],"_",TableECFTransport[[#This Row],[Wegtype]],"_",TableECFTransport[[#This Row],[Brandstoftechnologie]],"_",TableECFTransport[[#This Row],[Brandstof]])</f>
        <v>Zware voertuigen_Genummerde wegen_Petrol_Petrol</v>
      </c>
      <c r="B29" t="s">
        <v>773</v>
      </c>
      <c r="C29" t="s">
        <v>63</v>
      </c>
      <c r="D29" t="s">
        <v>310</v>
      </c>
      <c r="E29" t="s">
        <v>310</v>
      </c>
      <c r="F29" s="1053">
        <v>6.5265900000000003E-9</v>
      </c>
    </row>
    <row r="30" spans="1:6">
      <c r="A30" s="315" t="str">
        <f>CONCATENATE(TableECFTransport[[#This Row],[Voertuigtype]],"_",TableECFTransport[[#This Row],[Wegtype]],"_",TableECFTransport[[#This Row],[Brandstoftechnologie]],"_",TableECFTransport[[#This Row],[Brandstof]])</f>
        <v>Zware voertuigen_Niet-genummerde wegen_Diesel_Diesel</v>
      </c>
      <c r="B30" t="s">
        <v>773</v>
      </c>
      <c r="C30" t="s">
        <v>64</v>
      </c>
      <c r="D30" t="s">
        <v>201</v>
      </c>
      <c r="E30" t="s">
        <v>201</v>
      </c>
      <c r="F30" s="1053">
        <v>1.35633E-8</v>
      </c>
    </row>
    <row r="31" spans="1:6">
      <c r="A31" s="315" t="str">
        <f>CONCATENATE(TableECFTransport[[#This Row],[Voertuigtype]],"_",TableECFTransport[[#This Row],[Wegtype]],"_",TableECFTransport[[#This Row],[Brandstoftechnologie]],"_",TableECFTransport[[#This Row],[Brandstof]])</f>
        <v>Zware voertuigen_Niet-genummerde wegen_Petrol_Petrol</v>
      </c>
      <c r="B31" t="s">
        <v>773</v>
      </c>
      <c r="C31" t="s">
        <v>64</v>
      </c>
      <c r="D31" t="s">
        <v>310</v>
      </c>
      <c r="E31" t="s">
        <v>310</v>
      </c>
      <c r="F31" s="1053">
        <v>1.0877E-8</v>
      </c>
    </row>
    <row r="32" spans="1:6">
      <c r="A32" s="315" t="str">
        <f>CONCATENATE(TableECFTransport[[#This Row],[Voertuigtype]],"_",TableECFTransport[[#This Row],[Wegtype]],"_",TableECFTransport[[#This Row],[Brandstoftechnologie]],"_",TableECFTransport[[#This Row],[Brandstof]])</f>
        <v>Zware voertuigen_snelwegen_Diesel_Diesel</v>
      </c>
      <c r="B32" t="s">
        <v>773</v>
      </c>
      <c r="C32" t="s">
        <v>780</v>
      </c>
      <c r="D32" t="s">
        <v>201</v>
      </c>
      <c r="E32" t="s">
        <v>201</v>
      </c>
      <c r="F32" s="1053">
        <v>9.4344799999999995E-9</v>
      </c>
    </row>
    <row r="33" spans="1:6">
      <c r="A33" s="315" t="str">
        <f>CONCATENATE(TableECFTransport[[#This Row],[Voertuigtype]],"_",TableECFTransport[[#This Row],[Wegtype]],"_",TableECFTransport[[#This Row],[Brandstoftechnologie]],"_",TableECFTransport[[#This Row],[Brandstof]])</f>
        <v>Zware voertuigen_snelwegen_Petrol_Petrol</v>
      </c>
      <c r="B33" t="s">
        <v>773</v>
      </c>
      <c r="C33" t="s">
        <v>780</v>
      </c>
      <c r="D33" t="s">
        <v>310</v>
      </c>
      <c r="E33" t="s">
        <v>310</v>
      </c>
      <c r="F33" s="1053">
        <v>6.6005500000000003E-9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Z26" sqref="Z26"/>
    </sheetView>
  </sheetViews>
  <sheetFormatPr defaultRowHeight="15"/>
  <cols>
    <col min="1" max="1" width="22.28515625" style="43" customWidth="1"/>
    <col min="2" max="2" width="69" style="43" customWidth="1"/>
    <col min="25" max="25" width="11.85546875" customWidth="1"/>
    <col min="27" max="28" width="9.140625" style="7"/>
  </cols>
  <sheetData>
    <row r="1" spans="1:29" s="2" customFormat="1" ht="11.25">
      <c r="A1" s="1186">
        <v>2011</v>
      </c>
      <c r="B1" s="1187"/>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8"/>
      <c r="B2" s="1189"/>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8"/>
      <c r="B3" s="1189"/>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0"/>
      <c r="B4" s="1191"/>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4" t="s">
        <v>395</v>
      </c>
      <c r="B5" s="150" t="s">
        <v>525</v>
      </c>
      <c r="C5" s="146"/>
      <c r="D5" s="146"/>
      <c r="E5" s="146"/>
      <c r="F5" s="146"/>
      <c r="G5" s="147"/>
      <c r="H5" s="146"/>
      <c r="I5" s="146"/>
      <c r="J5" s="146"/>
      <c r="K5" s="147"/>
      <c r="L5" s="146"/>
      <c r="M5" s="146"/>
      <c r="N5" s="146"/>
      <c r="O5" s="146"/>
      <c r="P5" s="146"/>
      <c r="Q5" s="147"/>
      <c r="R5" s="147"/>
      <c r="S5" s="146"/>
      <c r="T5" s="146"/>
      <c r="U5" s="146"/>
      <c r="V5" s="146"/>
      <c r="W5" s="146"/>
      <c r="X5" s="146"/>
      <c r="Y5" s="146"/>
      <c r="Z5" s="146"/>
      <c r="AA5" s="148"/>
      <c r="AB5" s="148"/>
      <c r="AC5" s="149"/>
    </row>
    <row r="6" spans="1:29" s="2" customFormat="1">
      <c r="A6" s="212"/>
      <c r="B6" s="213"/>
      <c r="C6" s="152"/>
      <c r="D6" s="152"/>
      <c r="E6" s="152"/>
      <c r="F6" s="152"/>
      <c r="G6" s="151"/>
      <c r="H6" s="152"/>
      <c r="I6" s="152"/>
      <c r="J6" s="152"/>
      <c r="K6" s="151"/>
      <c r="L6" s="152"/>
      <c r="M6" s="152"/>
      <c r="N6" s="152"/>
      <c r="O6" s="152"/>
      <c r="P6" s="152"/>
      <c r="Q6" s="151"/>
      <c r="R6" s="151"/>
      <c r="S6" s="152"/>
      <c r="T6" s="152"/>
      <c r="U6" s="152"/>
      <c r="V6" s="152"/>
      <c r="W6" s="152"/>
      <c r="X6" s="152"/>
      <c r="Y6" s="152"/>
      <c r="Z6" s="152"/>
      <c r="AA6" s="153"/>
      <c r="AB6" s="153"/>
      <c r="AC6" s="214"/>
    </row>
    <row r="7" spans="1:29">
      <c r="A7" s="215" t="s">
        <v>154</v>
      </c>
      <c r="B7" s="216"/>
      <c r="C7" s="851">
        <v>0</v>
      </c>
      <c r="D7" s="851">
        <v>2.6805934962701699</v>
      </c>
      <c r="E7" s="851">
        <v>0</v>
      </c>
      <c r="F7" s="852">
        <v>2.6805934962701699</v>
      </c>
      <c r="G7" s="851">
        <v>0</v>
      </c>
      <c r="H7" s="851">
        <v>0</v>
      </c>
      <c r="I7" s="851">
        <v>2.2239599999999999</v>
      </c>
      <c r="J7" s="851">
        <v>0.50767128695107</v>
      </c>
      <c r="K7" s="851">
        <v>0</v>
      </c>
      <c r="L7" s="851">
        <v>75.824335044693584</v>
      </c>
      <c r="M7" s="851">
        <v>0</v>
      </c>
      <c r="N7" s="851">
        <v>0</v>
      </c>
      <c r="O7" s="851">
        <v>0</v>
      </c>
      <c r="P7" s="851">
        <v>0</v>
      </c>
      <c r="Q7" s="851">
        <v>0</v>
      </c>
      <c r="R7" s="852">
        <v>78.555966331644655</v>
      </c>
      <c r="S7" s="851">
        <v>81.020451572490572</v>
      </c>
      <c r="T7" s="851">
        <v>0</v>
      </c>
      <c r="U7" s="851">
        <v>0</v>
      </c>
      <c r="V7" s="852">
        <v>81.020451572490572</v>
      </c>
      <c r="W7" s="852">
        <v>162.25701140040539</v>
      </c>
      <c r="X7" s="851">
        <v>0</v>
      </c>
      <c r="Y7" s="851">
        <v>11.305601242837319</v>
      </c>
      <c r="Z7" s="851">
        <v>40.431095546363998</v>
      </c>
      <c r="AA7" s="853">
        <v>0</v>
      </c>
      <c r="AB7" s="853">
        <v>0</v>
      </c>
      <c r="AC7" s="852">
        <v>213.99370818960671</v>
      </c>
    </row>
    <row r="8" spans="1:29">
      <c r="A8" s="217" t="s">
        <v>155</v>
      </c>
      <c r="B8" s="218"/>
      <c r="C8" s="854">
        <v>0</v>
      </c>
      <c r="D8" s="854">
        <v>0</v>
      </c>
      <c r="E8" s="854">
        <v>0</v>
      </c>
      <c r="F8" s="855">
        <v>0</v>
      </c>
      <c r="G8" s="854">
        <v>0</v>
      </c>
      <c r="H8" s="854">
        <v>0</v>
      </c>
      <c r="I8" s="854">
        <v>0.93635176296261835</v>
      </c>
      <c r="J8" s="854">
        <v>0.1136256717751985</v>
      </c>
      <c r="K8" s="854">
        <v>0</v>
      </c>
      <c r="L8" s="854">
        <v>8.2141361334322767</v>
      </c>
      <c r="M8" s="854">
        <v>0</v>
      </c>
      <c r="N8" s="854">
        <v>0.40051228828026236</v>
      </c>
      <c r="O8" s="854">
        <v>0</v>
      </c>
      <c r="P8" s="854">
        <v>0</v>
      </c>
      <c r="Q8" s="854">
        <v>0</v>
      </c>
      <c r="R8" s="855">
        <v>9.6646258564503569</v>
      </c>
      <c r="S8" s="854">
        <v>39.885032712128762</v>
      </c>
      <c r="T8" s="854">
        <v>0</v>
      </c>
      <c r="U8" s="854">
        <v>0</v>
      </c>
      <c r="V8" s="855">
        <v>39.885032712128762</v>
      </c>
      <c r="W8" s="855">
        <v>49.549658568579119</v>
      </c>
      <c r="X8" s="854">
        <v>1.1778731083252698</v>
      </c>
      <c r="Y8" s="854">
        <v>1.2382813741278351</v>
      </c>
      <c r="Z8" s="854">
        <v>43.658759703935893</v>
      </c>
      <c r="AA8" s="856">
        <v>0</v>
      </c>
      <c r="AB8" s="856">
        <v>0</v>
      </c>
      <c r="AC8" s="855">
        <v>95.624572754968113</v>
      </c>
    </row>
    <row r="9" spans="1:29">
      <c r="A9" s="3"/>
      <c r="B9" s="6" t="s">
        <v>156</v>
      </c>
      <c r="C9" s="857">
        <v>0</v>
      </c>
      <c r="D9" s="857">
        <v>0</v>
      </c>
      <c r="E9" s="857">
        <v>0</v>
      </c>
      <c r="F9" s="858">
        <v>0</v>
      </c>
      <c r="G9" s="857">
        <v>0</v>
      </c>
      <c r="H9" s="857">
        <v>0</v>
      </c>
      <c r="I9" s="857">
        <v>0.23986607832345108</v>
      </c>
      <c r="J9" s="857">
        <v>0</v>
      </c>
      <c r="K9" s="857">
        <v>0</v>
      </c>
      <c r="L9" s="857">
        <v>0.74071186543813006</v>
      </c>
      <c r="M9" s="857">
        <v>0</v>
      </c>
      <c r="N9" s="857">
        <v>0</v>
      </c>
      <c r="O9" s="857">
        <v>0</v>
      </c>
      <c r="P9" s="857">
        <v>0</v>
      </c>
      <c r="Q9" s="857">
        <v>0</v>
      </c>
      <c r="R9" s="858">
        <v>0.98057794376158114</v>
      </c>
      <c r="S9" s="857">
        <v>3.9459597725550073</v>
      </c>
      <c r="T9" s="857">
        <v>0</v>
      </c>
      <c r="U9" s="857">
        <v>0</v>
      </c>
      <c r="V9" s="858">
        <v>3.9459597725550073</v>
      </c>
      <c r="W9" s="858">
        <v>4.926537716316588</v>
      </c>
      <c r="X9" s="857">
        <v>0</v>
      </c>
      <c r="Y9" s="857">
        <v>0</v>
      </c>
      <c r="Z9" s="857">
        <v>4.2519422209400766</v>
      </c>
      <c r="AA9" s="859">
        <v>0</v>
      </c>
      <c r="AB9" s="859">
        <v>0</v>
      </c>
      <c r="AC9" s="858">
        <v>9.1784799372566646</v>
      </c>
    </row>
    <row r="10" spans="1:29">
      <c r="A10" s="3"/>
      <c r="B10" s="6" t="s">
        <v>157</v>
      </c>
      <c r="C10" s="857">
        <v>0</v>
      </c>
      <c r="D10" s="857">
        <v>0</v>
      </c>
      <c r="E10" s="857">
        <v>0</v>
      </c>
      <c r="F10" s="858">
        <v>0</v>
      </c>
      <c r="G10" s="857">
        <v>0</v>
      </c>
      <c r="H10" s="857">
        <v>0</v>
      </c>
      <c r="I10" s="857">
        <v>1.1479243261291476E-3</v>
      </c>
      <c r="J10" s="857">
        <v>0</v>
      </c>
      <c r="K10" s="857">
        <v>0</v>
      </c>
      <c r="L10" s="857">
        <v>0.67500914773328857</v>
      </c>
      <c r="M10" s="857">
        <v>0</v>
      </c>
      <c r="N10" s="857">
        <v>7.070841878929539E-3</v>
      </c>
      <c r="O10" s="857">
        <v>0</v>
      </c>
      <c r="P10" s="857">
        <v>0</v>
      </c>
      <c r="Q10" s="857">
        <v>0</v>
      </c>
      <c r="R10" s="858">
        <v>0.68322791393834736</v>
      </c>
      <c r="S10" s="857">
        <v>5.0008933498534036</v>
      </c>
      <c r="T10" s="857">
        <v>0</v>
      </c>
      <c r="U10" s="857">
        <v>0</v>
      </c>
      <c r="V10" s="858">
        <v>5.0008933498534036</v>
      </c>
      <c r="W10" s="858">
        <v>5.6841212637917513</v>
      </c>
      <c r="X10" s="857">
        <v>0</v>
      </c>
      <c r="Y10" s="857">
        <v>2.3935049200000003E-2</v>
      </c>
      <c r="Z10" s="857">
        <v>2.7694669470828974</v>
      </c>
      <c r="AA10" s="859">
        <v>0</v>
      </c>
      <c r="AB10" s="859">
        <v>0</v>
      </c>
      <c r="AC10" s="858">
        <v>8.4775232600746495</v>
      </c>
    </row>
    <row r="11" spans="1:29">
      <c r="A11" s="3"/>
      <c r="B11" s="6" t="s">
        <v>158</v>
      </c>
      <c r="C11" s="857">
        <v>0</v>
      </c>
      <c r="D11" s="857">
        <v>0</v>
      </c>
      <c r="E11" s="857">
        <v>0</v>
      </c>
      <c r="F11" s="858">
        <v>0</v>
      </c>
      <c r="G11" s="857">
        <v>0</v>
      </c>
      <c r="H11" s="857">
        <v>0</v>
      </c>
      <c r="I11" s="857">
        <v>1.4339483086039156E-3</v>
      </c>
      <c r="J11" s="857">
        <v>0</v>
      </c>
      <c r="K11" s="857">
        <v>0</v>
      </c>
      <c r="L11" s="857">
        <v>1.3616964244893957</v>
      </c>
      <c r="M11" s="857">
        <v>0</v>
      </c>
      <c r="N11" s="857">
        <v>0</v>
      </c>
      <c r="O11" s="857">
        <v>0</v>
      </c>
      <c r="P11" s="857">
        <v>0</v>
      </c>
      <c r="Q11" s="857">
        <v>0</v>
      </c>
      <c r="R11" s="858">
        <v>1.3631303727979995</v>
      </c>
      <c r="S11" s="857">
        <v>5.5273920774377121</v>
      </c>
      <c r="T11" s="857">
        <v>0</v>
      </c>
      <c r="U11" s="857">
        <v>0</v>
      </c>
      <c r="V11" s="858">
        <v>5.5273920774377121</v>
      </c>
      <c r="W11" s="858">
        <v>6.8905224502357116</v>
      </c>
      <c r="X11" s="857">
        <v>0</v>
      </c>
      <c r="Y11" s="857">
        <v>5.5458E-3</v>
      </c>
      <c r="Z11" s="857">
        <v>1.881693343564848</v>
      </c>
      <c r="AA11" s="859">
        <v>0</v>
      </c>
      <c r="AB11" s="859">
        <v>0</v>
      </c>
      <c r="AC11" s="858">
        <v>8.7777615938005589</v>
      </c>
    </row>
    <row r="12" spans="1:29">
      <c r="A12" s="3"/>
      <c r="B12" s="6" t="s">
        <v>159</v>
      </c>
      <c r="C12" s="857">
        <v>0</v>
      </c>
      <c r="D12" s="857">
        <v>0</v>
      </c>
      <c r="E12" s="857">
        <v>0</v>
      </c>
      <c r="F12" s="858">
        <v>0</v>
      </c>
      <c r="G12" s="857">
        <v>0</v>
      </c>
      <c r="H12" s="857">
        <v>0</v>
      </c>
      <c r="I12" s="857">
        <v>0.59883151513920008</v>
      </c>
      <c r="J12" s="857">
        <v>2.5976865406703159E-3</v>
      </c>
      <c r="K12" s="857">
        <v>0</v>
      </c>
      <c r="L12" s="857">
        <v>2.5938717385006922</v>
      </c>
      <c r="M12" s="857">
        <v>0</v>
      </c>
      <c r="N12" s="857">
        <v>0</v>
      </c>
      <c r="O12" s="857">
        <v>0</v>
      </c>
      <c r="P12" s="857">
        <v>0</v>
      </c>
      <c r="Q12" s="857">
        <v>0</v>
      </c>
      <c r="R12" s="858">
        <v>3.1953009401805623</v>
      </c>
      <c r="S12" s="857">
        <v>14.214693837786118</v>
      </c>
      <c r="T12" s="857">
        <v>0</v>
      </c>
      <c r="U12" s="857">
        <v>0</v>
      </c>
      <c r="V12" s="858">
        <v>14.214693837786118</v>
      </c>
      <c r="W12" s="858">
        <v>17.409994777966681</v>
      </c>
      <c r="X12" s="857">
        <v>4.9274108325270002E-2</v>
      </c>
      <c r="Y12" s="857">
        <v>0.13223600000000002</v>
      </c>
      <c r="Z12" s="857">
        <v>17.107549096442991</v>
      </c>
      <c r="AA12" s="859">
        <v>0</v>
      </c>
      <c r="AB12" s="859">
        <v>0</v>
      </c>
      <c r="AC12" s="858">
        <v>34.699053982734938</v>
      </c>
    </row>
    <row r="13" spans="1:29">
      <c r="A13" s="3"/>
      <c r="B13" s="6" t="s">
        <v>160</v>
      </c>
      <c r="C13" s="857">
        <v>0</v>
      </c>
      <c r="D13" s="857">
        <v>0</v>
      </c>
      <c r="E13" s="857">
        <v>0</v>
      </c>
      <c r="F13" s="858">
        <v>0</v>
      </c>
      <c r="G13" s="857">
        <v>0</v>
      </c>
      <c r="H13" s="857">
        <v>0</v>
      </c>
      <c r="I13" s="857">
        <v>6.6758629432907293E-2</v>
      </c>
      <c r="J13" s="857">
        <v>0</v>
      </c>
      <c r="K13" s="857">
        <v>0</v>
      </c>
      <c r="L13" s="857">
        <v>2.0032197975617003</v>
      </c>
      <c r="M13" s="857">
        <v>0</v>
      </c>
      <c r="N13" s="857">
        <v>1.7184242162E-3</v>
      </c>
      <c r="O13" s="857">
        <v>0</v>
      </c>
      <c r="P13" s="857">
        <v>0</v>
      </c>
      <c r="Q13" s="857">
        <v>0</v>
      </c>
      <c r="R13" s="858">
        <v>2.0716968512108074</v>
      </c>
      <c r="S13" s="857">
        <v>7.6799284465500124</v>
      </c>
      <c r="T13" s="857">
        <v>0</v>
      </c>
      <c r="U13" s="857">
        <v>0</v>
      </c>
      <c r="V13" s="858">
        <v>7.6799284465500124</v>
      </c>
      <c r="W13" s="858">
        <v>9.7516252977608193</v>
      </c>
      <c r="X13" s="857">
        <v>0</v>
      </c>
      <c r="Y13" s="857">
        <v>6.081894E-3</v>
      </c>
      <c r="Z13" s="857">
        <v>13.003496410008108</v>
      </c>
      <c r="AA13" s="859">
        <v>0</v>
      </c>
      <c r="AB13" s="859">
        <v>0</v>
      </c>
      <c r="AC13" s="858">
        <v>22.761203601768926</v>
      </c>
    </row>
    <row r="14" spans="1:29">
      <c r="A14" s="219"/>
      <c r="B14" s="220" t="s">
        <v>161</v>
      </c>
      <c r="C14" s="860">
        <v>0</v>
      </c>
      <c r="D14" s="860">
        <v>0</v>
      </c>
      <c r="E14" s="860">
        <v>0</v>
      </c>
      <c r="F14" s="861">
        <v>0</v>
      </c>
      <c r="G14" s="857">
        <v>0</v>
      </c>
      <c r="H14" s="857">
        <v>0</v>
      </c>
      <c r="I14" s="857">
        <v>2.8313667432326828E-2</v>
      </c>
      <c r="J14" s="857">
        <v>0.11102798523452818</v>
      </c>
      <c r="K14" s="857">
        <v>0</v>
      </c>
      <c r="L14" s="857">
        <v>0.83962715970907087</v>
      </c>
      <c r="M14" s="857">
        <v>0</v>
      </c>
      <c r="N14" s="857">
        <v>0.39172302218513283</v>
      </c>
      <c r="O14" s="857">
        <v>0</v>
      </c>
      <c r="P14" s="857">
        <v>0</v>
      </c>
      <c r="Q14" s="857">
        <v>0</v>
      </c>
      <c r="R14" s="861">
        <v>1.3706918345610588</v>
      </c>
      <c r="S14" s="857">
        <v>3.5161652279465105</v>
      </c>
      <c r="T14" s="860">
        <v>0</v>
      </c>
      <c r="U14" s="860">
        <v>0</v>
      </c>
      <c r="V14" s="861">
        <v>3.5161652279465105</v>
      </c>
      <c r="W14" s="861">
        <v>4.8868570625075698</v>
      </c>
      <c r="X14" s="857">
        <v>1.1285989999999999</v>
      </c>
      <c r="Y14" s="857">
        <v>1.070482630927835</v>
      </c>
      <c r="Z14" s="857">
        <v>4.6446116858969688</v>
      </c>
      <c r="AA14" s="862">
        <v>0</v>
      </c>
      <c r="AB14" s="862">
        <v>0</v>
      </c>
      <c r="AC14" s="861">
        <v>11.730550379332373</v>
      </c>
    </row>
    <row r="15" spans="1:29">
      <c r="A15" s="217" t="s">
        <v>162</v>
      </c>
      <c r="B15" s="221"/>
      <c r="C15" s="863">
        <v>0</v>
      </c>
      <c r="D15" s="863">
        <v>4.6294683399999897E-2</v>
      </c>
      <c r="E15" s="863">
        <v>0.27958403999999998</v>
      </c>
      <c r="F15" s="864">
        <v>0.3258787233999999</v>
      </c>
      <c r="G15" s="863">
        <v>0</v>
      </c>
      <c r="H15" s="863">
        <v>0</v>
      </c>
      <c r="I15" s="863">
        <v>0.43677774631650601</v>
      </c>
      <c r="J15" s="863">
        <v>0.177079042996164</v>
      </c>
      <c r="K15" s="863">
        <v>0</v>
      </c>
      <c r="L15" s="863">
        <v>8.152548427772965</v>
      </c>
      <c r="M15" s="863">
        <v>0</v>
      </c>
      <c r="N15" s="863">
        <v>1.5225393158196623</v>
      </c>
      <c r="O15" s="863">
        <v>0</v>
      </c>
      <c r="P15" s="863">
        <v>0.73553042499999999</v>
      </c>
      <c r="Q15" s="863">
        <v>0</v>
      </c>
      <c r="R15" s="864">
        <v>11.024474957905298</v>
      </c>
      <c r="S15" s="863">
        <v>34.11080161185599</v>
      </c>
      <c r="T15" s="863">
        <v>0</v>
      </c>
      <c r="U15" s="863">
        <v>0</v>
      </c>
      <c r="V15" s="864">
        <v>34.11080161185599</v>
      </c>
      <c r="W15" s="864">
        <v>45.461155293161291</v>
      </c>
      <c r="X15" s="863">
        <v>4.3920904048954288</v>
      </c>
      <c r="Y15" s="863">
        <v>0.87095798458799956</v>
      </c>
      <c r="Z15" s="863">
        <v>48.397694433966471</v>
      </c>
      <c r="AA15" s="865">
        <v>0</v>
      </c>
      <c r="AB15" s="865">
        <v>0</v>
      </c>
      <c r="AC15" s="864">
        <v>99.121898116611206</v>
      </c>
    </row>
    <row r="16" spans="1:29">
      <c r="A16" s="5"/>
      <c r="B16" s="6" t="s">
        <v>34</v>
      </c>
      <c r="C16" s="866">
        <v>0</v>
      </c>
      <c r="D16" s="866">
        <v>0</v>
      </c>
      <c r="E16" s="866">
        <v>0</v>
      </c>
      <c r="F16" s="858">
        <v>0</v>
      </c>
      <c r="G16" s="866">
        <v>0</v>
      </c>
      <c r="H16" s="866">
        <v>0</v>
      </c>
      <c r="I16" s="866">
        <v>2.24482776E-3</v>
      </c>
      <c r="J16" s="866">
        <v>0</v>
      </c>
      <c r="K16" s="866">
        <v>0</v>
      </c>
      <c r="L16" s="866">
        <v>0</v>
      </c>
      <c r="M16" s="866">
        <v>0</v>
      </c>
      <c r="N16" s="866">
        <v>3.8862360000000012E-3</v>
      </c>
      <c r="O16" s="866">
        <v>0</v>
      </c>
      <c r="P16" s="866">
        <v>0</v>
      </c>
      <c r="Q16" s="866">
        <v>0</v>
      </c>
      <c r="R16" s="858">
        <v>6.1310637600000013E-3</v>
      </c>
      <c r="S16" s="866">
        <v>6.3671612045999026E-2</v>
      </c>
      <c r="T16" s="866">
        <v>0</v>
      </c>
      <c r="U16" s="866">
        <v>0</v>
      </c>
      <c r="V16" s="867">
        <v>6.3671612045999026E-2</v>
      </c>
      <c r="W16" s="858">
        <v>6.9802675805999026E-2</v>
      </c>
      <c r="X16" s="866">
        <v>0</v>
      </c>
      <c r="Y16" s="866">
        <v>0</v>
      </c>
      <c r="Z16" s="866">
        <v>0</v>
      </c>
      <c r="AA16" s="859">
        <v>0</v>
      </c>
      <c r="AB16" s="859">
        <v>0</v>
      </c>
      <c r="AC16" s="858">
        <v>6.9802675805999026E-2</v>
      </c>
    </row>
    <row r="17" spans="1:31">
      <c r="A17" s="5"/>
      <c r="B17" s="6" t="s">
        <v>37</v>
      </c>
      <c r="C17" s="866">
        <v>0</v>
      </c>
      <c r="D17" s="866">
        <v>0</v>
      </c>
      <c r="E17" s="866">
        <v>0.15866815000000001</v>
      </c>
      <c r="F17" s="858">
        <v>0.15866815000000001</v>
      </c>
      <c r="G17" s="866">
        <v>0</v>
      </c>
      <c r="H17" s="866">
        <v>0</v>
      </c>
      <c r="I17" s="866">
        <v>7.1204537699999992E-4</v>
      </c>
      <c r="J17" s="866">
        <v>0</v>
      </c>
      <c r="K17" s="866">
        <v>0</v>
      </c>
      <c r="L17" s="866">
        <v>6.9550615690955997E-2</v>
      </c>
      <c r="M17" s="866">
        <v>0</v>
      </c>
      <c r="N17" s="866">
        <v>0.22275191983999998</v>
      </c>
      <c r="O17" s="866">
        <v>0</v>
      </c>
      <c r="P17" s="866">
        <v>5.9200250000000024E-3</v>
      </c>
      <c r="Q17" s="866">
        <v>0</v>
      </c>
      <c r="R17" s="858">
        <v>0.29893460590795595</v>
      </c>
      <c r="S17" s="866">
        <v>0.45487571287393358</v>
      </c>
      <c r="T17" s="866">
        <v>0</v>
      </c>
      <c r="U17" s="866">
        <v>0</v>
      </c>
      <c r="V17" s="867">
        <v>0.45487571287393358</v>
      </c>
      <c r="W17" s="858">
        <v>0.91247846878188954</v>
      </c>
      <c r="X17" s="866">
        <v>6.2216309999999997E-2</v>
      </c>
      <c r="Y17" s="866">
        <v>0</v>
      </c>
      <c r="Z17" s="866">
        <v>0.84512268719999817</v>
      </c>
      <c r="AA17" s="859">
        <v>0</v>
      </c>
      <c r="AB17" s="859">
        <v>0</v>
      </c>
      <c r="AC17" s="858">
        <v>1.8198174659818878</v>
      </c>
    </row>
    <row r="18" spans="1:31">
      <c r="A18" s="5"/>
      <c r="B18" s="6" t="s">
        <v>35</v>
      </c>
      <c r="C18" s="866">
        <v>0</v>
      </c>
      <c r="D18" s="866">
        <v>0</v>
      </c>
      <c r="E18" s="866">
        <v>0.11157439999999999</v>
      </c>
      <c r="F18" s="858">
        <v>0.11157439999999999</v>
      </c>
      <c r="G18" s="866">
        <v>0</v>
      </c>
      <c r="H18" s="866">
        <v>0</v>
      </c>
      <c r="I18" s="866">
        <v>3.7999359550091011E-2</v>
      </c>
      <c r="J18" s="866">
        <v>0</v>
      </c>
      <c r="K18" s="866">
        <v>0</v>
      </c>
      <c r="L18" s="866">
        <v>0.53858611592464256</v>
      </c>
      <c r="M18" s="866">
        <v>0</v>
      </c>
      <c r="N18" s="866">
        <v>5.5157781060228055E-2</v>
      </c>
      <c r="O18" s="866">
        <v>0</v>
      </c>
      <c r="P18" s="866">
        <v>0</v>
      </c>
      <c r="Q18" s="866">
        <v>0</v>
      </c>
      <c r="R18" s="858">
        <v>0.63174325653496166</v>
      </c>
      <c r="S18" s="866">
        <v>6.9477279689110736</v>
      </c>
      <c r="T18" s="866">
        <v>0</v>
      </c>
      <c r="U18" s="866">
        <v>0</v>
      </c>
      <c r="V18" s="867">
        <v>6.9477279689110736</v>
      </c>
      <c r="W18" s="858">
        <v>7.6910456254460353</v>
      </c>
      <c r="X18" s="866">
        <v>0</v>
      </c>
      <c r="Y18" s="866">
        <v>2.0268793E-2</v>
      </c>
      <c r="Z18" s="866">
        <v>5.4077917639420789</v>
      </c>
      <c r="AA18" s="859">
        <v>0</v>
      </c>
      <c r="AB18" s="859">
        <v>0</v>
      </c>
      <c r="AC18" s="858">
        <v>13.119106182388114</v>
      </c>
    </row>
    <row r="19" spans="1:31">
      <c r="A19" s="5"/>
      <c r="B19" s="6" t="s">
        <v>32</v>
      </c>
      <c r="C19" s="866">
        <v>0</v>
      </c>
      <c r="D19" s="866">
        <v>7.3249999999999997E-4</v>
      </c>
      <c r="E19" s="866">
        <v>0</v>
      </c>
      <c r="F19" s="858">
        <v>7.3249999999999997E-4</v>
      </c>
      <c r="G19" s="866">
        <v>0</v>
      </c>
      <c r="H19" s="866">
        <v>0</v>
      </c>
      <c r="I19" s="866">
        <v>0.13641284933346731</v>
      </c>
      <c r="J19" s="866">
        <v>0.17707614049616399</v>
      </c>
      <c r="K19" s="866">
        <v>0</v>
      </c>
      <c r="L19" s="866">
        <v>6.141552787890217</v>
      </c>
      <c r="M19" s="866">
        <v>0</v>
      </c>
      <c r="N19" s="866">
        <v>0.20748075177743647</v>
      </c>
      <c r="O19" s="866">
        <v>0</v>
      </c>
      <c r="P19" s="866">
        <v>0</v>
      </c>
      <c r="Q19" s="866">
        <v>0</v>
      </c>
      <c r="R19" s="858">
        <v>6.6625225294972843</v>
      </c>
      <c r="S19" s="866">
        <v>6.5794731641534856</v>
      </c>
      <c r="T19" s="866">
        <v>0</v>
      </c>
      <c r="U19" s="866">
        <v>0</v>
      </c>
      <c r="V19" s="867">
        <v>6.5794731641534856</v>
      </c>
      <c r="W19" s="858">
        <v>13.24272819365077</v>
      </c>
      <c r="X19" s="866">
        <v>0.47487000000000001</v>
      </c>
      <c r="Y19" s="866">
        <v>0.60194363099799952</v>
      </c>
      <c r="Z19" s="866">
        <v>8.1216373926762166</v>
      </c>
      <c r="AA19" s="859">
        <v>0</v>
      </c>
      <c r="AB19" s="859">
        <v>0</v>
      </c>
      <c r="AC19" s="858">
        <v>22.441179217324986</v>
      </c>
    </row>
    <row r="20" spans="1:31">
      <c r="A20" s="5"/>
      <c r="B20" s="6" t="s">
        <v>40</v>
      </c>
      <c r="C20" s="866">
        <v>0</v>
      </c>
      <c r="D20" s="866">
        <v>4.5483662999999952E-2</v>
      </c>
      <c r="E20" s="866">
        <v>-1.0947800000000001E-3</v>
      </c>
      <c r="F20" s="858">
        <v>4.4388882999999948E-2</v>
      </c>
      <c r="G20" s="866">
        <v>0</v>
      </c>
      <c r="H20" s="866">
        <v>0</v>
      </c>
      <c r="I20" s="866">
        <v>9.8329590746062137E-2</v>
      </c>
      <c r="J20" s="866">
        <v>0</v>
      </c>
      <c r="K20" s="866">
        <v>0</v>
      </c>
      <c r="L20" s="866">
        <v>0.83076581022245177</v>
      </c>
      <c r="M20" s="866">
        <v>0</v>
      </c>
      <c r="N20" s="866">
        <v>0.90798485776912075</v>
      </c>
      <c r="O20" s="866">
        <v>0</v>
      </c>
      <c r="P20" s="866">
        <v>0</v>
      </c>
      <c r="Q20" s="866">
        <v>0</v>
      </c>
      <c r="R20" s="858">
        <v>1.8370802587376347</v>
      </c>
      <c r="S20" s="866">
        <v>7.2420871481679132</v>
      </c>
      <c r="T20" s="866">
        <v>0</v>
      </c>
      <c r="U20" s="866">
        <v>0</v>
      </c>
      <c r="V20" s="867">
        <v>7.2420871481679132</v>
      </c>
      <c r="W20" s="858">
        <v>9.1235562899055473</v>
      </c>
      <c r="X20" s="866">
        <v>0</v>
      </c>
      <c r="Y20" s="866">
        <v>0.15766658219000007</v>
      </c>
      <c r="Z20" s="866">
        <v>10.777517464185561</v>
      </c>
      <c r="AA20" s="859">
        <v>0</v>
      </c>
      <c r="AB20" s="859">
        <v>0</v>
      </c>
      <c r="AC20" s="858">
        <v>20.058740336281108</v>
      </c>
    </row>
    <row r="21" spans="1:31">
      <c r="A21" s="5"/>
      <c r="B21" s="6" t="s">
        <v>39</v>
      </c>
      <c r="C21" s="866">
        <v>0</v>
      </c>
      <c r="D21" s="866">
        <v>0</v>
      </c>
      <c r="E21" s="866">
        <v>0</v>
      </c>
      <c r="F21" s="858">
        <v>0</v>
      </c>
      <c r="G21" s="866">
        <v>0</v>
      </c>
      <c r="H21" s="866">
        <v>0</v>
      </c>
      <c r="I21" s="866">
        <v>6.2368312986916764E-3</v>
      </c>
      <c r="J21" s="866">
        <v>0</v>
      </c>
      <c r="K21" s="866">
        <v>0</v>
      </c>
      <c r="L21" s="866">
        <v>4.3105495243907922E-2</v>
      </c>
      <c r="M21" s="866">
        <v>0</v>
      </c>
      <c r="N21" s="866">
        <v>1.5346453908877336E-2</v>
      </c>
      <c r="O21" s="866">
        <v>0</v>
      </c>
      <c r="P21" s="866">
        <v>0</v>
      </c>
      <c r="Q21" s="866">
        <v>0</v>
      </c>
      <c r="R21" s="858">
        <v>6.4688780451476927E-2</v>
      </c>
      <c r="S21" s="866">
        <v>3.9634230005757067</v>
      </c>
      <c r="T21" s="866">
        <v>0</v>
      </c>
      <c r="U21" s="866">
        <v>0</v>
      </c>
      <c r="V21" s="867">
        <v>3.9634230005757067</v>
      </c>
      <c r="W21" s="858">
        <v>4.0281117810271834</v>
      </c>
      <c r="X21" s="866">
        <v>0</v>
      </c>
      <c r="Y21" s="866">
        <v>1.9397999999999999E-2</v>
      </c>
      <c r="Z21" s="866">
        <v>2.7344754590981495</v>
      </c>
      <c r="AA21" s="859">
        <v>0</v>
      </c>
      <c r="AB21" s="859">
        <v>0</v>
      </c>
      <c r="AC21" s="858">
        <v>6.7819852401253327</v>
      </c>
    </row>
    <row r="22" spans="1:31">
      <c r="A22" s="5"/>
      <c r="B22" s="6" t="s">
        <v>36</v>
      </c>
      <c r="C22" s="866">
        <v>0</v>
      </c>
      <c r="D22" s="866">
        <v>7.852039999994842E-5</v>
      </c>
      <c r="E22" s="866">
        <v>1.0436270000000001E-2</v>
      </c>
      <c r="F22" s="858">
        <v>1.0514790399999949E-2</v>
      </c>
      <c r="G22" s="866">
        <v>0</v>
      </c>
      <c r="H22" s="866">
        <v>0</v>
      </c>
      <c r="I22" s="866">
        <v>4.5910923805786374E-2</v>
      </c>
      <c r="J22" s="866">
        <v>2.9024999999999997E-6</v>
      </c>
      <c r="K22" s="866">
        <v>0</v>
      </c>
      <c r="L22" s="866">
        <v>0.20881870495472327</v>
      </c>
      <c r="M22" s="866">
        <v>0</v>
      </c>
      <c r="N22" s="866">
        <v>-1.2131777027999835E-2</v>
      </c>
      <c r="O22" s="866">
        <v>0</v>
      </c>
      <c r="P22" s="866">
        <v>0</v>
      </c>
      <c r="Q22" s="866">
        <v>0</v>
      </c>
      <c r="R22" s="858">
        <v>0.24260075423250982</v>
      </c>
      <c r="S22" s="866">
        <v>1.0767462052923999</v>
      </c>
      <c r="T22" s="866">
        <v>0</v>
      </c>
      <c r="U22" s="866">
        <v>0</v>
      </c>
      <c r="V22" s="867">
        <v>1.0767462052923999</v>
      </c>
      <c r="W22" s="858">
        <v>1.3298617499249097</v>
      </c>
      <c r="X22" s="866">
        <v>1.0760059310000001</v>
      </c>
      <c r="Y22" s="866">
        <v>0</v>
      </c>
      <c r="Z22" s="866">
        <v>1.8510042782840566</v>
      </c>
      <c r="AA22" s="859">
        <v>0</v>
      </c>
      <c r="AB22" s="859">
        <v>0</v>
      </c>
      <c r="AC22" s="858">
        <v>4.2568719592089668</v>
      </c>
    </row>
    <row r="23" spans="1:31">
      <c r="A23" s="5"/>
      <c r="B23" s="6" t="s">
        <v>38</v>
      </c>
      <c r="C23" s="866">
        <v>0</v>
      </c>
      <c r="D23" s="866">
        <v>0</v>
      </c>
      <c r="E23" s="866">
        <v>0</v>
      </c>
      <c r="F23" s="858">
        <v>0</v>
      </c>
      <c r="G23" s="866">
        <v>0</v>
      </c>
      <c r="H23" s="866">
        <v>0</v>
      </c>
      <c r="I23" s="866">
        <v>5.6950570951867528E-2</v>
      </c>
      <c r="J23" s="866">
        <v>0</v>
      </c>
      <c r="K23" s="866">
        <v>0</v>
      </c>
      <c r="L23" s="866">
        <v>0.34388259705726382</v>
      </c>
      <c r="M23" s="866">
        <v>0</v>
      </c>
      <c r="N23" s="866">
        <v>4.9150300000000001E-2</v>
      </c>
      <c r="O23" s="866">
        <v>0</v>
      </c>
      <c r="P23" s="866">
        <v>0</v>
      </c>
      <c r="Q23" s="866">
        <v>0</v>
      </c>
      <c r="R23" s="858">
        <v>0.4499834680091313</v>
      </c>
      <c r="S23" s="866">
        <v>0.53969360671919997</v>
      </c>
      <c r="T23" s="866">
        <v>0</v>
      </c>
      <c r="U23" s="866">
        <v>0</v>
      </c>
      <c r="V23" s="867">
        <v>0.53969360671919997</v>
      </c>
      <c r="W23" s="858">
        <v>0.98967707472833122</v>
      </c>
      <c r="X23" s="866">
        <v>0.66275824246685622</v>
      </c>
      <c r="Y23" s="866">
        <v>0</v>
      </c>
      <c r="Z23" s="866">
        <v>3.3297063332112988</v>
      </c>
      <c r="AA23" s="859">
        <v>0</v>
      </c>
      <c r="AB23" s="859">
        <v>0</v>
      </c>
      <c r="AC23" s="858">
        <v>4.9821416504064864</v>
      </c>
    </row>
    <row r="24" spans="1:31">
      <c r="A24" s="222"/>
      <c r="B24" s="220" t="s">
        <v>33</v>
      </c>
      <c r="C24" s="866">
        <v>0</v>
      </c>
      <c r="D24" s="866">
        <v>0</v>
      </c>
      <c r="E24" s="866">
        <v>0</v>
      </c>
      <c r="F24" s="858">
        <v>0</v>
      </c>
      <c r="G24" s="866">
        <v>0</v>
      </c>
      <c r="H24" s="866">
        <v>0</v>
      </c>
      <c r="I24" s="866">
        <v>5.1980747493540001E-2</v>
      </c>
      <c r="J24" s="866">
        <v>0</v>
      </c>
      <c r="K24" s="866">
        <v>0</v>
      </c>
      <c r="L24" s="866">
        <v>-2.3713699211196759E-2</v>
      </c>
      <c r="M24" s="866">
        <v>0</v>
      </c>
      <c r="N24" s="866">
        <v>7.2912792491999667E-2</v>
      </c>
      <c r="O24" s="866">
        <v>0</v>
      </c>
      <c r="P24" s="866">
        <v>0.72961039999999999</v>
      </c>
      <c r="Q24" s="866">
        <v>0</v>
      </c>
      <c r="R24" s="858">
        <v>0.83079024077434294</v>
      </c>
      <c r="S24" s="866">
        <v>7.2431031931162835</v>
      </c>
      <c r="T24" s="866">
        <v>0</v>
      </c>
      <c r="U24" s="866">
        <v>0</v>
      </c>
      <c r="V24" s="867">
        <v>7.2431031931162835</v>
      </c>
      <c r="W24" s="858">
        <v>8.0738934338906265</v>
      </c>
      <c r="X24" s="866">
        <v>2.1162399214285728</v>
      </c>
      <c r="Y24" s="866">
        <v>7.1680978399999998E-2</v>
      </c>
      <c r="Z24" s="866">
        <v>15.330439055369112</v>
      </c>
      <c r="AA24" s="859">
        <v>0</v>
      </c>
      <c r="AB24" s="859">
        <v>0</v>
      </c>
      <c r="AC24" s="858">
        <v>25.592253389088313</v>
      </c>
    </row>
    <row r="25" spans="1:31">
      <c r="A25" s="5" t="s">
        <v>111</v>
      </c>
      <c r="B25" s="128"/>
      <c r="C25" s="868">
        <f>SUM(C27:C32)</f>
        <v>0</v>
      </c>
      <c r="D25" s="868">
        <f>SUM(D27:D32)</f>
        <v>0.20888365520050314</v>
      </c>
      <c r="E25" s="868">
        <f>SUM(E27:E32)</f>
        <v>0</v>
      </c>
      <c r="F25" s="864">
        <f>SUM(F27:F32)</f>
        <v>0.20888365520050314</v>
      </c>
      <c r="G25" s="854">
        <f>SUM(G27:G32)</f>
        <v>0</v>
      </c>
      <c r="H25" s="854">
        <f t="shared" ref="H25:Q25" si="0">SUM(H27:H32)</f>
        <v>0</v>
      </c>
      <c r="I25" s="854">
        <f t="shared" si="0"/>
        <v>2.449334066259019E-2</v>
      </c>
      <c r="J25" s="854">
        <f t="shared" si="0"/>
        <v>0.10148290284892604</v>
      </c>
      <c r="K25" s="854">
        <f t="shared" si="0"/>
        <v>0</v>
      </c>
      <c r="L25" s="854">
        <f t="shared" si="0"/>
        <v>9.0798034144465536</v>
      </c>
      <c r="M25" s="854">
        <f t="shared" si="0"/>
        <v>0</v>
      </c>
      <c r="N25" s="854">
        <f t="shared" si="0"/>
        <v>0.93241406698096574</v>
      </c>
      <c r="O25" s="854">
        <f t="shared" si="0"/>
        <v>0</v>
      </c>
      <c r="P25" s="854">
        <f t="shared" si="0"/>
        <v>0</v>
      </c>
      <c r="Q25" s="854">
        <f t="shared" si="0"/>
        <v>0</v>
      </c>
      <c r="R25" s="864">
        <f>SUM(R27:R32)</f>
        <v>10.138193724939034</v>
      </c>
      <c r="S25" s="854">
        <f>SUM(S27:S32)</f>
        <v>13.121942999999998</v>
      </c>
      <c r="T25" s="854">
        <f t="shared" ref="T25:U25" si="1">SUM(T27:T32)</f>
        <v>0</v>
      </c>
      <c r="U25" s="854">
        <f t="shared" si="1"/>
        <v>0</v>
      </c>
      <c r="V25" s="864">
        <f t="shared" ref="V25:AC25" si="2">SUM(V27:V32)</f>
        <v>13.121942999999998</v>
      </c>
      <c r="W25" s="864">
        <f t="shared" si="2"/>
        <v>23.469020380139533</v>
      </c>
      <c r="X25" s="863">
        <f t="shared" si="2"/>
        <v>0</v>
      </c>
      <c r="Y25" s="863">
        <f t="shared" si="2"/>
        <v>2.15641768847243</v>
      </c>
      <c r="Z25" s="856">
        <f t="shared" si="2"/>
        <v>-0.878572647494688</v>
      </c>
      <c r="AA25" s="865">
        <f t="shared" si="2"/>
        <v>0</v>
      </c>
      <c r="AB25" s="865">
        <f t="shared" si="2"/>
        <v>0</v>
      </c>
      <c r="AC25" s="855">
        <f t="shared" si="2"/>
        <v>24.746865421117278</v>
      </c>
      <c r="AE25" s="38"/>
    </row>
    <row r="26" spans="1:31">
      <c r="A26" s="5"/>
      <c r="B26" s="128"/>
      <c r="C26" s="868"/>
      <c r="D26" s="869"/>
      <c r="E26" s="868"/>
      <c r="F26" s="858"/>
      <c r="G26" s="869"/>
      <c r="H26" s="869"/>
      <c r="I26" s="869"/>
      <c r="J26" s="869"/>
      <c r="K26" s="869"/>
      <c r="L26" s="869"/>
      <c r="M26" s="869"/>
      <c r="N26" s="869"/>
      <c r="O26" s="869"/>
      <c r="P26" s="869"/>
      <c r="Q26" s="869"/>
      <c r="R26" s="858"/>
      <c r="S26" s="869"/>
      <c r="T26" s="868"/>
      <c r="U26" s="868"/>
      <c r="V26" s="858"/>
      <c r="W26" s="858"/>
      <c r="X26" s="868"/>
      <c r="Y26" s="872"/>
      <c r="Z26" s="872">
        <v>2.3388879215053437</v>
      </c>
      <c r="AA26" s="873"/>
      <c r="AB26" s="870"/>
      <c r="AC26" s="871"/>
      <c r="AE26" s="38"/>
    </row>
    <row r="27" spans="1:31">
      <c r="A27" s="3"/>
      <c r="B27" s="6" t="s">
        <v>163</v>
      </c>
      <c r="C27" s="857">
        <v>0</v>
      </c>
      <c r="D27" s="857">
        <v>1.216028965681021E-2</v>
      </c>
      <c r="E27" s="857">
        <v>0</v>
      </c>
      <c r="F27" s="858">
        <v>1.216028965681021E-2</v>
      </c>
      <c r="G27" s="857"/>
      <c r="H27" s="857"/>
      <c r="I27" s="857">
        <v>1.1515256875146705E-2</v>
      </c>
      <c r="J27" s="857">
        <v>2.5269448014061439E-3</v>
      </c>
      <c r="K27" s="857"/>
      <c r="L27" s="857">
        <v>5.7232441494046729</v>
      </c>
      <c r="M27" s="857">
        <v>0</v>
      </c>
      <c r="N27" s="857">
        <v>0</v>
      </c>
      <c r="O27" s="857">
        <v>0</v>
      </c>
      <c r="P27" s="857">
        <v>0</v>
      </c>
      <c r="Q27" s="857">
        <v>0</v>
      </c>
      <c r="R27" s="858">
        <v>5.7372863510812255</v>
      </c>
      <c r="S27" s="857">
        <v>0.15661599999999998</v>
      </c>
      <c r="T27" s="857">
        <v>0</v>
      </c>
      <c r="U27" s="857">
        <v>0</v>
      </c>
      <c r="V27" s="858">
        <v>0.15661599999999998</v>
      </c>
      <c r="W27" s="858">
        <v>5.9060626407380354</v>
      </c>
      <c r="X27" s="857">
        <v>0</v>
      </c>
      <c r="Y27" s="857">
        <v>1.1398514487638585</v>
      </c>
      <c r="Z27" s="857">
        <v>2.0298836914009635</v>
      </c>
      <c r="AA27" s="859">
        <v>0</v>
      </c>
      <c r="AB27" s="859">
        <v>0</v>
      </c>
      <c r="AC27" s="858">
        <v>9.0757977809028567</v>
      </c>
    </row>
    <row r="28" spans="1:31">
      <c r="A28" s="3"/>
      <c r="B28" s="6" t="s">
        <v>164</v>
      </c>
      <c r="C28" s="857">
        <v>0</v>
      </c>
      <c r="D28" s="857">
        <v>3.2916427119333906E-4</v>
      </c>
      <c r="E28" s="857">
        <v>0</v>
      </c>
      <c r="F28" s="858">
        <v>3.2916427119333906E-4</v>
      </c>
      <c r="G28" s="857"/>
      <c r="H28" s="857"/>
      <c r="I28" s="857">
        <v>3.0816399639897536E-3</v>
      </c>
      <c r="J28" s="857">
        <v>4.8222195689959625E-5</v>
      </c>
      <c r="K28" s="857"/>
      <c r="L28" s="857">
        <v>1.6844584348927525</v>
      </c>
      <c r="M28" s="857">
        <v>0</v>
      </c>
      <c r="N28" s="857">
        <v>0</v>
      </c>
      <c r="O28" s="857">
        <v>0</v>
      </c>
      <c r="P28" s="857">
        <v>0</v>
      </c>
      <c r="Q28" s="857">
        <v>0</v>
      </c>
      <c r="R28" s="858">
        <v>1.6875882970524323</v>
      </c>
      <c r="S28" s="857">
        <v>0</v>
      </c>
      <c r="T28" s="857">
        <v>0</v>
      </c>
      <c r="U28" s="857">
        <v>0</v>
      </c>
      <c r="V28" s="858">
        <v>0</v>
      </c>
      <c r="W28" s="858">
        <v>1.6879174613236256</v>
      </c>
      <c r="X28" s="857">
        <v>0</v>
      </c>
      <c r="Y28" s="857">
        <v>0.539654937</v>
      </c>
      <c r="Z28" s="857">
        <v>0.73193253339905706</v>
      </c>
      <c r="AA28" s="859">
        <v>0</v>
      </c>
      <c r="AB28" s="859">
        <v>0</v>
      </c>
      <c r="AC28" s="858">
        <v>2.9595049317226825</v>
      </c>
    </row>
    <row r="29" spans="1:31">
      <c r="A29" s="3"/>
      <c r="B29" s="6" t="s">
        <v>165</v>
      </c>
      <c r="C29" s="857">
        <v>0</v>
      </c>
      <c r="D29" s="857">
        <v>7.8805964280621907E-2</v>
      </c>
      <c r="E29" s="857">
        <v>0</v>
      </c>
      <c r="F29" s="858">
        <v>7.8805964280621907E-2</v>
      </c>
      <c r="G29" s="857"/>
      <c r="H29" s="857"/>
      <c r="I29" s="857">
        <v>4.1205546807372541E-3</v>
      </c>
      <c r="J29" s="857">
        <v>6.6624180063283155E-4</v>
      </c>
      <c r="K29" s="857"/>
      <c r="L29" s="857">
        <v>0.67276766690110157</v>
      </c>
      <c r="M29" s="857">
        <v>0</v>
      </c>
      <c r="N29" s="857">
        <v>0.81332582208126469</v>
      </c>
      <c r="O29" s="857">
        <v>0</v>
      </c>
      <c r="P29" s="857">
        <v>0</v>
      </c>
      <c r="Q29" s="857">
        <v>0</v>
      </c>
      <c r="R29" s="858">
        <v>1.4908802854637364</v>
      </c>
      <c r="S29" s="857">
        <v>12.945658999999999</v>
      </c>
      <c r="T29" s="857">
        <v>0</v>
      </c>
      <c r="U29" s="857">
        <v>0</v>
      </c>
      <c r="V29" s="858">
        <v>12.945658999999999</v>
      </c>
      <c r="W29" s="858">
        <v>14.515345249744357</v>
      </c>
      <c r="X29" s="857">
        <v>0</v>
      </c>
      <c r="Y29" s="857">
        <v>0.47691130270857152</v>
      </c>
      <c r="Z29" s="857">
        <v>-4.585323919615516</v>
      </c>
      <c r="AA29" s="859">
        <v>0</v>
      </c>
      <c r="AB29" s="859">
        <v>0</v>
      </c>
      <c r="AC29" s="858">
        <v>10.406932632837414</v>
      </c>
    </row>
    <row r="30" spans="1:31">
      <c r="A30" s="3"/>
      <c r="B30" s="6" t="s">
        <v>166</v>
      </c>
      <c r="C30" s="857">
        <v>0</v>
      </c>
      <c r="D30" s="857">
        <v>0.11758823699187769</v>
      </c>
      <c r="E30" s="857">
        <v>0</v>
      </c>
      <c r="F30" s="858">
        <v>0.11758823699187769</v>
      </c>
      <c r="G30" s="857"/>
      <c r="H30" s="857"/>
      <c r="I30" s="857">
        <v>5.774088585202476E-3</v>
      </c>
      <c r="J30" s="857">
        <v>6.556807465123631E-3</v>
      </c>
      <c r="K30" s="857"/>
      <c r="L30" s="857">
        <v>0.98893798643717568</v>
      </c>
      <c r="M30" s="857">
        <v>0</v>
      </c>
      <c r="N30" s="857">
        <v>0.11908824489970107</v>
      </c>
      <c r="O30" s="857">
        <v>0</v>
      </c>
      <c r="P30" s="857">
        <v>0</v>
      </c>
      <c r="Q30" s="857">
        <v>0</v>
      </c>
      <c r="R30" s="858">
        <v>1.1203571273872028</v>
      </c>
      <c r="S30" s="857">
        <v>1.9667999999999998E-2</v>
      </c>
      <c r="T30" s="857">
        <v>0</v>
      </c>
      <c r="U30" s="857">
        <v>0</v>
      </c>
      <c r="V30" s="858">
        <v>1.9667999999999998E-2</v>
      </c>
      <c r="W30" s="858">
        <v>1.2576133643790806</v>
      </c>
      <c r="X30" s="857">
        <v>0</v>
      </c>
      <c r="Y30" s="857">
        <v>0</v>
      </c>
      <c r="Z30" s="857">
        <v>0.94488535090480763</v>
      </c>
      <c r="AA30" s="859">
        <v>0</v>
      </c>
      <c r="AB30" s="859">
        <v>0</v>
      </c>
      <c r="AC30" s="858">
        <v>2.2024987152838884</v>
      </c>
    </row>
    <row r="31" spans="1:31">
      <c r="A31" s="3"/>
      <c r="B31" s="6" t="s">
        <v>167</v>
      </c>
      <c r="C31" s="857">
        <v>0</v>
      </c>
      <c r="D31" s="857">
        <v>0</v>
      </c>
      <c r="E31" s="857">
        <v>0</v>
      </c>
      <c r="F31" s="858">
        <v>0</v>
      </c>
      <c r="G31" s="857"/>
      <c r="H31" s="857"/>
      <c r="I31" s="857">
        <v>1.8005575139999998E-6</v>
      </c>
      <c r="J31" s="857">
        <v>8.8712052311077635E-2</v>
      </c>
      <c r="K31" s="857"/>
      <c r="L31" s="857">
        <v>6.9807636065909711E-3</v>
      </c>
      <c r="M31" s="857">
        <v>0</v>
      </c>
      <c r="N31" s="857">
        <v>0</v>
      </c>
      <c r="O31" s="857">
        <v>0</v>
      </c>
      <c r="P31" s="857">
        <v>0</v>
      </c>
      <c r="Q31" s="857">
        <v>0</v>
      </c>
      <c r="R31" s="858">
        <v>9.5694616475182612E-2</v>
      </c>
      <c r="S31" s="857">
        <v>0</v>
      </c>
      <c r="T31" s="857">
        <v>0</v>
      </c>
      <c r="U31" s="857">
        <v>0</v>
      </c>
      <c r="V31" s="858">
        <v>0</v>
      </c>
      <c r="W31" s="858">
        <v>9.5694616475182612E-2</v>
      </c>
      <c r="X31" s="857">
        <v>0</v>
      </c>
      <c r="Y31" s="857">
        <v>0</v>
      </c>
      <c r="Z31" s="857">
        <v>0</v>
      </c>
      <c r="AA31" s="859">
        <v>0</v>
      </c>
      <c r="AB31" s="859">
        <v>0</v>
      </c>
      <c r="AC31" s="858">
        <v>9.5694616475182612E-2</v>
      </c>
    </row>
    <row r="32" spans="1:31">
      <c r="A32" s="4"/>
      <c r="B32" s="127" t="s">
        <v>168</v>
      </c>
      <c r="C32" s="875">
        <v>0</v>
      </c>
      <c r="D32" s="875">
        <v>0</v>
      </c>
      <c r="E32" s="875">
        <v>0</v>
      </c>
      <c r="F32" s="874">
        <v>0</v>
      </c>
      <c r="G32" s="875"/>
      <c r="H32" s="875"/>
      <c r="I32" s="875">
        <v>0</v>
      </c>
      <c r="J32" s="875">
        <v>2.9726342749958399E-3</v>
      </c>
      <c r="K32" s="875"/>
      <c r="L32" s="875">
        <v>3.4144132042593003E-3</v>
      </c>
      <c r="M32" s="875">
        <v>0</v>
      </c>
      <c r="N32" s="875">
        <v>0</v>
      </c>
      <c r="O32" s="875">
        <v>0</v>
      </c>
      <c r="P32" s="875">
        <v>0</v>
      </c>
      <c r="Q32" s="875">
        <v>0</v>
      </c>
      <c r="R32" s="874">
        <v>6.3870474792551406E-3</v>
      </c>
      <c r="S32" s="875">
        <v>0</v>
      </c>
      <c r="T32" s="875">
        <v>0</v>
      </c>
      <c r="U32" s="875">
        <v>0</v>
      </c>
      <c r="V32" s="874">
        <v>0</v>
      </c>
      <c r="W32" s="874">
        <v>6.3870474792551406E-3</v>
      </c>
      <c r="X32" s="875">
        <v>0</v>
      </c>
      <c r="Y32" s="875">
        <v>0</v>
      </c>
      <c r="Z32" s="875">
        <v>4.9696416000000005E-5</v>
      </c>
      <c r="AA32" s="876">
        <v>0</v>
      </c>
      <c r="AB32" s="876">
        <v>0</v>
      </c>
      <c r="AC32" s="874">
        <v>6.4367438952551408E-3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9"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2" t="s">
        <v>478</v>
      </c>
      <c r="B2" s="1193"/>
      <c r="C2" s="111"/>
    </row>
    <row r="3" spans="1:3" s="15" customFormat="1" ht="15.75">
      <c r="A3" s="98"/>
      <c r="B3" s="70"/>
      <c r="C3" s="99"/>
    </row>
    <row r="4" spans="1:3">
      <c r="A4" s="95" t="s">
        <v>363</v>
      </c>
      <c r="B4" s="69" t="s">
        <v>375</v>
      </c>
      <c r="C4" s="100" t="s">
        <v>374</v>
      </c>
    </row>
    <row r="5" spans="1:3">
      <c r="A5" s="112"/>
      <c r="B5" s="43"/>
      <c r="C5" s="96"/>
    </row>
    <row r="6" spans="1:3" s="11" customFormat="1" ht="30">
      <c r="A6" s="113" t="s">
        <v>193</v>
      </c>
      <c r="B6" s="130" t="s">
        <v>480</v>
      </c>
      <c r="C6" s="162" t="s">
        <v>496</v>
      </c>
    </row>
    <row r="7" spans="1:3" s="11" customFormat="1">
      <c r="A7" s="132"/>
      <c r="B7" s="133"/>
      <c r="C7" s="134"/>
    </row>
    <row r="8" spans="1:3" s="11" customFormat="1" ht="60">
      <c r="A8" s="113" t="s">
        <v>154</v>
      </c>
      <c r="B8" s="130" t="s">
        <v>480</v>
      </c>
      <c r="C8" s="312" t="s">
        <v>497</v>
      </c>
    </row>
    <row r="9" spans="1:3" s="11" customFormat="1">
      <c r="A9" s="132"/>
      <c r="B9" s="133"/>
      <c r="C9" s="134"/>
    </row>
    <row r="10" spans="1:3" s="11" customFormat="1" ht="60">
      <c r="A10" s="113" t="s">
        <v>155</v>
      </c>
      <c r="B10" s="130" t="s">
        <v>480</v>
      </c>
      <c r="C10" s="312" t="s">
        <v>497</v>
      </c>
    </row>
    <row r="11" spans="1:3" s="11" customFormat="1">
      <c r="A11" s="132"/>
      <c r="B11" s="133"/>
      <c r="C11" s="134"/>
    </row>
    <row r="12" spans="1:3" s="11" customFormat="1" ht="60">
      <c r="A12" s="113" t="s">
        <v>390</v>
      </c>
      <c r="B12" s="130" t="s">
        <v>480</v>
      </c>
      <c r="C12" s="312" t="s">
        <v>497</v>
      </c>
    </row>
    <row r="13" spans="1:3" s="11" customFormat="1">
      <c r="A13" s="132"/>
      <c r="B13" s="133"/>
      <c r="C13" s="134"/>
    </row>
    <row r="14" spans="1:3" s="11" customFormat="1" ht="60">
      <c r="A14" s="113" t="s">
        <v>111</v>
      </c>
      <c r="B14" s="130" t="s">
        <v>498</v>
      </c>
      <c r="C14" s="312" t="s">
        <v>497</v>
      </c>
    </row>
    <row r="15" spans="1:3" s="11" customFormat="1" ht="63">
      <c r="A15" s="123"/>
      <c r="B15" s="130" t="s">
        <v>499</v>
      </c>
      <c r="C15" s="312" t="s">
        <v>503</v>
      </c>
    </row>
    <row r="16" spans="1:3" s="11" customFormat="1">
      <c r="A16" s="132"/>
      <c r="B16" s="133"/>
      <c r="C16" s="134"/>
    </row>
    <row r="17" spans="1:3" s="11" customFormat="1" ht="45">
      <c r="A17" s="113" t="s">
        <v>479</v>
      </c>
      <c r="B17" s="130" t="s">
        <v>553</v>
      </c>
      <c r="C17" s="162" t="s">
        <v>554</v>
      </c>
    </row>
    <row r="18" spans="1:3" s="11" customFormat="1">
      <c r="A18" s="132"/>
      <c r="B18" s="133"/>
      <c r="C18" s="134"/>
    </row>
    <row r="19" spans="1:3" s="11" customFormat="1" ht="60">
      <c r="A19" s="113" t="s">
        <v>393</v>
      </c>
      <c r="B19" s="311" t="s">
        <v>551</v>
      </c>
      <c r="C19" s="162" t="s">
        <v>552</v>
      </c>
    </row>
    <row r="20" spans="1:3" s="11" customFormat="1">
      <c r="A20" s="113"/>
      <c r="B20" s="130"/>
      <c r="C20" s="131"/>
    </row>
    <row r="21" spans="1:3" ht="21">
      <c r="A21" s="126" t="s">
        <v>482</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1" customFormat="1" ht="17.25" thickTop="1" thickBot="1">
      <c r="A1" s="1194" t="s">
        <v>193</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548</v>
      </c>
      <c r="B5" s="30">
        <f>SUM(OV_ov_ele_kWh,OV_rest_ele_kWh)/1000</f>
        <v>3251.4630000000002</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549</v>
      </c>
      <c r="B6" s="30">
        <f>(-1)*IF(ISERROR('Eigen openbare verlichting'!B15),0,'Eigen openbare verlichting'!B15)</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483</v>
      </c>
      <c r="B8" s="906">
        <f>MAX((B6+B5),0)</f>
        <v>3251.4630000000002</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0.21943332184370506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713.47932694189888</v>
      </c>
      <c r="C12" s="161"/>
      <c r="D12" s="161"/>
      <c r="E12" s="161"/>
      <c r="F12" s="161"/>
      <c r="G12" s="161"/>
      <c r="H12" s="161"/>
      <c r="I12" s="161"/>
      <c r="J12" s="161"/>
      <c r="K12" s="161"/>
      <c r="L12" s="161"/>
      <c r="M12" s="161"/>
      <c r="N12" s="161"/>
      <c r="O12" s="161"/>
      <c r="P12" s="161"/>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4" sqref="D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1" customFormat="1" ht="17.25" thickTop="1" thickBot="1">
      <c r="A1" s="1194" t="s">
        <v>154</v>
      </c>
      <c r="B1" s="1195" t="s">
        <v>194</v>
      </c>
      <c r="C1" s="1196"/>
      <c r="D1" s="1196"/>
      <c r="E1" s="1196"/>
      <c r="F1" s="1196"/>
      <c r="G1" s="1196"/>
      <c r="H1" s="1196"/>
      <c r="I1" s="1196"/>
      <c r="J1" s="1196"/>
      <c r="K1" s="1196"/>
      <c r="L1" s="1196"/>
      <c r="M1" s="1196"/>
      <c r="N1" s="1196"/>
      <c r="O1" s="1196"/>
      <c r="P1" s="1196"/>
    </row>
    <row r="2" spans="1:16" s="331"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6" s="331"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6" s="15" customFormat="1" ht="15.75">
      <c r="A4" s="13"/>
      <c r="B4" s="14"/>
      <c r="C4" s="14"/>
      <c r="D4" s="14"/>
      <c r="E4" s="14"/>
      <c r="F4" s="14"/>
      <c r="G4" s="14"/>
      <c r="H4" s="14"/>
      <c r="I4" s="14"/>
      <c r="J4" s="14"/>
      <c r="K4" s="14"/>
      <c r="L4" s="14"/>
      <c r="M4" s="14"/>
      <c r="N4" s="14"/>
      <c r="O4" s="14"/>
      <c r="P4" s="14"/>
    </row>
    <row r="5" spans="1:16">
      <c r="A5" s="16" t="s">
        <v>550</v>
      </c>
      <c r="B5" s="30">
        <f>IF(ISERROR(SUM(HH_hh_ele_kWh,HH_rest_kWh)/1000),0,SUM(HH_hh_ele_kWh,HH_rest_kWh)/1000)</f>
        <v>83912.088798678989</v>
      </c>
      <c r="C5" s="17">
        <f>IF(ISERROR('Eigen informatie GS &amp; warmtenet'!B57),0,'Eigen informatie GS &amp; warmtenet'!B57)</f>
        <v>0</v>
      </c>
      <c r="D5" s="30">
        <f>(SUM(HH_hh_gas_kWh,HH_rest_gas_kWh)/1000)*0.902</f>
        <v>235912.32841610559</v>
      </c>
      <c r="E5" s="17">
        <f>B46*B57</f>
        <v>0</v>
      </c>
      <c r="F5" s="17">
        <f>B51*B62</f>
        <v>0</v>
      </c>
      <c r="G5" s="18"/>
      <c r="H5" s="17"/>
      <c r="I5" s="17"/>
      <c r="J5" s="17">
        <f>B50*B61+C50*C61</f>
        <v>0</v>
      </c>
      <c r="K5" s="17"/>
      <c r="L5" s="17"/>
      <c r="M5" s="17"/>
      <c r="N5" s="17">
        <f>B48*B59+C48*C59</f>
        <v>0</v>
      </c>
      <c r="O5" s="17">
        <f>B69*B70*B71</f>
        <v>60.970000000000006</v>
      </c>
      <c r="P5" s="17">
        <f>B77*B78*B79/1000-B77*B78*B79/1000/B80</f>
        <v>95.333333333333343</v>
      </c>
    </row>
    <row r="6" spans="1:16">
      <c r="A6" s="16" t="s">
        <v>631</v>
      </c>
      <c r="B6" s="776">
        <f>kWh_PV_kleiner_dan_10kW</f>
        <v>1069.1887099597782</v>
      </c>
      <c r="C6" s="777"/>
      <c r="D6" s="777"/>
      <c r="E6" s="778"/>
      <c r="F6" s="778"/>
      <c r="G6" s="778"/>
      <c r="H6" s="778"/>
      <c r="I6" s="778"/>
      <c r="J6" s="778"/>
      <c r="K6" s="778"/>
      <c r="L6" s="778"/>
      <c r="M6" s="778"/>
      <c r="N6" s="778"/>
      <c r="O6" s="778"/>
      <c r="P6" s="778"/>
    </row>
    <row r="7" spans="1:16">
      <c r="B7" s="19"/>
      <c r="C7" s="19"/>
      <c r="D7" s="19"/>
      <c r="E7" s="19"/>
      <c r="F7" s="19"/>
      <c r="G7" s="19"/>
      <c r="H7" s="19"/>
      <c r="I7" s="19"/>
      <c r="J7" s="19"/>
      <c r="K7" s="19"/>
      <c r="L7" s="19"/>
      <c r="M7" s="19"/>
      <c r="N7" s="19"/>
      <c r="O7" s="19"/>
      <c r="P7" s="19"/>
    </row>
    <row r="8" spans="1:16" s="8" customFormat="1">
      <c r="A8" s="20" t="s">
        <v>211</v>
      </c>
      <c r="B8" s="21">
        <f>B5+B6</f>
        <v>84981.27750863877</v>
      </c>
      <c r="C8" s="21">
        <f>C5</f>
        <v>0</v>
      </c>
      <c r="D8" s="21">
        <f>D5</f>
        <v>235912.32841610559</v>
      </c>
      <c r="E8" s="21">
        <f>E5</f>
        <v>0</v>
      </c>
      <c r="F8" s="21">
        <f>F5</f>
        <v>0</v>
      </c>
      <c r="G8" s="21"/>
      <c r="H8" s="21"/>
      <c r="I8" s="21"/>
      <c r="J8" s="21">
        <f>J5</f>
        <v>0</v>
      </c>
      <c r="K8" s="21"/>
      <c r="L8" s="21">
        <f>L5</f>
        <v>0</v>
      </c>
      <c r="M8" s="21">
        <f>M5</f>
        <v>0</v>
      </c>
      <c r="N8" s="21">
        <f>N5</f>
        <v>0</v>
      </c>
      <c r="O8" s="21">
        <f>O5</f>
        <v>60.970000000000006</v>
      </c>
      <c r="P8" s="21">
        <f>P5</f>
        <v>95.333333333333343</v>
      </c>
    </row>
    <row r="9" spans="1:16">
      <c r="B9" s="19"/>
      <c r="C9" s="19"/>
      <c r="D9" s="260"/>
      <c r="E9" s="19"/>
      <c r="F9" s="19"/>
      <c r="G9" s="19"/>
      <c r="H9" s="19"/>
      <c r="I9" s="19"/>
      <c r="J9" s="19"/>
      <c r="K9" s="19"/>
      <c r="L9" s="19"/>
      <c r="M9" s="19"/>
      <c r="N9" s="19"/>
      <c r="O9" s="19"/>
      <c r="P9" s="19"/>
    </row>
    <row r="10" spans="1:16">
      <c r="A10" s="24" t="s">
        <v>213</v>
      </c>
      <c r="B10" s="25">
        <f ca="1">'EF ele_warmte'!B12</f>
        <v>0.21943332184370506</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18647.724018242345</v>
      </c>
      <c r="C12" s="23">
        <f ca="1">C10*C8</f>
        <v>0</v>
      </c>
      <c r="D12" s="23">
        <f>D8*D10</f>
        <v>47654.290340053332</v>
      </c>
      <c r="E12" s="23">
        <f>E10*E8</f>
        <v>0</v>
      </c>
      <c r="F12" s="23">
        <f>F10*F8</f>
        <v>0</v>
      </c>
      <c r="G12" s="23"/>
      <c r="H12" s="23"/>
      <c r="I12" s="23"/>
      <c r="J12" s="23">
        <f>J10*J8</f>
        <v>0</v>
      </c>
      <c r="K12" s="23"/>
      <c r="L12" s="23">
        <f>L10*L8</f>
        <v>0</v>
      </c>
      <c r="M12" s="23">
        <f>M10*M8</f>
        <v>0</v>
      </c>
      <c r="N12" s="23">
        <f>N10*N8</f>
        <v>0</v>
      </c>
      <c r="O12" s="23">
        <f>O10*O8</f>
        <v>0</v>
      </c>
      <c r="P12" s="23">
        <f>P10*P8</f>
        <v>0</v>
      </c>
    </row>
    <row r="15" spans="1:16">
      <c r="A15" s="194" t="s">
        <v>494</v>
      </c>
      <c r="B15" s="204"/>
      <c r="C15" s="204"/>
      <c r="D15" s="226"/>
    </row>
    <row r="16" spans="1:16">
      <c r="A16" s="3"/>
      <c r="B16" s="43"/>
      <c r="C16" s="43"/>
      <c r="D16" s="175"/>
    </row>
    <row r="17" spans="1:7">
      <c r="A17" s="227" t="s">
        <v>214</v>
      </c>
      <c r="B17" s="203" t="s">
        <v>215</v>
      </c>
      <c r="C17" s="203" t="s">
        <v>219</v>
      </c>
      <c r="D17" s="228" t="s">
        <v>181</v>
      </c>
      <c r="E17" s="15"/>
    </row>
    <row r="18" spans="1:7">
      <c r="A18" s="172" t="s">
        <v>70</v>
      </c>
      <c r="B18" s="37">
        <f>Aantalw2001_aardgas</f>
        <v>9792</v>
      </c>
      <c r="C18" s="167" t="s">
        <v>110</v>
      </c>
      <c r="D18" s="229"/>
      <c r="E18" s="15"/>
    </row>
    <row r="19" spans="1:7">
      <c r="A19" s="172" t="s">
        <v>71</v>
      </c>
      <c r="B19" s="37">
        <f>aantalw2001_ander</f>
        <v>3</v>
      </c>
      <c r="C19" s="167" t="s">
        <v>110</v>
      </c>
      <c r="D19" s="230"/>
      <c r="E19" s="15"/>
    </row>
    <row r="20" spans="1:7">
      <c r="A20" s="172" t="s">
        <v>72</v>
      </c>
      <c r="B20" s="37">
        <f>aantalw2001_propaan</f>
        <v>58</v>
      </c>
      <c r="C20" s="168">
        <f>IF(ISERROR(B20/SUM($B$20,$B$21,$B$22)*100),0,B20/SUM($B$20,$B$21,$B$22)*100)</f>
        <v>3.7809647979139509</v>
      </c>
      <c r="D20" s="230"/>
      <c r="E20" s="15"/>
    </row>
    <row r="21" spans="1:7">
      <c r="A21" s="172" t="s">
        <v>73</v>
      </c>
      <c r="B21" s="37">
        <f>aantalw2001_elektriciteit</f>
        <v>1420</v>
      </c>
      <c r="C21" s="168">
        <f>IF(ISERROR(B21/SUM($B$20,$B$21,$B$22)*100),0,B21/SUM($B$20,$B$21,$B$22)*100)</f>
        <v>92.568448500651897</v>
      </c>
      <c r="D21" s="230"/>
      <c r="E21" s="15"/>
    </row>
    <row r="22" spans="1:7">
      <c r="A22" s="172" t="s">
        <v>74</v>
      </c>
      <c r="B22" s="37">
        <f>aantalw2001_hout</f>
        <v>56</v>
      </c>
      <c r="C22" s="168">
        <f>IF(ISERROR(B22/SUM($B$20,$B$21,$B$22)*100),0,B22/SUM($B$20,$B$21,$B$22)*100)</f>
        <v>3.6505867014341589</v>
      </c>
      <c r="D22" s="230"/>
      <c r="E22" s="15"/>
    </row>
    <row r="23" spans="1:7">
      <c r="A23" s="172" t="s">
        <v>75</v>
      </c>
      <c r="B23" s="37">
        <f>aantalw2001_niet_gespec</f>
        <v>435</v>
      </c>
      <c r="C23" s="167" t="s">
        <v>110</v>
      </c>
      <c r="D23" s="229"/>
      <c r="E23" s="15"/>
    </row>
    <row r="24" spans="1:7">
      <c r="A24" s="172" t="s">
        <v>76</v>
      </c>
      <c r="B24" s="37">
        <f>aantalw2001_steenkool</f>
        <v>92</v>
      </c>
      <c r="C24" s="167" t="s">
        <v>110</v>
      </c>
      <c r="D24" s="230"/>
      <c r="E24" s="15"/>
    </row>
    <row r="25" spans="1:7">
      <c r="A25" s="172" t="s">
        <v>77</v>
      </c>
      <c r="B25" s="37">
        <f>aantalw2001_stookolie</f>
        <v>3205</v>
      </c>
      <c r="C25" s="167" t="s">
        <v>110</v>
      </c>
      <c r="D25" s="229"/>
      <c r="E25" s="52"/>
    </row>
    <row r="26" spans="1:7">
      <c r="A26" s="172" t="s">
        <v>78</v>
      </c>
      <c r="B26" s="37">
        <f>aantalw2001_WP</f>
        <v>2</v>
      </c>
      <c r="C26" s="167" t="s">
        <v>110</v>
      </c>
      <c r="D26" s="229"/>
      <c r="E26" s="15"/>
    </row>
    <row r="27" spans="1:7" s="15" customFormat="1">
      <c r="A27" s="172"/>
      <c r="B27" s="29"/>
      <c r="C27" s="36"/>
      <c r="D27" s="229"/>
    </row>
    <row r="28" spans="1:7" s="15" customFormat="1">
      <c r="A28" s="231" t="s">
        <v>711</v>
      </c>
      <c r="B28" s="37">
        <f>aantalHuishoudens</f>
        <v>16712</v>
      </c>
      <c r="C28" s="36"/>
      <c r="D28" s="229"/>
    </row>
    <row r="29" spans="1:7" s="15" customFormat="1">
      <c r="A29" s="231" t="s">
        <v>712</v>
      </c>
      <c r="B29" s="37">
        <f>SUM(HH_hh_gas_aantal,HH_rest_gas_aantal)</f>
        <v>22599</v>
      </c>
      <c r="C29" s="36"/>
      <c r="D29" s="229"/>
    </row>
    <row r="30" spans="1:7" s="15" customFormat="1">
      <c r="A30" s="232"/>
      <c r="B30" s="29"/>
      <c r="C30" s="36"/>
      <c r="D30" s="233"/>
    </row>
    <row r="31" spans="1:7">
      <c r="A31" s="173" t="s">
        <v>717</v>
      </c>
      <c r="B31" s="169" t="s">
        <v>215</v>
      </c>
      <c r="C31" s="166" t="s">
        <v>216</v>
      </c>
      <c r="D31" s="175"/>
      <c r="G31" s="15"/>
    </row>
    <row r="32" spans="1:7">
      <c r="A32" s="172" t="s">
        <v>70</v>
      </c>
      <c r="B32" s="37">
        <f>B29</f>
        <v>22599</v>
      </c>
      <c r="C32" s="168">
        <f>IF(ISERROR(B32/SUM($B$32,$B$34,$B$35,$B$36,$B$38,$B$39)*100),0,B32/SUM($B$32,$B$34,$B$35,$B$36,$B$38,$B$39)*100)</f>
        <v>100</v>
      </c>
      <c r="D32" s="234"/>
      <c r="G32" s="15"/>
    </row>
    <row r="33" spans="1:7">
      <c r="A33" s="172" t="s">
        <v>71</v>
      </c>
      <c r="B33" s="34" t="s">
        <v>110</v>
      </c>
      <c r="C33" s="168"/>
      <c r="D33" s="234"/>
      <c r="G33" s="15"/>
    </row>
    <row r="34" spans="1:7">
      <c r="A34" s="172" t="s">
        <v>72</v>
      </c>
      <c r="B34" s="33">
        <f>IF((($B$28-$B$32-$B$39-$B$77-$B$38)*C20/100)&lt;0,0,($B$28-$B$32-$B$39-$B$77-$B$38)*C20/100)</f>
        <v>0</v>
      </c>
      <c r="C34" s="168">
        <f>IF(ISERROR(B34/SUM($B$32,$B$34,$B$35,$B$36,$B$38,$B$39)*100),0,B34/SUM($B$32,$B$34,$B$35,$B$36,$B$38,$B$39)*100)</f>
        <v>0</v>
      </c>
      <c r="D34" s="234"/>
      <c r="G34" s="15"/>
    </row>
    <row r="35" spans="1:7">
      <c r="A35" s="172" t="s">
        <v>73</v>
      </c>
      <c r="B35" s="33">
        <f>IF((($B$28-$B$32-$B$39-$B$77-$B$38)*C21/100)&lt;0,0,($B$28-$B$32-$B$39-$B$77-$B$38)*C21/100)</f>
        <v>0</v>
      </c>
      <c r="C35" s="168">
        <f>IF(ISERROR(B35/SUM($B$32,$B$34,$B$35,$B$36,$B$38,$B$39)*100),0,B35/SUM($B$32,$B$34,$B$35,$B$36,$B$38,$B$39)*100)</f>
        <v>0</v>
      </c>
      <c r="D35" s="234"/>
      <c r="G35" s="15"/>
    </row>
    <row r="36" spans="1:7">
      <c r="A36" s="172" t="s">
        <v>74</v>
      </c>
      <c r="B36" s="33">
        <f>IF((($B$28-$B$32-$B$39-$B$77-$B$38)*C22/100)&lt;0,0,($B$28-$B$32-$B$39-$B$77-$B$38)*C22/100)</f>
        <v>0</v>
      </c>
      <c r="C36" s="168">
        <f>IF(ISERROR(B36/SUM($B$32,$B$34,$B$35,$B$36,$B$38,$B$39)*100),0,B36/SUM($B$32,$B$34,$B$35,$B$36,$B$38,$B$39)*100)</f>
        <v>0</v>
      </c>
      <c r="D36" s="234"/>
      <c r="G36" s="15"/>
    </row>
    <row r="37" spans="1:7">
      <c r="A37" s="172" t="s">
        <v>75</v>
      </c>
      <c r="B37" s="34" t="s">
        <v>110</v>
      </c>
      <c r="C37" s="168"/>
      <c r="D37" s="174"/>
      <c r="G37" s="15"/>
    </row>
    <row r="38" spans="1:7">
      <c r="A38" s="172" t="s">
        <v>76</v>
      </c>
      <c r="B38" s="33">
        <f>IF((B24-(B29-B18)*0.1)&lt;0,0,B24-(B29-B18)*0.1)</f>
        <v>0</v>
      </c>
      <c r="C38" s="168">
        <f>IF(ISERROR(B38/SUM($B$32,$B$34,$B$35,$B$36,$B$38,$B$39)*100),0,B38/SUM($B$32,$B$34,$B$35,$B$36,$B$38,$B$39)*100)</f>
        <v>0</v>
      </c>
      <c r="D38" s="235"/>
      <c r="G38" s="15"/>
    </row>
    <row r="39" spans="1:7">
      <c r="A39" s="172" t="s">
        <v>77</v>
      </c>
      <c r="B39" s="33">
        <f>IF((B25-(B29-B18))&lt;0,0,B25-(B29-B18)*0.9)</f>
        <v>0</v>
      </c>
      <c r="C39" s="168">
        <f>IF(ISERROR(B39/SUM($B$32,$B$34,$B$35,$B$36,$B$38,$B$39)*100),0,B39/SUM($B$32,$B$34,$B$35,$B$36,$B$38,$B$39)*100)</f>
        <v>0</v>
      </c>
      <c r="D39" s="235"/>
      <c r="G39" s="15"/>
    </row>
    <row r="40" spans="1:7">
      <c r="A40" s="172" t="s">
        <v>78</v>
      </c>
      <c r="B40" s="33" t="s">
        <v>218</v>
      </c>
      <c r="C40" s="168"/>
      <c r="D40" s="234"/>
      <c r="G40" s="15"/>
    </row>
    <row r="41" spans="1:7">
      <c r="A41" s="3"/>
      <c r="B41" s="43"/>
      <c r="C41" s="43"/>
      <c r="D41" s="175"/>
    </row>
    <row r="42" spans="1:7">
      <c r="A42" s="3"/>
      <c r="B42" s="43"/>
      <c r="C42" s="43"/>
      <c r="D42" s="175"/>
    </row>
    <row r="43" spans="1:7">
      <c r="A43" s="173" t="s">
        <v>486</v>
      </c>
      <c r="B43" s="170" t="s">
        <v>713</v>
      </c>
      <c r="C43" s="170" t="s">
        <v>714</v>
      </c>
      <c r="D43" s="175"/>
    </row>
    <row r="44" spans="1:7">
      <c r="A44" s="172" t="s">
        <v>70</v>
      </c>
      <c r="B44" s="33">
        <f t="shared" ref="B44:B52" si="0">B32</f>
        <v>22599</v>
      </c>
      <c r="C44" s="34" t="s">
        <v>110</v>
      </c>
      <c r="D44" s="175"/>
    </row>
    <row r="45" spans="1:7">
      <c r="A45" s="172" t="s">
        <v>71</v>
      </c>
      <c r="B45" s="33" t="str">
        <f t="shared" si="0"/>
        <v>-</v>
      </c>
      <c r="C45" s="34" t="s">
        <v>110</v>
      </c>
      <c r="D45" s="175"/>
    </row>
    <row r="46" spans="1:7">
      <c r="A46" s="172" t="s">
        <v>72</v>
      </c>
      <c r="B46" s="33">
        <f t="shared" si="0"/>
        <v>0</v>
      </c>
      <c r="C46" s="34" t="s">
        <v>110</v>
      </c>
      <c r="D46" s="175"/>
    </row>
    <row r="47" spans="1:7">
      <c r="A47" s="172" t="s">
        <v>73</v>
      </c>
      <c r="B47" s="33">
        <f t="shared" si="0"/>
        <v>0</v>
      </c>
      <c r="C47" s="34" t="s">
        <v>110</v>
      </c>
      <c r="D47" s="175"/>
    </row>
    <row r="48" spans="1:7">
      <c r="A48" s="172" t="s">
        <v>74</v>
      </c>
      <c r="B48" s="33">
        <f t="shared" si="0"/>
        <v>0</v>
      </c>
      <c r="C48" s="33">
        <f>B48*10</f>
        <v>0</v>
      </c>
      <c r="D48" s="235"/>
    </row>
    <row r="49" spans="1:6">
      <c r="A49" s="172" t="s">
        <v>75</v>
      </c>
      <c r="B49" s="33" t="str">
        <f t="shared" si="0"/>
        <v>-</v>
      </c>
      <c r="C49" s="34" t="s">
        <v>110</v>
      </c>
      <c r="D49" s="235"/>
    </row>
    <row r="50" spans="1:6">
      <c r="A50" s="172" t="s">
        <v>76</v>
      </c>
      <c r="B50" s="33">
        <f t="shared" si="0"/>
        <v>0</v>
      </c>
      <c r="C50" s="33">
        <f>B50*2</f>
        <v>0</v>
      </c>
      <c r="D50" s="235"/>
    </row>
    <row r="51" spans="1:6">
      <c r="A51" s="172" t="s">
        <v>77</v>
      </c>
      <c r="B51" s="33">
        <f t="shared" si="0"/>
        <v>0</v>
      </c>
      <c r="C51" s="34" t="s">
        <v>110</v>
      </c>
      <c r="D51" s="175"/>
    </row>
    <row r="52" spans="1:6">
      <c r="A52" s="172" t="s">
        <v>78</v>
      </c>
      <c r="B52" s="33" t="str">
        <f t="shared" si="0"/>
        <v>zie verder</v>
      </c>
      <c r="C52" s="34" t="s">
        <v>110</v>
      </c>
      <c r="D52" s="175"/>
    </row>
    <row r="53" spans="1:6">
      <c r="A53" s="3"/>
      <c r="B53" s="43"/>
      <c r="C53" s="43"/>
      <c r="D53" s="175"/>
    </row>
    <row r="54" spans="1:6">
      <c r="A54" s="173" t="s">
        <v>489</v>
      </c>
      <c r="B54" s="166" t="s">
        <v>715</v>
      </c>
      <c r="C54" s="166" t="s">
        <v>716</v>
      </c>
      <c r="D54" s="300" t="s">
        <v>959</v>
      </c>
      <c r="E54" s="163"/>
      <c r="F54" s="163"/>
    </row>
    <row r="55" spans="1:6">
      <c r="A55" s="172" t="s">
        <v>70</v>
      </c>
      <c r="B55" s="164">
        <v>14.319221342029172</v>
      </c>
      <c r="C55" s="171" t="s">
        <v>110</v>
      </c>
      <c r="D55" s="174"/>
      <c r="E55" s="164"/>
      <c r="F55" s="164"/>
    </row>
    <row r="56" spans="1:6">
      <c r="A56" s="172" t="s">
        <v>71</v>
      </c>
      <c r="B56" s="171" t="s">
        <v>110</v>
      </c>
      <c r="C56" s="171" t="s">
        <v>110</v>
      </c>
      <c r="D56" s="174"/>
      <c r="E56" s="164"/>
      <c r="F56" s="164"/>
    </row>
    <row r="57" spans="1:6">
      <c r="A57" s="172" t="s">
        <v>72</v>
      </c>
      <c r="B57" s="164">
        <v>68.083579971064523</v>
      </c>
      <c r="C57" s="171" t="s">
        <v>110</v>
      </c>
      <c r="D57" s="174"/>
      <c r="E57" s="164"/>
      <c r="F57" s="164"/>
    </row>
    <row r="58" spans="1:6">
      <c r="A58" s="172" t="s">
        <v>73</v>
      </c>
      <c r="B58" s="164">
        <v>10.774375624792809</v>
      </c>
      <c r="C58" s="171" t="s">
        <v>110</v>
      </c>
      <c r="D58" s="174"/>
      <c r="E58" s="164"/>
      <c r="F58" s="164"/>
    </row>
    <row r="59" spans="1:6">
      <c r="A59" s="172" t="s">
        <v>74</v>
      </c>
      <c r="B59" s="171">
        <v>8.7257929173924591</v>
      </c>
      <c r="C59" s="171">
        <v>5.1802878061396767</v>
      </c>
      <c r="D59" s="174"/>
      <c r="E59" s="164"/>
      <c r="F59" s="164"/>
    </row>
    <row r="60" spans="1:6">
      <c r="A60" s="172" t="s">
        <v>75</v>
      </c>
      <c r="B60" s="171" t="s">
        <v>110</v>
      </c>
      <c r="C60" s="171" t="s">
        <v>110</v>
      </c>
      <c r="D60" s="174"/>
      <c r="E60" s="164"/>
      <c r="F60" s="164"/>
    </row>
    <row r="61" spans="1:6">
      <c r="A61" s="172" t="s">
        <v>76</v>
      </c>
      <c r="B61" s="164">
        <v>13.823848314822854</v>
      </c>
      <c r="C61" s="171">
        <v>7.5183352597490742</v>
      </c>
      <c r="D61" s="174"/>
      <c r="E61" s="164"/>
      <c r="F61" s="164"/>
    </row>
    <row r="62" spans="1:6">
      <c r="A62" s="172" t="s">
        <v>77</v>
      </c>
      <c r="B62" s="171">
        <v>22.628679263970941</v>
      </c>
      <c r="C62" s="171" t="s">
        <v>110</v>
      </c>
      <c r="D62" s="175"/>
      <c r="E62" s="164"/>
      <c r="F62" s="164"/>
    </row>
    <row r="63" spans="1:6">
      <c r="A63" s="172" t="s">
        <v>78</v>
      </c>
      <c r="B63" s="171" t="s">
        <v>218</v>
      </c>
      <c r="C63" s="171" t="s">
        <v>110</v>
      </c>
      <c r="D63" s="175"/>
      <c r="E63" s="164"/>
      <c r="F63" s="164"/>
    </row>
    <row r="64" spans="1:6">
      <c r="A64" s="176"/>
      <c r="B64" s="236"/>
      <c r="C64" s="236"/>
      <c r="D64" s="177"/>
      <c r="E64" s="164"/>
      <c r="F64" s="164"/>
    </row>
    <row r="65" spans="1:6">
      <c r="E65" s="15"/>
      <c r="F65" s="15"/>
    </row>
    <row r="66" spans="1:6">
      <c r="A66" s="195" t="s">
        <v>487</v>
      </c>
      <c r="B66" s="204"/>
      <c r="C66" s="204"/>
      <c r="D66" s="205"/>
    </row>
    <row r="67" spans="1:6" s="15" customFormat="1">
      <c r="A67" s="173"/>
      <c r="B67" s="32"/>
      <c r="C67" s="32"/>
      <c r="D67" s="206"/>
    </row>
    <row r="68" spans="1:6" s="15" customFormat="1">
      <c r="A68" s="207"/>
      <c r="B68" s="208"/>
      <c r="C68" s="209" t="s">
        <v>378</v>
      </c>
      <c r="D68" s="223" t="s">
        <v>181</v>
      </c>
    </row>
    <row r="69" spans="1:6">
      <c r="A69" s="172" t="s">
        <v>265</v>
      </c>
      <c r="B69" s="318">
        <f>aantalZB_NB_wonen+aantalZB_NB_wonen_met_kantoor+ZB_HH_bestaande_bouw</f>
        <v>39</v>
      </c>
      <c r="C69" s="43"/>
      <c r="D69" s="174"/>
    </row>
    <row r="70" spans="1:6">
      <c r="A70" s="172" t="s">
        <v>484</v>
      </c>
      <c r="B70" s="314">
        <v>4.2</v>
      </c>
      <c r="C70" s="43"/>
      <c r="D70" s="308" t="s">
        <v>518</v>
      </c>
    </row>
    <row r="71" spans="1:6">
      <c r="A71" s="246" t="s">
        <v>485</v>
      </c>
      <c r="B71" s="319">
        <f>1.34/3.6</f>
        <v>0.37222222222222223</v>
      </c>
      <c r="C71" s="43" t="s">
        <v>217</v>
      </c>
      <c r="D71" s="308" t="s">
        <v>518</v>
      </c>
    </row>
    <row r="72" spans="1:6">
      <c r="A72" s="176"/>
      <c r="B72" s="247"/>
      <c r="C72" s="179"/>
      <c r="D72" s="180"/>
    </row>
    <row r="73" spans="1:6">
      <c r="D73" s="165"/>
    </row>
    <row r="74" spans="1:6">
      <c r="A74" s="195" t="s">
        <v>488</v>
      </c>
      <c r="B74" s="204"/>
      <c r="C74" s="204"/>
      <c r="D74" s="205"/>
    </row>
    <row r="75" spans="1:6">
      <c r="A75" s="173"/>
      <c r="B75" s="32"/>
      <c r="C75" s="32"/>
      <c r="D75" s="210"/>
    </row>
    <row r="76" spans="1:6">
      <c r="A76" s="184"/>
      <c r="B76" s="183"/>
      <c r="C76" s="209" t="s">
        <v>378</v>
      </c>
      <c r="D76" s="224" t="s">
        <v>181</v>
      </c>
    </row>
    <row r="77" spans="1:6">
      <c r="A77" s="172" t="s">
        <v>265</v>
      </c>
      <c r="B77" s="318">
        <f>aantalWP_NB_wonen+aantalWP_NB_wonen_met_kantoor+WP_HH_bestaande_bouw</f>
        <v>5</v>
      </c>
      <c r="C77" s="32"/>
      <c r="D77" s="178"/>
    </row>
    <row r="78" spans="1:6">
      <c r="A78" s="172" t="s">
        <v>454</v>
      </c>
      <c r="B78" s="314">
        <v>13</v>
      </c>
      <c r="C78" s="32" t="s">
        <v>262</v>
      </c>
      <c r="D78" s="308" t="s">
        <v>518</v>
      </c>
    </row>
    <row r="79" spans="1:6">
      <c r="A79" s="172" t="s">
        <v>455</v>
      </c>
      <c r="B79" s="314">
        <v>2000</v>
      </c>
      <c r="C79" s="32" t="s">
        <v>264</v>
      </c>
      <c r="D79" s="308" t="s">
        <v>518</v>
      </c>
    </row>
    <row r="80" spans="1:6">
      <c r="A80" s="172" t="s">
        <v>416</v>
      </c>
      <c r="B80" s="314">
        <v>3.75</v>
      </c>
      <c r="C80" s="43"/>
      <c r="D80" s="308" t="s">
        <v>518</v>
      </c>
    </row>
    <row r="81" spans="1:4">
      <c r="A81" s="4"/>
      <c r="B81" s="179"/>
      <c r="C81" s="179"/>
      <c r="D81" s="177"/>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31"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155</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252"/>
      <c r="G4" s="14"/>
      <c r="H4" s="14"/>
      <c r="I4" s="14"/>
      <c r="J4" s="14"/>
      <c r="K4" s="14"/>
      <c r="L4" s="14"/>
      <c r="M4" s="14"/>
      <c r="N4" s="14"/>
      <c r="O4" s="14"/>
      <c r="P4" s="14"/>
      <c r="R4" s="6"/>
    </row>
    <row r="5" spans="1:18">
      <c r="A5" s="16" t="s">
        <v>258</v>
      </c>
      <c r="B5" s="30">
        <f>SUM(B6:B12)</f>
        <v>95858.337348806977</v>
      </c>
      <c r="C5" s="17">
        <f>IF(ISERROR('Eigen informatie GS &amp; warmtenet'!B58),0,'Eigen informatie GS &amp; warmtenet'!B58)</f>
        <v>0</v>
      </c>
      <c r="D5" s="30">
        <f>SUM(D6:D12)</f>
        <v>109707.02827415845</v>
      </c>
      <c r="E5" s="17">
        <f>SUM(E6:E12)</f>
        <v>2430.158132764826</v>
      </c>
      <c r="F5" s="17">
        <f>SUM(F6:F12)</f>
        <v>16558.389325863129</v>
      </c>
      <c r="G5" s="18"/>
      <c r="H5" s="17"/>
      <c r="I5" s="17"/>
      <c r="J5" s="17">
        <f>SUM(J6:J12)</f>
        <v>0</v>
      </c>
      <c r="K5" s="17"/>
      <c r="L5" s="17"/>
      <c r="M5" s="17"/>
      <c r="N5" s="17">
        <f>SUM(N6:N12)</f>
        <v>1926.2147116337987</v>
      </c>
      <c r="O5" s="17">
        <f>B38*B39*B40</f>
        <v>0</v>
      </c>
      <c r="P5" s="17">
        <f>B46*B47*B48/1000-B46*B47*B48/1000/B49</f>
        <v>76.266666666666666</v>
      </c>
      <c r="R5" s="32"/>
    </row>
    <row r="6" spans="1:18">
      <c r="A6" s="32" t="s">
        <v>53</v>
      </c>
      <c r="B6" s="37">
        <f>B26</f>
        <v>30749.4553403188</v>
      </c>
      <c r="C6" s="33"/>
      <c r="D6" s="37">
        <f>IF(ISERROR(TER_kantoor_gas_kWh/1000),0,TER_kantoor_gas_kWh/1000)*0.902</f>
        <v>61298.97594804057</v>
      </c>
      <c r="E6" s="33">
        <f>$C$26*'E Balans VL '!I12/100/3.6*1000000</f>
        <v>1076.3518974776387</v>
      </c>
      <c r="F6" s="33">
        <f>$C$26*('E Balans VL '!L12+'E Balans VL '!N12)/100/3.6*1000000</f>
        <v>4662.2776139292737</v>
      </c>
      <c r="G6" s="34"/>
      <c r="H6" s="33"/>
      <c r="I6" s="33"/>
      <c r="J6" s="33">
        <f>$C$26*('E Balans VL '!D12+'E Balans VL '!E12)/100/3.6*1000000</f>
        <v>0</v>
      </c>
      <c r="K6" s="33"/>
      <c r="L6" s="33"/>
      <c r="M6" s="33"/>
      <c r="N6" s="33">
        <f>$C$26*'E Balans VL '!Y12/100/3.6*1000000</f>
        <v>237.68366546601587</v>
      </c>
      <c r="O6" s="33"/>
      <c r="P6" s="33"/>
      <c r="R6" s="32"/>
    </row>
    <row r="7" spans="1:18">
      <c r="A7" s="32" t="s">
        <v>52</v>
      </c>
      <c r="B7" s="37">
        <f t="shared" ref="B7:B12" si="0">B27</f>
        <v>17465.4158911167</v>
      </c>
      <c r="C7" s="33"/>
      <c r="D7" s="37">
        <f>IF(ISERROR(TER_horeca_gas_kWh/1000),0,TER_horeca_gas_kWh/1000)*0.902</f>
        <v>18049.241244678618</v>
      </c>
      <c r="E7" s="33">
        <f>$C$27*'E Balans VL '!I9/100/3.6*1000000</f>
        <v>985.28168973189986</v>
      </c>
      <c r="F7" s="33">
        <f>$C$27*('E Balans VL '!L9+'E Balans VL '!N9)/100/3.6*1000000</f>
        <v>3042.5721030850605</v>
      </c>
      <c r="G7" s="34"/>
      <c r="H7" s="33"/>
      <c r="I7" s="33"/>
      <c r="J7" s="33">
        <f>$C$27*('E Balans VL '!D9+'E Balans VL '!E9)/100/3.6*1000000</f>
        <v>0</v>
      </c>
      <c r="K7" s="33"/>
      <c r="L7" s="33"/>
      <c r="M7" s="33"/>
      <c r="N7" s="33">
        <f>$C$27*'E Balans VL '!Y9/100/3.6*1000000</f>
        <v>0</v>
      </c>
      <c r="O7" s="33"/>
      <c r="P7" s="33"/>
      <c r="R7" s="32"/>
    </row>
    <row r="8" spans="1:18">
      <c r="A8" s="6" t="s">
        <v>51</v>
      </c>
      <c r="B8" s="37">
        <f t="shared" si="0"/>
        <v>30900.373182549902</v>
      </c>
      <c r="C8" s="33"/>
      <c r="D8" s="37">
        <f>IF(ISERROR(TER_handel_gas_kWh/1000),0,TER_handel_gas_kWh/1000)*0.902</f>
        <v>13392.912077237717</v>
      </c>
      <c r="E8" s="33">
        <f>$C$28*'E Balans VL '!I13/100/3.6*1000000</f>
        <v>158.63937648682821</v>
      </c>
      <c r="F8" s="33">
        <f>$C$28*('E Balans VL '!L13+'E Balans VL '!N13)/100/3.6*1000000</f>
        <v>4764.3600849701388</v>
      </c>
      <c r="G8" s="34"/>
      <c r="H8" s="33"/>
      <c r="I8" s="33"/>
      <c r="J8" s="33">
        <f>$C$28*('E Balans VL '!D13+'E Balans VL '!E13)/100/3.6*1000000</f>
        <v>0</v>
      </c>
      <c r="K8" s="33"/>
      <c r="L8" s="33"/>
      <c r="M8" s="33"/>
      <c r="N8" s="33">
        <f>$C$28*'E Balans VL '!Y13/100/3.6*1000000</f>
        <v>14.452481727304447</v>
      </c>
      <c r="O8" s="33"/>
      <c r="P8" s="33"/>
      <c r="R8" s="32"/>
    </row>
    <row r="9" spans="1:18">
      <c r="A9" s="32" t="s">
        <v>50</v>
      </c>
      <c r="B9" s="37">
        <f t="shared" si="0"/>
        <v>2077.2908303409499</v>
      </c>
      <c r="C9" s="33"/>
      <c r="D9" s="37">
        <f>IF(ISERROR(TER_gezond_gas_kWh/1000),0,TER_gezond_gas_kWh/1000)*0.902</f>
        <v>3248.5711546843841</v>
      </c>
      <c r="E9" s="33">
        <f>$C$29*'E Balans VL '!I10/100/3.6*1000000</f>
        <v>0.86102225524124165</v>
      </c>
      <c r="F9" s="33">
        <f>$C$29*('E Balans VL '!L10+'E Balans VL '!N10)/100/3.6*1000000</f>
        <v>511.60693918839553</v>
      </c>
      <c r="G9" s="34"/>
      <c r="H9" s="33"/>
      <c r="I9" s="33"/>
      <c r="J9" s="33">
        <f>$C$29*('E Balans VL '!D10+'E Balans VL '!E10)/100/3.6*1000000</f>
        <v>0</v>
      </c>
      <c r="K9" s="33"/>
      <c r="L9" s="33"/>
      <c r="M9" s="33"/>
      <c r="N9" s="33">
        <f>$C$29*'E Balans VL '!Y10/100/3.6*1000000</f>
        <v>17.952934328857058</v>
      </c>
      <c r="O9" s="33"/>
      <c r="P9" s="33"/>
      <c r="R9" s="32"/>
    </row>
    <row r="10" spans="1:18">
      <c r="A10" s="32" t="s">
        <v>49</v>
      </c>
      <c r="B10" s="37">
        <f t="shared" si="0"/>
        <v>6198.8607698548694</v>
      </c>
      <c r="C10" s="33"/>
      <c r="D10" s="37">
        <f>IF(ISERROR(TER_ander_gas_kWh/1000),0,TER_ander_gas_kWh/1000)*0.902</f>
        <v>3101.3197521244047</v>
      </c>
      <c r="E10" s="33">
        <f>$C$30*'E Balans VL '!I14/100/3.6*1000000</f>
        <v>37.788408195651606</v>
      </c>
      <c r="F10" s="33">
        <f>$C$30*('E Balans VL '!L14+'E Balans VL '!N14)/100/3.6*1000000</f>
        <v>1643.4029048487735</v>
      </c>
      <c r="G10" s="34"/>
      <c r="H10" s="33"/>
      <c r="I10" s="33"/>
      <c r="J10" s="33">
        <f>$C$30*('E Balans VL '!D14+'E Balans VL '!E14)/100/3.6*1000000</f>
        <v>0</v>
      </c>
      <c r="K10" s="33"/>
      <c r="L10" s="33"/>
      <c r="M10" s="33"/>
      <c r="N10" s="33">
        <f>$C$30*'E Balans VL '!Y14/100/3.6*1000000</f>
        <v>1428.7034599294136</v>
      </c>
      <c r="O10" s="33"/>
      <c r="P10" s="33"/>
      <c r="R10" s="32"/>
    </row>
    <row r="11" spans="1:18">
      <c r="A11" s="32" t="s">
        <v>54</v>
      </c>
      <c r="B11" s="37">
        <f t="shared" si="0"/>
        <v>500.61425593620498</v>
      </c>
      <c r="C11" s="33"/>
      <c r="D11" s="37">
        <f>IF(ISERROR(TER_onderwijs_gas_kWh/1000),0,TER_onderwijs_gas_kWh/1000)*0.902</f>
        <v>3357.6838984531478</v>
      </c>
      <c r="E11" s="33">
        <f>$C$31*'E Balans VL '!I11/100/3.6*1000000</f>
        <v>0.38149413028307805</v>
      </c>
      <c r="F11" s="33">
        <f>$C$31*('E Balans VL '!L11+'E Balans VL '!N11)/100/3.6*1000000</f>
        <v>362.27191039816574</v>
      </c>
      <c r="G11" s="34"/>
      <c r="H11" s="33"/>
      <c r="I11" s="33"/>
      <c r="J11" s="33">
        <f>$C$31*('E Balans VL '!D11+'E Balans VL '!E11)/100/3.6*1000000</f>
        <v>0</v>
      </c>
      <c r="K11" s="33"/>
      <c r="L11" s="33"/>
      <c r="M11" s="33"/>
      <c r="N11" s="33">
        <f>$C$31*'E Balans VL '!Y11/100/3.6*1000000</f>
        <v>1.4754298568710047</v>
      </c>
      <c r="O11" s="33"/>
      <c r="P11" s="33"/>
      <c r="R11" s="32"/>
    </row>
    <row r="12" spans="1:18">
      <c r="A12" s="32" t="s">
        <v>259</v>
      </c>
      <c r="B12" s="37">
        <f t="shared" si="0"/>
        <v>7966.32707868955</v>
      </c>
      <c r="C12" s="33"/>
      <c r="D12" s="37">
        <f>IF(ISERROR(TER_rest_gas_kWh/1000),0,TER_rest_gas_kWh/1000)*0.902</f>
        <v>7258.3241989395983</v>
      </c>
      <c r="E12" s="33">
        <f>$C$32*'E Balans VL '!I8/100/3.6*1000000</f>
        <v>170.85424448728307</v>
      </c>
      <c r="F12" s="33">
        <f>$C$32*('E Balans VL '!L8+'E Balans VL '!N8)/100/3.6*1000000</f>
        <v>1571.8977694433215</v>
      </c>
      <c r="G12" s="34"/>
      <c r="H12" s="33"/>
      <c r="I12" s="33"/>
      <c r="J12" s="33">
        <f>$C$32*('E Balans VL '!D8+'E Balans VL '!E8)/100/3.6*1000000</f>
        <v>0</v>
      </c>
      <c r="K12" s="33"/>
      <c r="L12" s="33"/>
      <c r="M12" s="33"/>
      <c r="N12" s="33">
        <f>$C$32*'E Balans VL '!Y8/100/3.6*1000000</f>
        <v>225.94674032533675</v>
      </c>
      <c r="O12" s="33"/>
      <c r="P12" s="33"/>
      <c r="R12" s="32"/>
    </row>
    <row r="13" spans="1:18">
      <c r="A13" s="16" t="s">
        <v>495</v>
      </c>
      <c r="B13" s="248">
        <f ca="1">'lokale energieproductie'!N38+'lokale energieproductie'!N31</f>
        <v>0</v>
      </c>
      <c r="C13" s="248">
        <f ca="1">'lokale energieproductie'!O38+'lokale energieproductie'!O31</f>
        <v>0</v>
      </c>
      <c r="D13" s="309">
        <f ca="1">('lokale energieproductie'!P31+'lokale energieproductie'!P38)*(-1)</f>
        <v>0</v>
      </c>
      <c r="E13" s="249"/>
      <c r="F13" s="309">
        <f ca="1">('lokale energieproductie'!S31+'lokale energieproductie'!S38)*(-1)</f>
        <v>0</v>
      </c>
      <c r="G13" s="250"/>
      <c r="H13" s="249"/>
      <c r="I13" s="249"/>
      <c r="J13" s="249"/>
      <c r="K13" s="249"/>
      <c r="L13" s="309">
        <f ca="1">('lokale energieproductie'!U31+'lokale energieproductie'!T31+'lokale energieproductie'!U38+'lokale energieproductie'!T38)*(-1)</f>
        <v>0</v>
      </c>
      <c r="M13" s="249"/>
      <c r="N13" s="309">
        <f ca="1">('lokale energieproductie'!Q31+'lokale energieproductie'!R31+'lokale energieproductie'!V31+'lokale energieproductie'!Q38+'lokale energieproductie'!R38+'lokale energieproductie'!V38)*(-1)</f>
        <v>0</v>
      </c>
      <c r="O13" s="249"/>
      <c r="P13" s="249"/>
      <c r="R13" s="32"/>
    </row>
    <row r="14" spans="1:18">
      <c r="A14" s="16" t="s">
        <v>509</v>
      </c>
      <c r="B14" s="248">
        <f>('Eigen gebouwen'!B15)*(-1)</f>
        <v>0</v>
      </c>
      <c r="C14" s="248">
        <f>('Eigen gebouwen'!C15)*(-1)</f>
        <v>0</v>
      </c>
      <c r="D14" s="248">
        <f>('Eigen gebouwen'!D15)*(-1)</f>
        <v>0</v>
      </c>
      <c r="E14" s="248">
        <f>('Eigen gebouwen'!E15)*(-1)</f>
        <v>0</v>
      </c>
      <c r="F14" s="248">
        <f>('Eigen gebouwen'!F15)*(-1)</f>
        <v>0</v>
      </c>
      <c r="G14" s="248">
        <f>('Eigen gebouwen'!G15)*(-1)</f>
        <v>0</v>
      </c>
      <c r="H14" s="248">
        <f>('Eigen gebouwen'!H15)*(-1)</f>
        <v>0</v>
      </c>
      <c r="I14" s="248">
        <f>('Eigen gebouwen'!I15)*(-1)</f>
        <v>0</v>
      </c>
      <c r="J14" s="248">
        <f>('Eigen gebouwen'!J15)*(-1)</f>
        <v>0</v>
      </c>
      <c r="K14" s="248">
        <f>('Eigen gebouwen'!K15)*(-1)</f>
        <v>0</v>
      </c>
      <c r="L14" s="248">
        <f>('Eigen gebouwen'!L15)*(-1)</f>
        <v>0</v>
      </c>
      <c r="M14" s="248">
        <f>('Eigen gebouwen'!M15)*(-1)</f>
        <v>0</v>
      </c>
      <c r="N14" s="248">
        <f>('Eigen gebouwen'!N15)*(-1)</f>
        <v>0</v>
      </c>
      <c r="O14" s="248"/>
      <c r="P14" s="248"/>
      <c r="R14" s="32"/>
    </row>
    <row r="15" spans="1:18">
      <c r="A15" s="32"/>
      <c r="B15" s="29"/>
      <c r="C15" s="29"/>
      <c r="D15" s="251"/>
      <c r="E15" s="29"/>
      <c r="F15" s="29"/>
      <c r="G15" s="28"/>
      <c r="H15" s="29"/>
      <c r="I15" s="29"/>
      <c r="J15" s="29"/>
      <c r="K15" s="29"/>
      <c r="L15" s="29"/>
      <c r="M15" s="29"/>
      <c r="N15" s="29"/>
      <c r="O15" s="29"/>
      <c r="P15" s="29"/>
      <c r="R15" s="32"/>
    </row>
    <row r="16" spans="1:18">
      <c r="A16" s="20" t="s">
        <v>260</v>
      </c>
      <c r="B16" s="21">
        <f ca="1">B5+B13+B14</f>
        <v>95858.337348806977</v>
      </c>
      <c r="C16" s="21">
        <f ca="1">C5+C13+C14</f>
        <v>0</v>
      </c>
      <c r="D16" s="21">
        <f t="shared" ref="D16:N16" ca="1" si="1">MAX((D5+D13+D14),0)</f>
        <v>109707.02827415845</v>
      </c>
      <c r="E16" s="21">
        <f t="shared" si="1"/>
        <v>2430.158132764826</v>
      </c>
      <c r="F16" s="21">
        <f t="shared" ca="1" si="1"/>
        <v>16558.389325863129</v>
      </c>
      <c r="G16" s="21">
        <f t="shared" si="1"/>
        <v>0</v>
      </c>
      <c r="H16" s="21">
        <f t="shared" si="1"/>
        <v>0</v>
      </c>
      <c r="I16" s="21">
        <f t="shared" si="1"/>
        <v>0</v>
      </c>
      <c r="J16" s="21">
        <f t="shared" si="1"/>
        <v>0</v>
      </c>
      <c r="K16" s="21">
        <f t="shared" si="1"/>
        <v>0</v>
      </c>
      <c r="L16" s="21">
        <f t="shared" ca="1" si="1"/>
        <v>0</v>
      </c>
      <c r="M16" s="21">
        <f t="shared" si="1"/>
        <v>0</v>
      </c>
      <c r="N16" s="21">
        <f t="shared" ca="1" si="1"/>
        <v>1926.2147116337987</v>
      </c>
      <c r="O16" s="21">
        <f>O5</f>
        <v>0</v>
      </c>
      <c r="P16" s="21">
        <f>P5</f>
        <v>76.266666666666666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0.21943332184370506</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21034.513390863216</v>
      </c>
      <c r="C20" s="23">
        <f t="shared" ref="C20:P20" ca="1" si="2">C16*C18</f>
        <v>0</v>
      </c>
      <c r="D20" s="23">
        <f t="shared" ca="1" si="2"/>
        <v>22160.819711380009</v>
      </c>
      <c r="E20" s="23">
        <f t="shared" si="2"/>
        <v>551.64589613761552</v>
      </c>
      <c r="F20" s="23">
        <f t="shared" ca="1" si="2"/>
        <v>4421.0899500054556</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4" t="s">
        <v>494</v>
      </c>
      <c r="B23" s="204"/>
      <c r="C23" s="204"/>
      <c r="D23" s="226"/>
    </row>
    <row r="24" spans="1:18">
      <c r="A24" s="237"/>
      <c r="B24" s="32"/>
      <c r="C24" s="32"/>
      <c r="D24" s="238"/>
    </row>
    <row r="25" spans="1:18">
      <c r="A25" s="239"/>
      <c r="B25" s="225" t="s">
        <v>266</v>
      </c>
      <c r="C25" s="225" t="s">
        <v>267</v>
      </c>
      <c r="D25" s="240" t="s">
        <v>181</v>
      </c>
    </row>
    <row r="26" spans="1:18">
      <c r="A26" s="232" t="s">
        <v>53</v>
      </c>
      <c r="B26" s="33">
        <f>IF(ISERROR(TER_kantoor_ele_kWh/1000),0,TER_kantoor_ele_kWh/1000)</f>
        <v>30749.4553403188</v>
      </c>
      <c r="C26" s="39">
        <f>IF(ISERROR(B26*3.6/1000000/'E Balans VL '!Z12*100),0,B26*3.6/1000000/'E Balans VL '!Z12*100)</f>
        <v>0.6470712935037789</v>
      </c>
      <c r="D26" s="238" t="s">
        <v>718</v>
      </c>
      <c r="F26" s="6"/>
    </row>
    <row r="27" spans="1:18">
      <c r="A27" s="232" t="s">
        <v>52</v>
      </c>
      <c r="B27" s="33">
        <f>IF(ISERROR(TER_horeca_ele_kWh/1000),0,TER_horeca_ele_kWh/1000)</f>
        <v>17465.4158911167</v>
      </c>
      <c r="C27" s="39">
        <f>IF(ISERROR(B27*3.6/1000000/'E Balans VL '!Z9*100),0,B27*3.6/1000000/'E Balans VL '!Z9*100)</f>
        <v>1.4787476861366842</v>
      </c>
      <c r="D27" s="238" t="s">
        <v>718</v>
      </c>
      <c r="F27" s="6"/>
    </row>
    <row r="28" spans="1:18">
      <c r="A28" s="172" t="s">
        <v>51</v>
      </c>
      <c r="B28" s="33">
        <f>IF(ISERROR(TER_handel_ele_kWh/1000),0,TER_handel_ele_kWh/1000)</f>
        <v>30900.373182549902</v>
      </c>
      <c r="C28" s="39">
        <f>IF(ISERROR(B28*3.6/1000000/'E Balans VL '!Z13*100),0,B28*3.6/1000000/'E Balans VL '!Z13*100)</f>
        <v>0.85547255868477834</v>
      </c>
      <c r="D28" s="238" t="s">
        <v>718</v>
      </c>
      <c r="F28" s="6"/>
    </row>
    <row r="29" spans="1:18">
      <c r="A29" s="232" t="s">
        <v>50</v>
      </c>
      <c r="B29" s="33">
        <f>IF(ISERROR(TER_gezond_ele_kWh/1000),0,TER_gezond_ele_kWh/1000)</f>
        <v>2077.2908303409499</v>
      </c>
      <c r="C29" s="39">
        <f>IF(ISERROR(B29*3.6/1000000/'E Balans VL '!Z10*100),0,B29*3.6/1000000/'E Balans VL '!Z10*100)</f>
        <v>0.27002477849047163</v>
      </c>
      <c r="D29" s="238" t="s">
        <v>718</v>
      </c>
      <c r="F29" s="6"/>
    </row>
    <row r="30" spans="1:18">
      <c r="A30" s="232" t="s">
        <v>49</v>
      </c>
      <c r="B30" s="33">
        <f>IF(ISERROR(TER_ander_ele_kWh/1000),0,TER_ander_ele_kWh/1000)</f>
        <v>6198.8607698548694</v>
      </c>
      <c r="C30" s="39">
        <f>IF(ISERROR(B30*3.6/1000000/'E Balans VL '!Z14*100),0,B30*3.6/1000000/'E Balans VL '!Z14*100)</f>
        <v>0.48046855755968065</v>
      </c>
      <c r="D30" s="238" t="s">
        <v>718</v>
      </c>
      <c r="F30" s="6"/>
    </row>
    <row r="31" spans="1:18">
      <c r="A31" s="232" t="s">
        <v>54</v>
      </c>
      <c r="B31" s="33">
        <f>IF(ISERROR(TER_onderwijs_ele_kWh/1000),0,TER_onderwijs_ele_kWh/1000)</f>
        <v>500.61425593620498</v>
      </c>
      <c r="C31" s="39">
        <f>IF(ISERROR(B31*3.6/1000000/'E Balans VL '!Z11*100),0,B31*3.6/1000000/'E Balans VL '!Z11*100)</f>
        <v>9.577603744699803E-2</v>
      </c>
      <c r="D31" s="238" t="s">
        <v>718</v>
      </c>
    </row>
    <row r="32" spans="1:18">
      <c r="A32" s="232" t="s">
        <v>259</v>
      </c>
      <c r="B32" s="33">
        <f>IF(ISERROR(TER_rest_ele_kWh/1000),0,TER_rest_ele_kWh/1000)</f>
        <v>7966.32707868955</v>
      </c>
      <c r="C32" s="39">
        <f>IF(ISERROR(B32*3.6/1000000/'E Balans VL '!Z8*100),0,B32*3.6/1000000/'E Balans VL '!Z8*100)</f>
        <v>6.568848423034096E-2</v>
      </c>
      <c r="D32" s="238" t="s">
        <v>718</v>
      </c>
    </row>
    <row r="33" spans="1:4">
      <c r="A33" s="241"/>
      <c r="B33" s="181"/>
      <c r="C33" s="181"/>
      <c r="D33" s="242"/>
    </row>
    <row r="34" spans="1:4">
      <c r="A34" s="32"/>
      <c r="B34" s="32"/>
      <c r="C34" s="32"/>
    </row>
    <row r="35" spans="1:4">
      <c r="A35" s="194" t="s">
        <v>487</v>
      </c>
      <c r="B35" s="204"/>
      <c r="C35" s="204"/>
      <c r="D35" s="226"/>
    </row>
    <row r="36" spans="1:4">
      <c r="A36" s="237"/>
      <c r="B36" s="32"/>
      <c r="C36" s="32"/>
      <c r="D36" s="233"/>
    </row>
    <row r="37" spans="1:4">
      <c r="A37" s="243"/>
      <c r="B37" s="244"/>
      <c r="C37" s="225" t="s">
        <v>378</v>
      </c>
      <c r="D37" s="245" t="s">
        <v>181</v>
      </c>
    </row>
    <row r="38" spans="1:4">
      <c r="A38" s="172" t="s">
        <v>265</v>
      </c>
      <c r="B38" s="318">
        <f>aantalZB_NB_ander+aantalZB_NB_ander_met_kantoor+aantalZB_NB_kantoor+aantalZB_NB_school+ZB_NHH_bestaande_bouw+aantalZB_NB_NIET_RESIDENTIEEL_EPN</f>
        <v>0</v>
      </c>
      <c r="C38" s="43"/>
      <c r="D38" s="233"/>
    </row>
    <row r="39" spans="1:4">
      <c r="A39" s="172" t="s">
        <v>484</v>
      </c>
      <c r="B39" s="314">
        <v>4.2</v>
      </c>
      <c r="C39" s="43"/>
      <c r="D39" s="308" t="s">
        <v>518</v>
      </c>
    </row>
    <row r="40" spans="1:4">
      <c r="A40" s="6" t="s">
        <v>485</v>
      </c>
      <c r="B40" s="319">
        <f>1.34/3.6</f>
        <v>0.37222222222222223</v>
      </c>
      <c r="C40" s="43" t="s">
        <v>217</v>
      </c>
      <c r="D40" s="308" t="s">
        <v>518</v>
      </c>
    </row>
    <row r="41" spans="1:4">
      <c r="A41" s="241"/>
      <c r="B41" s="181"/>
      <c r="C41" s="181"/>
      <c r="D41" s="242"/>
    </row>
    <row r="43" spans="1:4">
      <c r="A43" s="195" t="s">
        <v>488</v>
      </c>
      <c r="B43" s="204"/>
      <c r="C43" s="204"/>
      <c r="D43" s="226"/>
    </row>
    <row r="44" spans="1:4">
      <c r="A44" s="231"/>
      <c r="B44" s="32"/>
      <c r="C44" s="32"/>
      <c r="D44" s="233"/>
    </row>
    <row r="45" spans="1:4">
      <c r="A45" s="243"/>
      <c r="B45" s="244"/>
      <c r="C45" s="225" t="s">
        <v>378</v>
      </c>
      <c r="D45" s="245" t="s">
        <v>181</v>
      </c>
    </row>
    <row r="46" spans="1:4">
      <c r="A46" s="172" t="s">
        <v>265</v>
      </c>
      <c r="B46" s="540">
        <f>aantalWP_NB_ander+antalWP_NB_ander_met_kantoor+aantalWP_NB_kantoor+aantalWP_NB_school+WP_NHH_bestaande_bouw+aantalWP_NB_NIET_RESIDENTIEEL_EPN</f>
        <v>4</v>
      </c>
      <c r="C46" s="32"/>
      <c r="D46" s="233"/>
    </row>
    <row r="47" spans="1:4">
      <c r="A47" s="172" t="s">
        <v>454</v>
      </c>
      <c r="B47" s="541">
        <v>13</v>
      </c>
      <c r="C47" s="32" t="s">
        <v>262</v>
      </c>
      <c r="D47" s="308" t="s">
        <v>518</v>
      </c>
    </row>
    <row r="48" spans="1:4">
      <c r="A48" s="172" t="s">
        <v>455</v>
      </c>
      <c r="B48" s="541">
        <v>2000</v>
      </c>
      <c r="C48" s="32" t="s">
        <v>264</v>
      </c>
      <c r="D48" s="308" t="s">
        <v>518</v>
      </c>
    </row>
    <row r="49" spans="1:4">
      <c r="A49" s="172" t="s">
        <v>416</v>
      </c>
      <c r="B49" s="541">
        <v>3.75</v>
      </c>
      <c r="C49" s="32"/>
      <c r="D49" s="308" t="s">
        <v>518</v>
      </c>
    </row>
    <row r="50" spans="1:4">
      <c r="A50" s="176"/>
      <c r="B50" s="181"/>
      <c r="C50" s="181"/>
      <c r="D50" s="242"/>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zoomScale="80" zoomScaleNormal="80" workbookViewId="0">
      <selection activeCell="C16" sqref="C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162</v>
      </c>
      <c r="B1" s="1195" t="s">
        <v>194</v>
      </c>
      <c r="C1" s="1196"/>
      <c r="D1" s="1196"/>
      <c r="E1" s="1196"/>
      <c r="F1" s="1196"/>
      <c r="G1" s="1196"/>
      <c r="H1" s="1196"/>
      <c r="I1" s="1196"/>
      <c r="J1" s="1196"/>
      <c r="K1" s="1196"/>
      <c r="L1" s="1196"/>
      <c r="M1" s="1196"/>
      <c r="N1" s="1196"/>
      <c r="O1" s="1196"/>
      <c r="P1" s="1196"/>
      <c r="R1" s="758"/>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c r="R2" s="758"/>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c r="R3" s="758"/>
    </row>
    <row r="4" spans="1:18" ht="15.75">
      <c r="A4" s="13"/>
      <c r="B4" s="14"/>
      <c r="C4" s="14"/>
      <c r="D4" s="14"/>
      <c r="E4" s="14"/>
      <c r="F4" s="14"/>
      <c r="G4" s="14"/>
      <c r="H4" s="14"/>
      <c r="I4" s="14"/>
      <c r="J4" s="14"/>
      <c r="K4" s="14"/>
      <c r="L4" s="14"/>
      <c r="M4" s="14"/>
      <c r="N4" s="14"/>
      <c r="O4" s="14"/>
      <c r="P4" s="14"/>
      <c r="R4" s="6"/>
    </row>
    <row r="5" spans="1:18">
      <c r="A5" s="16" t="s">
        <v>268</v>
      </c>
      <c r="B5" s="30">
        <f>SUM(B6:B15)</f>
        <v>10383.916079709645</v>
      </c>
      <c r="C5" s="17">
        <f>IF(ISERROR('Eigen informatie GS &amp; warmtenet'!B59),0,'Eigen informatie GS &amp; warmtenet'!B59)</f>
        <v>0</v>
      </c>
      <c r="D5" s="30">
        <f>SUM(D6:D15)</f>
        <v>8912.7201833188901</v>
      </c>
      <c r="E5" s="17">
        <f>SUM(E6:E15)</f>
        <v>125.17033393056559</v>
      </c>
      <c r="F5" s="17">
        <f>SUM(F6:F15)</f>
        <v>4293.0490877010561</v>
      </c>
      <c r="G5" s="18"/>
      <c r="H5" s="17"/>
      <c r="I5" s="17"/>
      <c r="J5" s="17">
        <f>SUM(J6:J15)</f>
        <v>37.793029549045166</v>
      </c>
      <c r="K5" s="17"/>
      <c r="L5" s="17"/>
      <c r="M5" s="17"/>
      <c r="N5" s="17">
        <f>SUM(N6:N15)</f>
        <v>400.81518453063927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55.851089443005705</v>
      </c>
      <c r="C8" s="33"/>
      <c r="D8" s="37">
        <f>IF( ISERROR(IND_metaal_Gas_kWH/1000),0,IND_metaal_Gas_kWH/1000)*0.902</f>
        <v>83.486666160758105</v>
      </c>
      <c r="E8" s="33">
        <f>C30*'E Balans VL '!I18/100/3.6*1000000</f>
        <v>0.39245328253208916</v>
      </c>
      <c r="F8" s="33">
        <f>C30*'E Balans VL '!L18/100/3.6*1000000+C30*'E Balans VL '!N18/100/3.6*1000000</f>
        <v>6.1321228598061728</v>
      </c>
      <c r="G8" s="34"/>
      <c r="H8" s="33"/>
      <c r="I8" s="33"/>
      <c r="J8" s="40">
        <f>C30*'E Balans VL '!D18/100/3.6*1000000+C30*'E Balans VL '!E18/100/3.6*1000000</f>
        <v>1.1523283561878728</v>
      </c>
      <c r="K8" s="33"/>
      <c r="L8" s="33"/>
      <c r="M8" s="33"/>
      <c r="N8" s="33">
        <f>C30*'E Balans VL '!Y18/100/3.6*1000000</f>
        <v>0.20933390562353255</v>
      </c>
      <c r="O8" s="33"/>
      <c r="P8" s="33"/>
      <c r="R8" s="32"/>
    </row>
    <row r="9" spans="1:18">
      <c r="A9" s="6" t="s">
        <v>32</v>
      </c>
      <c r="B9" s="37">
        <f t="shared" si="0"/>
        <v>3989.3748132409501</v>
      </c>
      <c r="C9" s="33"/>
      <c r="D9" s="37">
        <f>IF( ISERROR(IND_andere_gas_kWh/1000),0,IND_andere_gas_kWh/1000)*0.902</f>
        <v>5163.1384451044469</v>
      </c>
      <c r="E9" s="33">
        <f>C31*'E Balans VL '!I19/100/3.6*1000000</f>
        <v>67.006437128565693</v>
      </c>
      <c r="F9" s="33">
        <f>C31*'E Balans VL '!L19/100/3.6*1000000+C31*'E Balans VL '!N19/100/3.6*1000000</f>
        <v>3118.6660111682168</v>
      </c>
      <c r="G9" s="34"/>
      <c r="H9" s="33"/>
      <c r="I9" s="33"/>
      <c r="J9" s="40">
        <f>C31*'E Balans VL '!D19/100/3.6*1000000+C31*'E Balans VL '!E19/100/3.6*1000000</f>
        <v>0.35980639240729217</v>
      </c>
      <c r="K9" s="33"/>
      <c r="L9" s="33"/>
      <c r="M9" s="33"/>
      <c r="N9" s="33">
        <f>C31*'E Balans VL '!Y19/100/3.6*1000000</f>
        <v>295.67667754530584</v>
      </c>
      <c r="O9" s="33"/>
      <c r="P9" s="33"/>
      <c r="R9" s="32"/>
    </row>
    <row r="10" spans="1:18">
      <c r="A10" s="6" t="s">
        <v>40</v>
      </c>
      <c r="B10" s="37">
        <f t="shared" si="0"/>
        <v>1916.3711624416799</v>
      </c>
      <c r="C10" s="33"/>
      <c r="D10" s="37">
        <f>IF( ISERROR(IND_voed_gas_kWh/1000),0,IND_voed_gas_kWh/1000)*0.902</f>
        <v>2052.2627856704908</v>
      </c>
      <c r="E10" s="33">
        <f>C32*'E Balans VL '!I20/100/3.6*1000000</f>
        <v>17.48417413811962</v>
      </c>
      <c r="F10" s="33">
        <f>C32*'E Balans VL '!L20/100/3.6*1000000+C32*'E Balans VL '!N20/100/3.6*1000000</f>
        <v>309.17060908395922</v>
      </c>
      <c r="G10" s="34"/>
      <c r="H10" s="33"/>
      <c r="I10" s="33"/>
      <c r="J10" s="40">
        <f>C32*'E Balans VL '!D20/100/3.6*1000000+C32*'E Balans VL '!E20/100/3.6*1000000</f>
        <v>7.8928728806867117</v>
      </c>
      <c r="K10" s="33"/>
      <c r="L10" s="33"/>
      <c r="M10" s="33"/>
      <c r="N10" s="33">
        <f>C32*'E Balans VL '!Y20/100/3.6*1000000</f>
        <v>28.034999005449528</v>
      </c>
      <c r="O10" s="33"/>
      <c r="P10" s="33"/>
      <c r="R10" s="32"/>
    </row>
    <row r="11" spans="1:18">
      <c r="A11" s="6" t="s">
        <v>39</v>
      </c>
      <c r="B11" s="37">
        <f t="shared" si="0"/>
        <v>144.220790338538</v>
      </c>
      <c r="C11" s="33"/>
      <c r="D11" s="37">
        <f>IF( ISERROR(IND_textiel_gas_kWh/1000),0,IND_textiel_gas_kWh/1000)*0.902</f>
        <v>57.001289444106391</v>
      </c>
      <c r="E11" s="33">
        <f>C33*'E Balans VL '!I21/100/3.6*1000000</f>
        <v>0.32894087094937741</v>
      </c>
      <c r="F11" s="33">
        <f>C33*'E Balans VL '!L21/100/3.6*1000000+C33*'E Balans VL '!N21/100/3.6*1000000</f>
        <v>3.0828531576666625</v>
      </c>
      <c r="G11" s="34"/>
      <c r="H11" s="33"/>
      <c r="I11" s="33"/>
      <c r="J11" s="40">
        <f>C33*'E Balans VL '!D21/100/3.6*1000000+C33*'E Balans VL '!E21/100/3.6*1000000</f>
        <v>0</v>
      </c>
      <c r="K11" s="33"/>
      <c r="L11" s="33"/>
      <c r="M11" s="33"/>
      <c r="N11" s="33">
        <f>C33*'E Balans VL '!Y21/100/3.6*1000000</f>
        <v>1.0230828299002646</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62.067192446462201</v>
      </c>
      <c r="C13" s="33"/>
      <c r="D13" s="37">
        <f>IF( ISERROR(IND_papier_gas_kWh/1000),0,IND_papier_gas_kWh/1000)*0.902</f>
        <v>154.29052423493113</v>
      </c>
      <c r="E13" s="33">
        <f>C35*'E Balans VL '!I23/100/3.6*1000000</f>
        <v>1.9096455306317854</v>
      </c>
      <c r="F13" s="33">
        <f>C35*'E Balans VL '!L23/100/3.6*1000000+C35*'E Balans VL '!N23/100/3.6*1000000</f>
        <v>13.179034076603129</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4216.0310317990097</v>
      </c>
      <c r="C15" s="33"/>
      <c r="D15" s="37">
        <f>IF( ISERROR(IND_rest_gas_kWh/1000),0,IND_rest_gas_kWh/1000)*0.902</f>
        <v>1402.5404727041566</v>
      </c>
      <c r="E15" s="33">
        <f>C37*'E Balans VL '!I15/100/3.6*1000000</f>
        <v>38.048682979767015</v>
      </c>
      <c r="F15" s="33">
        <f>C37*'E Balans VL '!L15/100/3.6*1000000+C37*'E Balans VL '!N15/100/3.6*1000000</f>
        <v>842.81845735480351</v>
      </c>
      <c r="G15" s="34"/>
      <c r="H15" s="33"/>
      <c r="I15" s="33"/>
      <c r="J15" s="40">
        <f>C37*'E Balans VL '!D15/100/3.6*1000000+C37*'E Balans VL '!E15/100/3.6*1000000</f>
        <v>28.38802191976329</v>
      </c>
      <c r="K15" s="33"/>
      <c r="L15" s="33"/>
      <c r="M15" s="33"/>
      <c r="N15" s="33">
        <f>C37*'E Balans VL '!Y15/100/3.6*1000000</f>
        <v>75.871091244360116</v>
      </c>
      <c r="O15" s="33"/>
      <c r="P15" s="33"/>
      <c r="R15" s="32"/>
    </row>
    <row r="16" spans="1:18">
      <c r="A16" s="16" t="s">
        <v>495</v>
      </c>
      <c r="B16" s="248">
        <f>'lokale energieproductie'!N37+'lokale energieproductie'!N30</f>
        <v>0</v>
      </c>
      <c r="C16" s="248">
        <f>'lokale energieproductie'!O37+'lokale energieproductie'!O30</f>
        <v>0</v>
      </c>
      <c r="D16" s="309">
        <f>('lokale energieproductie'!P30+'lokale energieproductie'!P37)*(-1)</f>
        <v>0</v>
      </c>
      <c r="E16" s="249"/>
      <c r="F16" s="309">
        <f>('lokale energieproductie'!S30+'lokale energieproductie'!S37)*(-1)</f>
        <v>0</v>
      </c>
      <c r="G16" s="250"/>
      <c r="H16" s="249"/>
      <c r="I16" s="249"/>
      <c r="J16" s="249"/>
      <c r="K16" s="249"/>
      <c r="L16" s="309">
        <f>('lokale energieproductie'!T30+'lokale energieproductie'!U30+'lokale energieproductie'!T37+'lokale energieproductie'!U37)*(-1)</f>
        <v>0</v>
      </c>
      <c r="M16" s="249"/>
      <c r="N16" s="309">
        <f>('lokale energieproductie'!Q30+'lokale energieproductie'!R30+'lokale energieproductie'!V30+'lokale energieproductie'!Q37+'lokale energieproductie'!R37+'lokale energieproductie'!V37)*(-1)</f>
        <v>0</v>
      </c>
      <c r="O16" s="249"/>
      <c r="P16" s="249"/>
      <c r="R16" s="32"/>
    </row>
    <row r="17" spans="1:18">
      <c r="A17" s="6"/>
      <c r="B17" s="29"/>
      <c r="C17" s="29"/>
      <c r="D17" s="251"/>
      <c r="E17" s="29"/>
      <c r="F17" s="29"/>
      <c r="G17" s="28"/>
      <c r="H17" s="29"/>
      <c r="I17" s="29"/>
      <c r="J17" s="29"/>
      <c r="K17" s="29"/>
      <c r="L17" s="29"/>
      <c r="M17" s="29"/>
      <c r="N17" s="29"/>
      <c r="O17" s="29"/>
      <c r="P17" s="29"/>
      <c r="R17" s="32"/>
    </row>
    <row r="18" spans="1:18">
      <c r="A18" s="20" t="s">
        <v>277</v>
      </c>
      <c r="B18" s="21">
        <f>B5+B16</f>
        <v>10383.916079709645</v>
      </c>
      <c r="C18" s="21">
        <f>C5+C16</f>
        <v>0</v>
      </c>
      <c r="D18" s="21">
        <f>MAX((D5+D16),0)</f>
        <v>8912.7201833188901</v>
      </c>
      <c r="E18" s="21">
        <f>MAX((E5+E16),0)</f>
        <v>125.17033393056559</v>
      </c>
      <c r="F18" s="21">
        <f>MAX((F5+F16),0)</f>
        <v>4293.0490877010561</v>
      </c>
      <c r="G18" s="21"/>
      <c r="H18" s="21"/>
      <c r="I18" s="21"/>
      <c r="J18" s="21">
        <f>MAX((J5+J16),0)</f>
        <v>37.793029549045166</v>
      </c>
      <c r="K18" s="21"/>
      <c r="L18" s="21">
        <f>MAX((L5+L16),0)</f>
        <v>0</v>
      </c>
      <c r="M18" s="21"/>
      <c r="N18" s="21">
        <f>MAX((N5+N16),0)</f>
        <v>400.81518453063927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0.21943332184370506</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2278.5771991169509</v>
      </c>
      <c r="C22" s="23">
        <f ca="1">C18*C20</f>
        <v>0</v>
      </c>
      <c r="D22" s="23">
        <f>D18*D20</f>
        <v>1800.369477030416</v>
      </c>
      <c r="E22" s="23">
        <f>E18*E20</f>
        <v>28.413665802238391</v>
      </c>
      <c r="F22" s="23">
        <f>F18*F20</f>
        <v>1146.2441064161821</v>
      </c>
      <c r="G22" s="23"/>
      <c r="H22" s="23"/>
      <c r="I22" s="23"/>
      <c r="J22" s="23">
        <f>J18*J20</f>
        <v>13.378732460361988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4" t="s">
        <v>494</v>
      </c>
      <c r="B25" s="204"/>
      <c r="C25" s="204"/>
      <c r="D25" s="226"/>
    </row>
    <row r="26" spans="1:18">
      <c r="A26" s="237"/>
      <c r="B26" s="32"/>
      <c r="C26" s="32"/>
      <c r="D26" s="238"/>
    </row>
    <row r="27" spans="1:18">
      <c r="A27" s="239"/>
      <c r="B27" s="225" t="s">
        <v>266</v>
      </c>
      <c r="C27" s="225" t="s">
        <v>267</v>
      </c>
      <c r="D27" s="240" t="s">
        <v>181</v>
      </c>
    </row>
    <row r="28" spans="1:18">
      <c r="A28" s="172" t="s">
        <v>34</v>
      </c>
      <c r="B28" s="37"/>
      <c r="C28" s="39"/>
      <c r="D28" s="238" t="s">
        <v>718</v>
      </c>
    </row>
    <row r="29" spans="1:18">
      <c r="A29" s="172" t="s">
        <v>37</v>
      </c>
      <c r="B29" s="37">
        <f>IF( ISERROR(IND_nonf_ele_kWh/1000),0,IND_nonf_ele_kWh/1000)</f>
        <v>0</v>
      </c>
      <c r="C29" s="39">
        <f>IF(ISERROR(B29*3.6/1000000/'E Balans VL '!Z17*100),0,B29*3.6/1000000/'E Balans VL '!Z17*100)</f>
        <v>0</v>
      </c>
      <c r="D29" s="238" t="s">
        <v>718</v>
      </c>
    </row>
    <row r="30" spans="1:18">
      <c r="A30" s="172" t="s">
        <v>35</v>
      </c>
      <c r="B30" s="37">
        <f>IF( ISERROR(IND_metaal_ele_kWh/1000),0,IND_metaal_ele_kWh/1000)</f>
        <v>55.851089443005705</v>
      </c>
      <c r="C30" s="39">
        <f>IF(ISERROR(B30*3.6/1000000/'E Balans VL '!Z18*100),0,B30*3.6/1000000/'E Balans VL '!Z18*100)</f>
        <v>3.7180411297540864E-3</v>
      </c>
      <c r="D30" s="238" t="s">
        <v>718</v>
      </c>
    </row>
    <row r="31" spans="1:18">
      <c r="A31" s="6" t="s">
        <v>32</v>
      </c>
      <c r="B31" s="37">
        <f>IF( ISERROR(IND_ander_ele_kWh/1000),0,IND_ander_ele_kWh/1000)</f>
        <v>3989.3748132409501</v>
      </c>
      <c r="C31" s="39">
        <f>IF(ISERROR(B31*3.6/1000000/'E Balans VL '!Z19*100),0,B31*3.6/1000000/'E Balans VL '!Z19*100)</f>
        <v>0.17683317579061458</v>
      </c>
      <c r="D31" s="238" t="s">
        <v>718</v>
      </c>
    </row>
    <row r="32" spans="1:18">
      <c r="A32" s="172" t="s">
        <v>40</v>
      </c>
      <c r="B32" s="37">
        <f>IF( ISERROR(IND_voed_ele_kWh/1000),0,IND_voed_ele_kWh/1000)</f>
        <v>1916.3711624416799</v>
      </c>
      <c r="C32" s="39">
        <f>IF(ISERROR(B32*3.6/1000000/'E Balans VL '!Z20*100),0,B32*3.6/1000000/'E Balans VL '!Z20*100)</f>
        <v>6.4012294182920065E-2</v>
      </c>
      <c r="D32" s="238" t="s">
        <v>718</v>
      </c>
    </row>
    <row r="33" spans="1:5">
      <c r="A33" s="172" t="s">
        <v>39</v>
      </c>
      <c r="B33" s="37">
        <f>IF( ISERROR(IND_textiel_ele_kWh/1000),0,IND_textiel_ele_kWh/1000)</f>
        <v>144.220790338538</v>
      </c>
      <c r="C33" s="39">
        <f>IF(ISERROR(B33*3.6/1000000/'E Balans VL '!Z21*100),0,B33*3.6/1000000/'E Balans VL '!Z21*100)</f>
        <v>1.8986999626976763E-2</v>
      </c>
      <c r="D33" s="238" t="s">
        <v>718</v>
      </c>
    </row>
    <row r="34" spans="1:5">
      <c r="A34" s="172" t="s">
        <v>36</v>
      </c>
      <c r="B34" s="37">
        <f>IF( ISERROR(IND_min_ele_kWh/1000),0,IND_min_ele_kWh/1000)</f>
        <v>0</v>
      </c>
      <c r="C34" s="39">
        <f>IF(ISERROR(B34*3.6/1000000/'E Balans VL '!Z22*100),0,B34*3.6/1000000/'E Balans VL '!Z22*100)</f>
        <v>0</v>
      </c>
      <c r="D34" s="238" t="s">
        <v>718</v>
      </c>
    </row>
    <row r="35" spans="1:5">
      <c r="A35" s="172" t="s">
        <v>38</v>
      </c>
      <c r="B35" s="37">
        <f>IF( ISERROR(IND_papier_ele_kWh/1000),0,IND_papier_ele_kWh/1000)</f>
        <v>62.067192446462201</v>
      </c>
      <c r="C35" s="39">
        <f>IF(ISERROR(B35*3.6/1000000/'E Balans VL '!Z22*100),0,B35*3.6/1000000/'E Balans VL '!Z22*100)</f>
        <v>1.2071387161481989E-2</v>
      </c>
      <c r="D35" s="238" t="s">
        <v>718</v>
      </c>
    </row>
    <row r="36" spans="1:5">
      <c r="A36" s="172" t="s">
        <v>33</v>
      </c>
      <c r="B36" s="37">
        <f>IF( ISERROR(IND_chemie_ele_kWh/1000),0,IND_chemie_ele_kWh/1000)</f>
        <v>0</v>
      </c>
      <c r="C36" s="39">
        <f>IF(ISERROR(B36*3.6/1000000/'E Balans VL '!Z24*100),0,B36*3.6/1000000/'E Balans VL '!Z24*100)</f>
        <v>0</v>
      </c>
      <c r="D36" s="238" t="s">
        <v>718</v>
      </c>
    </row>
    <row r="37" spans="1:5">
      <c r="A37" s="172" t="s">
        <v>269</v>
      </c>
      <c r="B37" s="37">
        <f>IF( ISERROR(IND_rest_ele_kWh/1000),0,IND_rest_ele_kWh/1000)</f>
        <v>4216.0310317990097</v>
      </c>
      <c r="C37" s="39">
        <f>IF(ISERROR(B37*3.6/1000000/'E Balans VL '!Z15*100),0,B37*3.6/1000000/'E Balans VL '!Z15*100)</f>
        <v>3.1360402374507358E-2</v>
      </c>
      <c r="D37" s="238" t="s">
        <v>718</v>
      </c>
    </row>
    <row r="38" spans="1:5">
      <c r="A38" s="241"/>
      <c r="B38" s="181"/>
      <c r="C38" s="181"/>
      <c r="D38" s="242"/>
    </row>
    <row r="39" spans="1:5">
      <c r="A39" s="232"/>
      <c r="B39" s="32"/>
      <c r="C39" s="32"/>
      <c r="D39" s="32"/>
      <c r="E39" s="32"/>
    </row>
    <row r="40" spans="1:5">
      <c r="A40" s="194" t="s">
        <v>487</v>
      </c>
      <c r="B40" s="204"/>
      <c r="C40" s="204"/>
      <c r="D40" s="226"/>
    </row>
    <row r="41" spans="1:5">
      <c r="A41" s="237"/>
      <c r="B41" s="32"/>
      <c r="C41" s="32"/>
      <c r="D41" s="233"/>
    </row>
    <row r="42" spans="1:5">
      <c r="A42" s="243"/>
      <c r="B42" s="244"/>
      <c r="C42" s="225" t="s">
        <v>378</v>
      </c>
      <c r="D42" s="245" t="s">
        <v>181</v>
      </c>
    </row>
    <row r="43" spans="1:5">
      <c r="A43" s="172" t="s">
        <v>265</v>
      </c>
      <c r="B43" s="318">
        <f>aantalZB_NB_industrie+aantalZB_NB_industrie_met_kantoor</f>
        <v>0</v>
      </c>
      <c r="C43" s="43"/>
      <c r="D43" s="233"/>
    </row>
    <row r="44" spans="1:5">
      <c r="A44" s="172" t="s">
        <v>484</v>
      </c>
      <c r="B44" s="314">
        <v>4.2</v>
      </c>
      <c r="C44" s="43"/>
      <c r="D44" s="308" t="s">
        <v>518</v>
      </c>
    </row>
    <row r="45" spans="1:5">
      <c r="A45" s="6" t="s">
        <v>485</v>
      </c>
      <c r="B45" s="319">
        <f>1.34/3.6</f>
        <v>0.37222222222222223</v>
      </c>
      <c r="C45" s="43" t="s">
        <v>217</v>
      </c>
      <c r="D45" s="308" t="s">
        <v>518</v>
      </c>
    </row>
    <row r="46" spans="1:5" s="32" customFormat="1">
      <c r="A46" s="176"/>
      <c r="B46" s="247"/>
      <c r="C46" s="181"/>
      <c r="D46" s="242"/>
    </row>
    <row r="48" spans="1:5">
      <c r="A48" s="195" t="s">
        <v>488</v>
      </c>
      <c r="B48" s="204"/>
      <c r="C48" s="204"/>
      <c r="D48" s="226"/>
    </row>
    <row r="49" spans="1:4">
      <c r="A49" s="231"/>
      <c r="B49" s="32"/>
      <c r="C49" s="32"/>
      <c r="D49" s="233"/>
    </row>
    <row r="50" spans="1:4">
      <c r="A50" s="243"/>
      <c r="B50" s="244"/>
      <c r="C50" s="225" t="s">
        <v>378</v>
      </c>
      <c r="D50" s="245" t="s">
        <v>181</v>
      </c>
    </row>
    <row r="51" spans="1:4">
      <c r="A51" s="172" t="s">
        <v>265</v>
      </c>
      <c r="B51" s="318">
        <f>aantalWP_NB_industrie+AantalWP_NB_industrie_met_kantoor</f>
        <v>0</v>
      </c>
      <c r="C51" s="32"/>
      <c r="D51" s="233"/>
    </row>
    <row r="52" spans="1:4">
      <c r="A52" s="172" t="s">
        <v>261</v>
      </c>
      <c r="B52" s="314">
        <v>13</v>
      </c>
      <c r="C52" s="32" t="s">
        <v>262</v>
      </c>
      <c r="D52" s="308" t="s">
        <v>518</v>
      </c>
    </row>
    <row r="53" spans="1:4">
      <c r="A53" s="172" t="s">
        <v>263</v>
      </c>
      <c r="B53" s="314">
        <v>2000</v>
      </c>
      <c r="C53" s="32" t="s">
        <v>264</v>
      </c>
      <c r="D53" s="308" t="s">
        <v>518</v>
      </c>
    </row>
    <row r="54" spans="1:4">
      <c r="A54" s="172" t="s">
        <v>416</v>
      </c>
      <c r="B54" s="314">
        <v>3.75</v>
      </c>
      <c r="C54" s="32"/>
      <c r="D54" s="308" t="s">
        <v>518</v>
      </c>
    </row>
    <row r="55" spans="1:4">
      <c r="A55" s="176"/>
      <c r="B55" s="181"/>
      <c r="C55" s="181"/>
      <c r="D55" s="242"/>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C6" sqref="C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5" customFormat="1" ht="17.25" thickTop="1" thickBot="1">
      <c r="A1" s="1194" t="s">
        <v>270</v>
      </c>
      <c r="B1" s="1195" t="s">
        <v>194</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1733.8370693909042</v>
      </c>
      <c r="C5" s="17">
        <f>'Eigen informatie GS &amp; warmtenet'!B60</f>
        <v>0</v>
      </c>
      <c r="D5" s="30">
        <f>IF(ISERROR(SUM(LB_lb_gas_kWh,LB_rest_gas_kWh)/1000),0,SUM(LB_lb_gas_kWh,LB_rest_gas_kWh)/1000)*0.902</f>
        <v>574.61385008190439</v>
      </c>
      <c r="E5" s="17">
        <f>B17*'E Balans VL '!I25/3.6*1000000/100</f>
        <v>18.157117151079966</v>
      </c>
      <c r="F5" s="17">
        <f>B17*('E Balans VL '!L25/3.6*1000000+'E Balans VL '!N25/3.6*1000000)/100</f>
        <v>7422.1400933695877</v>
      </c>
      <c r="G5" s="18"/>
      <c r="H5" s="17"/>
      <c r="I5" s="17"/>
      <c r="J5" s="17">
        <f>('E Balans VL '!D25+'E Balans VL '!E25)/3.6*1000000*landbouw!B17/100</f>
        <v>154.84719094337888</v>
      </c>
      <c r="K5" s="17"/>
      <c r="L5" s="17">
        <f>L6*(-1)</f>
        <v>0</v>
      </c>
      <c r="M5" s="17"/>
      <c r="N5" s="17">
        <f>N6*(-1)</f>
        <v>0</v>
      </c>
      <c r="O5" s="17"/>
      <c r="P5" s="17"/>
      <c r="R5" s="32"/>
    </row>
    <row r="6" spans="1:18">
      <c r="A6" s="16" t="s">
        <v>495</v>
      </c>
      <c r="B6" s="17" t="s">
        <v>210</v>
      </c>
      <c r="C6" s="17">
        <f>'lokale energieproductie'!O39+'lokale energieproductie'!O32</f>
        <v>0</v>
      </c>
      <c r="D6" s="309">
        <f>('lokale energieproductie'!P32+'lokale energieproductie'!P39)*(-1)</f>
        <v>0</v>
      </c>
      <c r="E6" s="249"/>
      <c r="F6" s="309">
        <f>('lokale energieproductie'!S32+'lokale energieproductie'!S39)*(-1)</f>
        <v>0</v>
      </c>
      <c r="G6" s="250"/>
      <c r="H6" s="249"/>
      <c r="I6" s="249"/>
      <c r="J6" s="249"/>
      <c r="K6" s="249"/>
      <c r="L6" s="309">
        <f>('lokale energieproductie'!T32+'lokale energieproductie'!U32+'lokale energieproductie'!T39+'lokale energieproductie'!U39)*(-1)</f>
        <v>0</v>
      </c>
      <c r="M6" s="249"/>
      <c r="N6" s="309">
        <f>('lokale energieproductie'!V32+'lokale energieproductie'!R32+'lokale energieproductie'!Q32+'lokale energieproductie'!Q39+'lokale energieproductie'!R39+'lokale energieproductie'!V39)*(-1)</f>
        <v>0</v>
      </c>
      <c r="O6" s="249"/>
      <c r="P6" s="249"/>
      <c r="R6" s="32"/>
    </row>
    <row r="7" spans="1:18">
      <c r="A7" s="32"/>
      <c r="B7" s="29"/>
      <c r="C7" s="29"/>
      <c r="D7" s="251"/>
      <c r="E7" s="29"/>
      <c r="F7" s="29"/>
      <c r="G7" s="28"/>
      <c r="H7" s="29"/>
      <c r="I7" s="29"/>
      <c r="J7" s="29"/>
      <c r="K7" s="29"/>
      <c r="L7" s="29"/>
      <c r="M7" s="29"/>
      <c r="N7" s="29"/>
      <c r="O7" s="29"/>
      <c r="P7" s="29"/>
      <c r="R7" s="32"/>
    </row>
    <row r="8" spans="1:18">
      <c r="A8" s="20" t="s">
        <v>272</v>
      </c>
      <c r="B8" s="21">
        <f>B5</f>
        <v>1733.8370693909042</v>
      </c>
      <c r="C8" s="21">
        <f>C5+C6</f>
        <v>0</v>
      </c>
      <c r="D8" s="21">
        <f>MAX((D5+D6),0)</f>
        <v>574.61385008190439</v>
      </c>
      <c r="E8" s="21">
        <f>MAX((E5+E6),0)</f>
        <v>18.157117151079966</v>
      </c>
      <c r="F8" s="21">
        <f>MAX((F5+F6),0)</f>
        <v>7422.1400933695877</v>
      </c>
      <c r="G8" s="21"/>
      <c r="H8" s="21"/>
      <c r="I8" s="21"/>
      <c r="J8" s="21">
        <f>MAX((J5+J6),0)</f>
        <v>154.84719094337888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0.21943332184370506</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380.46162767220068</v>
      </c>
      <c r="C12" s="23">
        <f ca="1">C8*C10</f>
        <v>0</v>
      </c>
      <c r="D12" s="23">
        <f>D8*D10</f>
        <v>116.0719977165447</v>
      </c>
      <c r="E12" s="23">
        <f>E8*E10</f>
        <v>4.1216655932951527</v>
      </c>
      <c r="F12" s="23">
        <f>F8*F10</f>
        <v>1981.7114049296799</v>
      </c>
      <c r="G12" s="23"/>
      <c r="H12" s="23"/>
      <c r="I12" s="23"/>
      <c r="J12" s="23">
        <f>J8*J10</f>
        <v>54.815905593956117</v>
      </c>
      <c r="K12" s="23"/>
      <c r="L12" s="23">
        <f>L8*L10</f>
        <v>0</v>
      </c>
      <c r="M12" s="23">
        <f>M8*M10</f>
        <v>0</v>
      </c>
      <c r="N12" s="23">
        <f>N8*N10</f>
        <v>0</v>
      </c>
      <c r="O12" s="23"/>
      <c r="P12" s="23"/>
    </row>
    <row r="14" spans="1:18">
      <c r="A14" s="194" t="s">
        <v>501</v>
      </c>
      <c r="B14" s="204"/>
      <c r="C14" s="226"/>
    </row>
    <row r="15" spans="1:18">
      <c r="A15" s="237"/>
      <c r="B15" s="32"/>
      <c r="C15" s="238"/>
    </row>
    <row r="16" spans="1:18">
      <c r="A16" s="256"/>
      <c r="B16" s="42" t="s">
        <v>291</v>
      </c>
      <c r="C16" s="240" t="s">
        <v>181</v>
      </c>
    </row>
    <row r="17" spans="1:4">
      <c r="A17" s="257" t="s">
        <v>111</v>
      </c>
      <c r="B17" s="255">
        <f>IF(ISERROR(SUM(LB_lb_ele_kWh,LB_rest_ele_kWh)*3.6/1000000000/'E Balans VL '!Z26*100),0,SUM(LB_lb_ele_kWh,LB_rest_ele_kWh)*3.6/1000000000/'E Balans VL '!Z26*100)</f>
        <v>0.26687099421976279</v>
      </c>
      <c r="C17" s="238" t="s">
        <v>718</v>
      </c>
      <c r="D17" s="253"/>
    </row>
    <row r="18" spans="1:4">
      <c r="A18" s="241"/>
      <c r="B18" s="254"/>
      <c r="C18" s="242"/>
    </row>
    <row r="19" spans="1:4">
      <c r="A19" s="32"/>
      <c r="B19" s="48"/>
      <c r="C19" s="32"/>
    </row>
    <row r="20" spans="1:4">
      <c r="A20" s="32"/>
      <c r="B20" s="48"/>
      <c r="C20" s="32"/>
    </row>
    <row r="21" spans="1:4" ht="15.75" thickBot="1">
      <c r="B21" s="32"/>
    </row>
    <row r="22" spans="1:4" ht="15.75" customHeight="1">
      <c r="A22" s="1202" t="s">
        <v>302</v>
      </c>
      <c r="B22" s="1205" t="s">
        <v>303</v>
      </c>
      <c r="C22" s="1205" t="s">
        <v>500</v>
      </c>
    </row>
    <row r="23" spans="1:4">
      <c r="A23" s="1203"/>
      <c r="B23" s="1206"/>
      <c r="C23" s="1206"/>
    </row>
    <row r="24" spans="1:4" ht="15.75" thickBot="1">
      <c r="A24" s="1204"/>
      <c r="B24" s="1207"/>
      <c r="C24" s="1207"/>
    </row>
    <row r="25" spans="1:4" ht="15.75">
      <c r="A25" s="13"/>
      <c r="B25" s="32"/>
    </row>
    <row r="26" spans="1:4">
      <c r="A26" s="41" t="s">
        <v>273</v>
      </c>
      <c r="B26" s="248">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353.55318782895995</v>
      </c>
      <c r="C26" s="248">
        <f>B26*'GWP N2O_CH4'!B5</f>
        <v>7424.6169444081588</v>
      </c>
      <c r="D26" s="50"/>
    </row>
    <row r="27" spans="1:4">
      <c r="A27" s="41" t="s">
        <v>274</v>
      </c>
      <c r="B27" s="248">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70.399103856687901</v>
      </c>
      <c r="C27" s="248">
        <f>B27*'GWP N2O_CH4'!B5</f>
        <v>1478.381180990446</v>
      </c>
      <c r="D27" s="50"/>
    </row>
    <row r="28" spans="1:4">
      <c r="A28" s="41" t="s">
        <v>275</v>
      </c>
      <c r="B28" s="248">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5.2492917663991339</v>
      </c>
      <c r="C28" s="248">
        <f>B28*'GWP N2O_CH4'!B4</f>
        <v>1627.2804475837315</v>
      </c>
      <c r="D28" s="50"/>
    </row>
    <row r="29" spans="1:4">
      <c r="A29" s="41" t="s">
        <v>276</v>
      </c>
      <c r="B29" s="248">
        <f>B34*'ha_N2O bodem landbouw'!B4</f>
        <v>31.165824035161801</v>
      </c>
      <c r="C29" s="248">
        <f>B29*'GWP N2O_CH4'!B4</f>
        <v>9661.405450900158</v>
      </c>
      <c r="D29" s="50"/>
    </row>
    <row r="31" spans="1:4">
      <c r="A31" s="194" t="s">
        <v>502</v>
      </c>
      <c r="B31" s="204"/>
      <c r="C31" s="226"/>
    </row>
    <row r="32" spans="1:4">
      <c r="A32" s="237"/>
      <c r="B32" s="32"/>
      <c r="C32" s="238"/>
    </row>
    <row r="33" spans="1:5">
      <c r="A33" s="239"/>
      <c r="B33" s="225" t="s">
        <v>635</v>
      </c>
      <c r="C33" s="240" t="s">
        <v>181</v>
      </c>
    </row>
    <row r="34" spans="1:5">
      <c r="A34" s="258" t="s">
        <v>111</v>
      </c>
      <c r="B34" s="35">
        <f>IF(ISERROR(aantalCultuurgronden/'ha_N2O bodem landbouw'!B5),0,aantalCultuurgronden/'ha_N2O bodem landbouw'!B5)</f>
        <v>5.150561744291857E-3</v>
      </c>
      <c r="C34" s="259" t="s">
        <v>634</v>
      </c>
      <c r="D34" s="27"/>
      <c r="E34" s="27"/>
    </row>
    <row r="35" spans="1:5">
      <c r="A35" s="241"/>
      <c r="B35" s="181"/>
      <c r="C35" s="242"/>
      <c r="D35" s="253"/>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3" zoomScale="85" zoomScaleNormal="85" workbookViewId="0">
      <selection activeCell="M25" sqref="M25"/>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3.42578125" customWidth="1"/>
    <col min="14" max="14" width="12.28515625" customWidth="1"/>
    <col min="15" max="15" width="12.140625" customWidth="1"/>
    <col min="16" max="16" width="14.140625" customWidth="1"/>
    <col min="17" max="17" width="6.42578125" bestFit="1" customWidth="1"/>
  </cols>
  <sheetData>
    <row r="1" spans="1:18" s="315" customFormat="1" ht="17.25" thickTop="1" thickBot="1">
      <c r="A1" s="1194" t="s">
        <v>504</v>
      </c>
      <c r="B1" s="1195" t="s">
        <v>557</v>
      </c>
      <c r="C1" s="1196"/>
      <c r="D1" s="1196"/>
      <c r="E1" s="1196"/>
      <c r="F1" s="1196"/>
      <c r="G1" s="1196"/>
      <c r="H1" s="1196"/>
      <c r="I1" s="1196"/>
      <c r="J1" s="1196"/>
      <c r="K1" s="1196"/>
      <c r="L1" s="1196"/>
      <c r="M1" s="1196"/>
      <c r="N1" s="1196"/>
      <c r="O1" s="1196"/>
      <c r="P1" s="1196"/>
    </row>
    <row r="2" spans="1:18" s="315" customFormat="1" ht="15.75" thickTop="1">
      <c r="A2" s="1194"/>
      <c r="B2" s="1197" t="s">
        <v>20</v>
      </c>
      <c r="C2" s="1197" t="s">
        <v>195</v>
      </c>
      <c r="D2" s="1199" t="s">
        <v>196</v>
      </c>
      <c r="E2" s="1200"/>
      <c r="F2" s="1200"/>
      <c r="G2" s="1200"/>
      <c r="H2" s="1200"/>
      <c r="I2" s="1200"/>
      <c r="J2" s="1200"/>
      <c r="K2" s="1201"/>
      <c r="L2" s="1199" t="s">
        <v>197</v>
      </c>
      <c r="M2" s="1200"/>
      <c r="N2" s="1200"/>
      <c r="O2" s="1200"/>
      <c r="P2" s="1201"/>
    </row>
    <row r="3" spans="1:18" s="315" customFormat="1" ht="45">
      <c r="A3" s="1194"/>
      <c r="B3" s="1198"/>
      <c r="C3" s="1198"/>
      <c r="D3" s="360" t="s">
        <v>198</v>
      </c>
      <c r="E3" s="360" t="s">
        <v>199</v>
      </c>
      <c r="F3" s="360" t="s">
        <v>200</v>
      </c>
      <c r="G3" s="360" t="s">
        <v>201</v>
      </c>
      <c r="H3" s="360" t="s">
        <v>119</v>
      </c>
      <c r="I3" s="360" t="s">
        <v>202</v>
      </c>
      <c r="J3" s="360" t="s">
        <v>203</v>
      </c>
      <c r="K3" s="360" t="s">
        <v>204</v>
      </c>
      <c r="L3" s="360" t="s">
        <v>205</v>
      </c>
      <c r="M3" s="360" t="s">
        <v>206</v>
      </c>
      <c r="N3" s="360" t="s">
        <v>207</v>
      </c>
      <c r="O3" s="360" t="s">
        <v>208</v>
      </c>
      <c r="P3" s="360" t="s">
        <v>209</v>
      </c>
    </row>
    <row r="4" spans="1:18">
      <c r="C4" s="15"/>
    </row>
    <row r="5" spans="1:18" s="8" customFormat="1">
      <c r="A5" s="286" t="s">
        <v>328</v>
      </c>
      <c r="B5" s="428">
        <f>SUM(B6:B11)</f>
        <v>3.9483639153895045E-6</v>
      </c>
      <c r="C5" s="443" t="s">
        <v>210</v>
      </c>
      <c r="D5" s="428">
        <f>SUM(D6:D11)</f>
        <v>2.1416296815992418E-5</v>
      </c>
      <c r="E5" s="428">
        <f>SUM(E6:E11)</f>
        <v>2.1732529254006911E-3</v>
      </c>
      <c r="F5" s="441" t="s">
        <v>210</v>
      </c>
      <c r="G5" s="428">
        <f>SUM(G6:G11)</f>
        <v>0.42357172534804027</v>
      </c>
      <c r="H5" s="428">
        <f>SUM(H6:H11)</f>
        <v>7.3534309822093205E-2</v>
      </c>
      <c r="I5" s="443" t="s">
        <v>210</v>
      </c>
      <c r="J5" s="443" t="s">
        <v>210</v>
      </c>
      <c r="K5" s="443" t="s">
        <v>210</v>
      </c>
      <c r="L5" s="443" t="s">
        <v>210</v>
      </c>
      <c r="M5" s="428">
        <f>SUM(M6:M11)</f>
        <v>2.1631542541629335E-2</v>
      </c>
      <c r="N5" s="443" t="s">
        <v>210</v>
      </c>
      <c r="O5" s="443" t="s">
        <v>210</v>
      </c>
      <c r="P5" s="444" t="s">
        <v>210</v>
      </c>
    </row>
    <row r="6" spans="1:18">
      <c r="A6" s="263" t="s">
        <v>772</v>
      </c>
      <c r="B6" s="429">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3.1291516518639297E-6</v>
      </c>
      <c r="C6" s="429"/>
      <c r="D6" s="429">
        <f>vkm_GW_PW*SUMIFS(TableVerdeelsleutelVkm[CNG],TableVerdeelsleutelVkm[Voertuigtype],"Lichte voertuigen")*SUMIFS(TableECFTransport[EnergieConsumptieFactor (PJ per km)],TableECFTransport[Index],CONCATENATE($A6,"_CNG_CNG"))</f>
        <v>1.4842364981536902E-5</v>
      </c>
      <c r="E6" s="431">
        <f>vkm_GW_PW*SUMIFS(TableVerdeelsleutelVkm[LPG],TableVerdeelsleutelVkm[Voertuigtype],"Lichte voertuigen")*SUMIFS(TableECFTransport[EnergieConsumptieFactor (PJ per km)],TableECFTransport[Index],CONCATENATE($A6,"_LPG_LPG"))</f>
        <v>1.5358751605114959E-3</v>
      </c>
      <c r="F6" s="431"/>
      <c r="G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0.20803054793657694</v>
      </c>
      <c r="H6" s="429">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5.1797279192321931E-2</v>
      </c>
      <c r="I6" s="429"/>
      <c r="J6" s="429"/>
      <c r="K6" s="429"/>
      <c r="L6" s="429"/>
      <c r="M6" s="429">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1.1345758472164144E-2</v>
      </c>
      <c r="N6" s="429"/>
      <c r="O6" s="429"/>
      <c r="P6" s="430"/>
    </row>
    <row r="7" spans="1:18">
      <c r="A7" s="263" t="s">
        <v>774</v>
      </c>
      <c r="B7" s="429">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9"/>
      <c r="D7" s="431">
        <f>vkm_GW_ZV*SUMIFS(TableVerdeelsleutelVkm[CNG],TableVerdeelsleutelVkm[Voertuigtype],"Zware voertuigen")*SUMIFS(TableECFTransport[EnergieConsumptieFactor (PJ per km)],TableECFTransport[Index],CONCATENATE($A7,"_CNG_CNG"))</f>
        <v>0</v>
      </c>
      <c r="E7" s="431">
        <f>vkm_GW_ZV*SUMIFS(TableVerdeelsleutelVkm[LPG],TableVerdeelsleutelVkm[Voertuigtype],"Zware voertuigen")*SUMIFS(TableECFTransport[EnergieConsumptieFactor (PJ per km)],TableECFTransport[Index],CONCATENATE($A7,"_LPG_LPG"))</f>
        <v>0</v>
      </c>
      <c r="F7" s="431"/>
      <c r="G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0.11654991157807738</v>
      </c>
      <c r="H7" s="429">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3.2368608310713521E-6</v>
      </c>
      <c r="I7" s="429"/>
      <c r="J7" s="429"/>
      <c r="K7" s="429"/>
      <c r="L7" s="429"/>
      <c r="M7" s="429">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5.0210223972970494E-3</v>
      </c>
      <c r="N7" s="429"/>
      <c r="O7" s="429"/>
      <c r="P7" s="430"/>
    </row>
    <row r="8" spans="1:18">
      <c r="A8" s="263" t="s">
        <v>775</v>
      </c>
      <c r="B8" s="429">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8.1921226352557499E-7</v>
      </c>
      <c r="C8" s="429"/>
      <c r="D8" s="431">
        <f>vkm_NGW_PW*SUMIFS(TableVerdeelsleutelVkm[CNG],TableVerdeelsleutelVkm[Voertuigtype],"Lichte voertuigen")*SUMIFS(TableECFTransport[EnergieConsumptieFactor (PJ per km)],TableECFTransport[Index],CONCATENATE($A8,"_CNG_CNG"))</f>
        <v>6.5739318344555173E-6</v>
      </c>
      <c r="E8" s="431">
        <f>vkm_NGW_PW*SUMIFS(TableVerdeelsleutelVkm[LPG],TableVerdeelsleutelVkm[Voertuigtype],"Lichte voertuigen")*SUMIFS(TableECFTransport[EnergieConsumptieFactor (PJ per km)],TableECFTransport[Index],CONCATENATE($A8,"_LPG_LPG"))</f>
        <v>6.3737776488919512E-4</v>
      </c>
      <c r="F8" s="431"/>
      <c r="G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8.2746729114599696E-2</v>
      </c>
      <c r="H8" s="429">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2.1733250560973579E-2</v>
      </c>
      <c r="I8" s="429"/>
      <c r="J8" s="429"/>
      <c r="K8" s="429"/>
      <c r="L8" s="429"/>
      <c r="M8" s="429">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4.5649355168122909E-3</v>
      </c>
      <c r="N8" s="429"/>
      <c r="O8" s="429"/>
      <c r="P8" s="430"/>
    </row>
    <row r="9" spans="1:18">
      <c r="A9" s="263" t="s">
        <v>776</v>
      </c>
      <c r="B9" s="429">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9"/>
      <c r="D9" s="431">
        <f>vkm_NGW_ZV*SUMIFS(TableVerdeelsleutelVkm[CNG],TableVerdeelsleutelVkm[Voertuigtype],"Zware voertuigen")*SUMIFS(TableECFTransport[EnergieConsumptieFactor (PJ per km)],TableECFTransport[Index],CONCATENATE($A9,"_CNG_CNG"))</f>
        <v>0</v>
      </c>
      <c r="E9" s="431">
        <f>vkm_NGW_ZV*SUMIFS(TableVerdeelsleutelVkm[LPG],TableVerdeelsleutelVkm[Voertuigtype],"Zware voertuigen")*SUMIFS(TableECFTransport[EnergieConsumptieFactor (PJ per km)],TableECFTransport[Index],CONCATENATE($A9,"_LPG_LPG"))</f>
        <v>0</v>
      </c>
      <c r="F9" s="431"/>
      <c r="G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1.6244536718786281E-2</v>
      </c>
      <c r="H9" s="429">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5.4320796662121686E-7</v>
      </c>
      <c r="I9" s="429"/>
      <c r="J9" s="429"/>
      <c r="K9" s="429"/>
      <c r="L9" s="429"/>
      <c r="M9" s="429">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6.9982615535585076E-4</v>
      </c>
      <c r="N9" s="429"/>
      <c r="O9" s="429"/>
      <c r="P9" s="430"/>
    </row>
    <row r="10" spans="1:18">
      <c r="A10" s="263" t="s">
        <v>777</v>
      </c>
      <c r="B10" s="429">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9"/>
      <c r="D10" s="431">
        <f>vkm_SW_PW*SUMIFS(TableVerdeelsleutelVkm[CNG],TableVerdeelsleutelVkm[Voertuigtype],"Lichte voertuigen")*SUMIFS(TableECFTransport[EnergieConsumptieFactor (PJ per km)],TableECFTransport[Index],CONCATENATE($A10,"_CNG_CNG"))</f>
        <v>0</v>
      </c>
      <c r="E10" s="431">
        <f>vkm_SW_PW*SUMIFS(TableVerdeelsleutelVkm[LPG],TableVerdeelsleutelVkm[Voertuigtype],"Lichte voertuigen")*SUMIFS(TableECFTransport[EnergieConsumptieFactor (PJ per km)],TableECFTransport[Index],CONCATENATE($A10,"_LPG_LPG"))</f>
        <v>0</v>
      </c>
      <c r="F10" s="431"/>
      <c r="G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429">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9"/>
      <c r="J10" s="429"/>
      <c r="K10" s="429"/>
      <c r="L10" s="429"/>
      <c r="M10" s="429">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9"/>
      <c r="O10" s="429"/>
      <c r="P10" s="430"/>
    </row>
    <row r="11" spans="1:18">
      <c r="A11" s="4" t="s">
        <v>778</v>
      </c>
      <c r="B11" s="432">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32"/>
      <c r="D11" s="433">
        <f>vkm_SW_ZV*SUMIFS(TableVerdeelsleutelVkm[CNG],TableVerdeelsleutelVkm[Voertuigtype],"Zware voertuigen")*SUMIFS(TableECFTransport[EnergieConsumptieFactor (PJ per km)],TableECFTransport[Index],CONCATENATE($A11,"_CNG_CNG"))</f>
        <v>0</v>
      </c>
      <c r="E11" s="433">
        <f>vkm_SW_ZV*SUMIFS(TableVerdeelsleutelVkm[LPG],TableVerdeelsleutelVkm[Voertuigtype],"Zware voertuigen")*SUMIFS(TableECFTransport[EnergieConsumptieFactor (PJ per km)],TableECFTransport[Index],CONCATENATE($A11,"_LPG_LPG"))</f>
        <v>0</v>
      </c>
      <c r="F11" s="433"/>
      <c r="G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432">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32"/>
      <c r="J11" s="432"/>
      <c r="K11" s="432"/>
      <c r="L11" s="432"/>
      <c r="M11" s="432">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32"/>
      <c r="O11" s="432"/>
      <c r="P11" s="434"/>
    </row>
    <row r="12" spans="1:18">
      <c r="A12" s="330" t="s">
        <v>555</v>
      </c>
      <c r="B12" s="442">
        <f>('Eigen vloot'!B27)*(-1)</f>
        <v>0</v>
      </c>
      <c r="C12" s="442"/>
      <c r="D12" s="442">
        <f>('Eigen vloot'!D27)*(-1)</f>
        <v>0</v>
      </c>
      <c r="E12" s="442">
        <f>('Eigen vloot'!E27)*(-1)</f>
        <v>0</v>
      </c>
      <c r="F12" s="435"/>
      <c r="G12" s="442">
        <f>('Eigen vloot'!G27)*(-1)</f>
        <v>0</v>
      </c>
      <c r="H12" s="442">
        <f>'Eigen vloot'!H27*(-1)</f>
        <v>0</v>
      </c>
      <c r="I12" s="442"/>
      <c r="J12" s="442"/>
      <c r="K12" s="442"/>
      <c r="L12" s="442"/>
      <c r="M12" s="442">
        <f>('Eigen vloot'!M27)*(-1)</f>
        <v>0</v>
      </c>
      <c r="N12" s="442"/>
      <c r="O12" s="442"/>
      <c r="P12" s="445"/>
    </row>
    <row r="13" spans="1:18">
      <c r="B13" s="11"/>
      <c r="C13" s="55"/>
      <c r="D13" s="55"/>
      <c r="E13" s="55"/>
      <c r="F13" s="55"/>
      <c r="G13" s="11"/>
      <c r="H13" s="11"/>
      <c r="I13" s="10"/>
      <c r="J13" s="11"/>
      <c r="K13" s="11"/>
      <c r="L13" s="11"/>
      <c r="M13" s="11"/>
      <c r="N13" s="11"/>
      <c r="O13" s="11"/>
      <c r="P13" s="11"/>
    </row>
    <row r="14" spans="1:18" s="15" customFormat="1">
      <c r="A14" s="20" t="s">
        <v>337</v>
      </c>
      <c r="B14" s="21">
        <f>((B5)*10^9/3600)+B12</f>
        <v>1.0967677542748624</v>
      </c>
      <c r="C14" s="21"/>
      <c r="D14" s="21">
        <f t="shared" ref="D14:M14" si="0">((D5)*10^9/3600)+D12</f>
        <v>5.9489713377756717</v>
      </c>
      <c r="E14" s="21">
        <f t="shared" si="0"/>
        <v>603.68136816685865</v>
      </c>
      <c r="F14" s="21"/>
      <c r="G14" s="21">
        <f t="shared" si="0"/>
        <v>117658.81259667786</v>
      </c>
      <c r="H14" s="21">
        <f t="shared" si="0"/>
        <v>20426.197172803666</v>
      </c>
      <c r="I14" s="21"/>
      <c r="J14" s="21"/>
      <c r="K14" s="21"/>
      <c r="L14" s="21"/>
      <c r="M14" s="21">
        <f t="shared" si="0"/>
        <v>6008.7618171192598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0.21943332184370506</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0.24066739161159351</v>
      </c>
      <c r="C18" s="23"/>
      <c r="D18" s="23">
        <f t="shared" ref="D18:M18" si="1">D14*D16</f>
        <v>1.2016922102306857</v>
      </c>
      <c r="E18" s="23">
        <f t="shared" si="1"/>
        <v>137.03567057387693</v>
      </c>
      <c r="F18" s="23"/>
      <c r="G18" s="23">
        <f t="shared" si="1"/>
        <v>31414.90296331299</v>
      </c>
      <c r="H18" s="23">
        <f t="shared" si="1"/>
        <v>5086.1230960281127</v>
      </c>
      <c r="I18" s="23"/>
      <c r="J18" s="23"/>
      <c r="K18" s="23"/>
      <c r="L18" s="23"/>
      <c r="M18" s="23">
        <f t="shared" si="1"/>
        <v>0</v>
      </c>
      <c r="N18" s="23"/>
      <c r="O18" s="23"/>
      <c r="P18" s="23"/>
    </row>
    <row r="19" spans="1:18" s="15" customFormat="1">
      <c r="A19" s="42"/>
      <c r="B19" s="310"/>
      <c r="C19" s="54"/>
      <c r="D19" s="54"/>
      <c r="E19" s="54"/>
      <c r="F19" s="54"/>
      <c r="G19" s="54"/>
      <c r="H19" s="54"/>
      <c r="I19" s="54"/>
      <c r="J19" s="54"/>
      <c r="K19" s="54"/>
      <c r="L19" s="54"/>
      <c r="M19" s="54"/>
      <c r="N19" s="54"/>
      <c r="O19" s="54"/>
      <c r="P19" s="54"/>
      <c r="R19" s="32"/>
    </row>
    <row r="20" spans="1:18">
      <c r="A20" s="1"/>
      <c r="B20" s="1"/>
      <c r="E20" s="767"/>
    </row>
    <row r="21" spans="1:18">
      <c r="A21" s="890" t="s">
        <v>506</v>
      </c>
      <c r="B21" s="891"/>
      <c r="C21" s="892"/>
      <c r="D21" s="892"/>
      <c r="E21" s="892"/>
      <c r="F21" s="892"/>
      <c r="G21" s="892"/>
      <c r="H21" s="892"/>
      <c r="I21" s="892"/>
      <c r="J21" s="892"/>
      <c r="K21" s="892"/>
      <c r="L21" s="892"/>
      <c r="M21" s="892"/>
      <c r="N21" s="893"/>
    </row>
    <row r="22" spans="1:18">
      <c r="A22" s="261"/>
      <c r="B22" s="262"/>
      <c r="C22" s="43"/>
      <c r="D22" s="43"/>
      <c r="E22" s="43"/>
      <c r="F22" s="43"/>
      <c r="G22" s="43"/>
      <c r="H22" s="43"/>
      <c r="I22" s="43"/>
      <c r="J22" s="43"/>
      <c r="K22" s="43"/>
      <c r="L22" s="43"/>
      <c r="M22" s="43"/>
      <c r="N22" s="175"/>
    </row>
    <row r="23" spans="1:18">
      <c r="A23" s="268" t="s">
        <v>307</v>
      </c>
      <c r="B23" s="894" t="s">
        <v>308</v>
      </c>
      <c r="C23" s="894" t="s">
        <v>782</v>
      </c>
      <c r="D23" s="894" t="s">
        <v>783</v>
      </c>
      <c r="E23" s="894" t="s">
        <v>784</v>
      </c>
      <c r="F23" s="894" t="s">
        <v>729</v>
      </c>
      <c r="G23" s="894" t="s">
        <v>785</v>
      </c>
      <c r="H23" s="894" t="s">
        <v>786</v>
      </c>
      <c r="I23" s="894" t="s">
        <v>118</v>
      </c>
      <c r="J23" s="894" t="s">
        <v>787</v>
      </c>
      <c r="K23" s="894" t="s">
        <v>788</v>
      </c>
      <c r="L23" s="895" t="s">
        <v>789</v>
      </c>
      <c r="M23" s="129" t="s">
        <v>181</v>
      </c>
      <c r="N23" s="269" t="s">
        <v>315</v>
      </c>
    </row>
    <row r="24" spans="1:18" ht="17.45" customHeight="1">
      <c r="A24" s="32" t="s">
        <v>771</v>
      </c>
      <c r="B24" s="1039">
        <v>4.6591000000000002E-5</v>
      </c>
      <c r="C24" s="1039">
        <v>0.79553712099999996</v>
      </c>
      <c r="D24" s="1040"/>
      <c r="E24" s="1039"/>
      <c r="F24" s="1039"/>
      <c r="G24" s="1039">
        <v>2.96613E-5</v>
      </c>
      <c r="H24" s="1040"/>
      <c r="I24" s="1040">
        <v>5.4874269999999996E-3</v>
      </c>
      <c r="J24" s="1040">
        <v>0.197922402</v>
      </c>
      <c r="K24" s="1040">
        <v>1.0064589999999999E-3</v>
      </c>
      <c r="L24" s="1038"/>
      <c r="M24" s="1046" t="s">
        <v>950</v>
      </c>
      <c r="N24" s="271">
        <f>SUM(B24:K24)</f>
        <v>1.0000296613000001</v>
      </c>
    </row>
    <row r="25" spans="1:18">
      <c r="A25" s="32" t="s">
        <v>773</v>
      </c>
      <c r="B25" s="1040"/>
      <c r="C25" s="1039">
        <v>0.99995818599999997</v>
      </c>
      <c r="D25" s="1040"/>
      <c r="E25" s="1040"/>
      <c r="F25" s="1039"/>
      <c r="G25" s="1040"/>
      <c r="H25" s="1040"/>
      <c r="I25" s="1040"/>
      <c r="J25" s="1040">
        <v>4.1814000000000003E-5</v>
      </c>
      <c r="K25" s="1040"/>
      <c r="L25" s="1038"/>
      <c r="M25" s="1046" t="s">
        <v>950</v>
      </c>
      <c r="N25" s="271">
        <f>SUM(B25:K25)</f>
        <v>1</v>
      </c>
    </row>
    <row r="26" spans="1:18">
      <c r="A26" s="241"/>
      <c r="B26" s="181"/>
      <c r="C26" s="181"/>
      <c r="D26" s="181"/>
      <c r="E26" s="181"/>
      <c r="F26" s="181"/>
      <c r="G26" s="181"/>
      <c r="H26" s="181"/>
      <c r="I26" s="181"/>
      <c r="J26" s="181"/>
      <c r="K26" s="181"/>
      <c r="L26" s="179"/>
      <c r="M26" s="179"/>
      <c r="N26" s="177"/>
    </row>
    <row r="27" spans="1:18" s="43" customFormat="1"/>
    <row r="28" spans="1:18">
      <c r="A28" s="264" t="s">
        <v>507</v>
      </c>
      <c r="B28" s="265"/>
      <c r="C28" s="265"/>
      <c r="D28" s="265"/>
      <c r="E28" s="265"/>
      <c r="F28" s="265"/>
      <c r="G28" s="265"/>
      <c r="H28" s="265"/>
      <c r="I28" s="265"/>
      <c r="J28" s="265"/>
      <c r="K28" s="265"/>
      <c r="L28" s="266"/>
    </row>
    <row r="29" spans="1:18">
      <c r="A29" s="263"/>
      <c r="B29" s="267"/>
      <c r="C29" s="267"/>
      <c r="D29" s="267"/>
      <c r="E29" s="267"/>
      <c r="F29" s="43"/>
      <c r="G29" s="43"/>
      <c r="H29" s="43"/>
      <c r="I29" s="43"/>
      <c r="J29" s="43"/>
      <c r="K29" s="43"/>
      <c r="L29" s="175"/>
    </row>
    <row r="30" spans="1:18">
      <c r="A30" s="427" t="s">
        <v>201</v>
      </c>
      <c r="B30" s="275" t="s">
        <v>317</v>
      </c>
      <c r="C30" s="878">
        <v>2011</v>
      </c>
      <c r="D30" s="275" t="s">
        <v>318</v>
      </c>
      <c r="E30" s="244" t="s">
        <v>181</v>
      </c>
      <c r="F30" s="272"/>
      <c r="G30" s="244"/>
      <c r="H30" s="244"/>
      <c r="I30" s="244"/>
      <c r="J30" s="244"/>
      <c r="K30" s="244"/>
      <c r="L30" s="273"/>
    </row>
    <row r="31" spans="1:18">
      <c r="A31" s="276" t="s">
        <v>319</v>
      </c>
      <c r="B31" s="277"/>
      <c r="F31" s="53"/>
      <c r="G31" s="43"/>
      <c r="H31" s="43"/>
      <c r="I31" s="43"/>
      <c r="J31" s="43"/>
      <c r="K31" s="43"/>
      <c r="L31" s="175"/>
    </row>
    <row r="32" spans="1:18">
      <c r="A32" s="278" t="s">
        <v>320</v>
      </c>
      <c r="B32" s="279"/>
      <c r="F32" s="53"/>
      <c r="G32" s="43"/>
      <c r="H32" s="43"/>
      <c r="I32" s="43"/>
      <c r="J32" s="43"/>
      <c r="K32" s="43"/>
      <c r="L32" s="175"/>
    </row>
    <row r="33" spans="1:16">
      <c r="A33" s="278" t="s">
        <v>321</v>
      </c>
      <c r="B33" s="280"/>
      <c r="F33" s="53"/>
      <c r="G33" s="43"/>
      <c r="H33" s="43"/>
      <c r="I33" s="43"/>
      <c r="J33" s="43"/>
      <c r="K33" s="43"/>
      <c r="L33" s="175"/>
    </row>
    <row r="34" spans="1:16">
      <c r="A34" s="278" t="s">
        <v>322</v>
      </c>
      <c r="B34" s="280"/>
      <c r="F34" s="53"/>
      <c r="G34" s="43"/>
      <c r="H34" s="43"/>
      <c r="I34" s="43"/>
      <c r="J34" s="43"/>
      <c r="K34" s="43"/>
      <c r="L34" s="175"/>
    </row>
    <row r="35" spans="1:16">
      <c r="A35" s="278" t="s">
        <v>323</v>
      </c>
      <c r="B35" s="280"/>
      <c r="C35" s="282">
        <v>4.1300000000000003E-2</v>
      </c>
      <c r="D35" s="58"/>
      <c r="E35" s="1051" t="s">
        <v>952</v>
      </c>
      <c r="F35" s="53"/>
      <c r="G35" s="43"/>
      <c r="H35" s="43"/>
      <c r="I35" s="43"/>
      <c r="J35" s="43"/>
      <c r="K35" s="43"/>
      <c r="L35" s="175"/>
    </row>
    <row r="36" spans="1:16">
      <c r="A36" s="263"/>
      <c r="B36" s="43"/>
      <c r="C36" s="43"/>
      <c r="D36" s="43"/>
      <c r="E36" s="156"/>
      <c r="F36" s="53"/>
      <c r="G36" s="43"/>
      <c r="H36" s="43"/>
      <c r="I36" s="43"/>
      <c r="J36" s="43"/>
      <c r="K36" s="43"/>
      <c r="L36" s="175"/>
    </row>
    <row r="37" spans="1:16">
      <c r="A37" s="427" t="s">
        <v>119</v>
      </c>
      <c r="B37" s="275" t="s">
        <v>317</v>
      </c>
      <c r="C37" s="878">
        <v>2011</v>
      </c>
      <c r="D37" s="275" t="s">
        <v>318</v>
      </c>
      <c r="E37" s="889" t="s">
        <v>181</v>
      </c>
      <c r="F37" s="285"/>
      <c r="G37" s="268"/>
      <c r="H37" s="268"/>
      <c r="I37" s="268"/>
      <c r="J37" s="268"/>
      <c r="K37" s="268"/>
      <c r="L37" s="269"/>
    </row>
    <row r="38" spans="1:16">
      <c r="A38" s="278" t="s">
        <v>324</v>
      </c>
      <c r="B38" s="279"/>
      <c r="F38" s="281"/>
      <c r="G38" s="58"/>
      <c r="H38" s="58"/>
      <c r="I38" s="58"/>
      <c r="J38" s="58"/>
      <c r="K38" s="58"/>
      <c r="L38" s="283"/>
    </row>
    <row r="39" spans="1:16">
      <c r="A39" s="278" t="s">
        <v>325</v>
      </c>
      <c r="B39" s="279"/>
      <c r="F39" s="281"/>
      <c r="G39" s="58"/>
      <c r="H39" s="58"/>
      <c r="I39" s="58"/>
      <c r="J39" s="58"/>
      <c r="K39" s="58"/>
      <c r="L39" s="283"/>
    </row>
    <row r="40" spans="1:16">
      <c r="A40" s="278" t="s">
        <v>321</v>
      </c>
      <c r="B40" s="280"/>
      <c r="F40" s="58"/>
      <c r="G40" s="58"/>
      <c r="H40" s="58"/>
      <c r="I40" s="58"/>
      <c r="J40" s="58"/>
      <c r="K40" s="58"/>
      <c r="L40" s="283"/>
    </row>
    <row r="41" spans="1:16">
      <c r="A41" s="278" t="s">
        <v>326</v>
      </c>
      <c r="B41" s="280"/>
      <c r="F41" s="58"/>
      <c r="G41" s="58"/>
      <c r="H41" s="58"/>
      <c r="I41" s="58"/>
      <c r="J41" s="58"/>
      <c r="K41" s="58"/>
      <c r="L41" s="283"/>
    </row>
    <row r="42" spans="1:16">
      <c r="A42" s="278" t="s">
        <v>323</v>
      </c>
      <c r="B42" s="280"/>
      <c r="C42" s="282">
        <v>4.3999999999999997E-2</v>
      </c>
      <c r="D42" s="281"/>
      <c r="E42" t="str">
        <f>E35</f>
        <v>Data VMM maart 2020</v>
      </c>
      <c r="F42" s="58"/>
      <c r="G42" s="284"/>
      <c r="H42" s="58"/>
      <c r="I42" s="58"/>
      <c r="J42" s="58"/>
      <c r="K42" s="58"/>
      <c r="L42" s="283"/>
    </row>
    <row r="43" spans="1:16">
      <c r="A43" s="4"/>
      <c r="B43" s="179"/>
      <c r="C43" s="877"/>
      <c r="D43" s="179"/>
      <c r="E43" s="179"/>
      <c r="F43" s="179"/>
      <c r="G43" s="179"/>
      <c r="H43" s="179"/>
      <c r="I43" s="179"/>
      <c r="J43" s="179"/>
      <c r="K43" s="179"/>
      <c r="L43" s="177"/>
    </row>
    <row r="44" spans="1:16" s="43" customFormat="1"/>
    <row r="45" spans="1:16" s="43" customFormat="1" ht="15.75" thickBot="1">
      <c r="A45" s="179"/>
      <c r="B45" s="179"/>
      <c r="C45" s="179"/>
      <c r="D45" s="179"/>
      <c r="E45" s="179"/>
      <c r="F45" s="179"/>
      <c r="G45" s="179"/>
      <c r="H45" s="179"/>
      <c r="I45" s="179"/>
      <c r="J45" s="179"/>
      <c r="K45" s="179"/>
      <c r="L45" s="179"/>
    </row>
    <row r="46" spans="1:16" s="15" customFormat="1" ht="17.25" thickTop="1" thickBot="1">
      <c r="A46" s="1208" t="s">
        <v>505</v>
      </c>
      <c r="B46" s="1209" t="s">
        <v>556</v>
      </c>
      <c r="C46" s="1210"/>
      <c r="D46" s="1210"/>
      <c r="E46" s="1210"/>
      <c r="F46" s="1210"/>
      <c r="G46" s="1210"/>
      <c r="H46" s="1210"/>
      <c r="I46" s="1210"/>
      <c r="J46" s="1210"/>
      <c r="K46" s="1210"/>
      <c r="L46" s="1210"/>
      <c r="M46" s="1210"/>
      <c r="N46" s="1210"/>
      <c r="O46" s="1210"/>
      <c r="P46" s="1210"/>
    </row>
    <row r="47" spans="1:16" s="15" customFormat="1" ht="15.75" thickTop="1">
      <c r="A47" s="1208"/>
      <c r="B47" s="1211" t="s">
        <v>20</v>
      </c>
      <c r="C47" s="1211" t="s">
        <v>195</v>
      </c>
      <c r="D47" s="1213" t="s">
        <v>196</v>
      </c>
      <c r="E47" s="1214"/>
      <c r="F47" s="1214"/>
      <c r="G47" s="1214"/>
      <c r="H47" s="1214"/>
      <c r="I47" s="1214"/>
      <c r="J47" s="1214"/>
      <c r="K47" s="1215"/>
      <c r="L47" s="1213" t="s">
        <v>197</v>
      </c>
      <c r="M47" s="1214"/>
      <c r="N47" s="1214"/>
      <c r="O47" s="1214"/>
      <c r="P47" s="1215"/>
    </row>
    <row r="48" spans="1:16" s="15" customFormat="1" ht="45">
      <c r="A48" s="1208"/>
      <c r="B48" s="1212"/>
      <c r="C48" s="1212"/>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8" customFormat="1">
      <c r="A50" s="297" t="s">
        <v>331</v>
      </c>
      <c r="B50" s="320">
        <f>SUM(B51:B52)</f>
        <v>2.2155417023978397E-3</v>
      </c>
      <c r="C50" s="320">
        <f t="shared" ref="C50:P50" si="2">SUM(C51:C52)</f>
        <v>0</v>
      </c>
      <c r="D50" s="320">
        <f t="shared" si="2"/>
        <v>0</v>
      </c>
      <c r="E50" s="320">
        <f t="shared" si="2"/>
        <v>0</v>
      </c>
      <c r="F50" s="320">
        <f t="shared" si="2"/>
        <v>0</v>
      </c>
      <c r="G50" s="320">
        <f t="shared" si="2"/>
        <v>6.428732402973889E-3</v>
      </c>
      <c r="H50" s="320">
        <f t="shared" si="2"/>
        <v>0</v>
      </c>
      <c r="I50" s="320">
        <f t="shared" si="2"/>
        <v>0</v>
      </c>
      <c r="J50" s="320">
        <f t="shared" si="2"/>
        <v>0</v>
      </c>
      <c r="K50" s="320">
        <f t="shared" si="2"/>
        <v>0</v>
      </c>
      <c r="L50" s="320">
        <f t="shared" si="2"/>
        <v>0</v>
      </c>
      <c r="M50" s="320">
        <f t="shared" si="2"/>
        <v>2.7337333991703591E-4</v>
      </c>
      <c r="N50" s="320">
        <f t="shared" si="2"/>
        <v>0</v>
      </c>
      <c r="O50" s="320">
        <f t="shared" si="2"/>
        <v>0</v>
      </c>
      <c r="P50" s="321">
        <f t="shared" si="2"/>
        <v>0</v>
      </c>
    </row>
    <row r="51" spans="1:18">
      <c r="A51" s="263" t="s">
        <v>330</v>
      </c>
      <c r="B51" s="322"/>
      <c r="C51" s="323"/>
      <c r="D51" s="323"/>
      <c r="E51" s="323"/>
      <c r="F51" s="323"/>
      <c r="G51" s="322">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6.428732402973889E-3</v>
      </c>
      <c r="H51" s="322"/>
      <c r="I51" s="324"/>
      <c r="J51" s="322"/>
      <c r="K51" s="322"/>
      <c r="L51" s="322"/>
      <c r="M51" s="322">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2.7337333991703591E-4</v>
      </c>
      <c r="N51" s="322"/>
      <c r="O51" s="322"/>
      <c r="P51" s="325"/>
    </row>
    <row r="52" spans="1:18">
      <c r="A52" s="4" t="s">
        <v>329</v>
      </c>
      <c r="B52" s="326">
        <f>vkm_tram*SUMIFS(TableECFTransport[EnergieConsumptieFactor (PJ per km)],TableECFTransport[Index],"Tram_gemiddeld_Electric_Electric")</f>
        <v>2.2155417023978397E-3</v>
      </c>
      <c r="C52" s="327"/>
      <c r="D52" s="327"/>
      <c r="E52" s="327"/>
      <c r="F52" s="327"/>
      <c r="G52" s="326"/>
      <c r="H52" s="326"/>
      <c r="I52" s="328"/>
      <c r="J52" s="326"/>
      <c r="K52" s="326"/>
      <c r="L52" s="326"/>
      <c r="M52" s="326"/>
      <c r="N52" s="326"/>
      <c r="O52" s="326"/>
      <c r="P52" s="329"/>
    </row>
    <row r="53" spans="1:18">
      <c r="B53" s="11"/>
      <c r="C53" s="55"/>
      <c r="D53" s="55"/>
      <c r="E53" s="55"/>
      <c r="F53" s="55"/>
      <c r="G53" s="11"/>
      <c r="H53" s="11"/>
      <c r="I53" s="10"/>
      <c r="J53" s="11"/>
      <c r="K53" s="11"/>
      <c r="L53" s="11"/>
      <c r="M53" s="11"/>
      <c r="N53" s="11"/>
      <c r="O53" s="11"/>
      <c r="P53" s="11"/>
    </row>
    <row r="54" spans="1:18" s="15" customFormat="1">
      <c r="A54" s="20" t="s">
        <v>338</v>
      </c>
      <c r="B54" s="21">
        <f>(B50)*10^9/3600</f>
        <v>615.42825066606656</v>
      </c>
      <c r="C54" s="21">
        <f t="shared" ref="C54:P54" si="3">(C50)*10^9/3600</f>
        <v>0</v>
      </c>
      <c r="D54" s="21">
        <f t="shared" si="3"/>
        <v>0</v>
      </c>
      <c r="E54" s="21">
        <f t="shared" si="3"/>
        <v>0</v>
      </c>
      <c r="F54" s="21">
        <f t="shared" si="3"/>
        <v>0</v>
      </c>
      <c r="G54" s="21">
        <f t="shared" si="3"/>
        <v>1785.7590008260804</v>
      </c>
      <c r="H54" s="21">
        <f t="shared" si="3"/>
        <v>0</v>
      </c>
      <c r="I54" s="21">
        <f t="shared" si="3"/>
        <v>0</v>
      </c>
      <c r="J54" s="21">
        <f t="shared" si="3"/>
        <v>0</v>
      </c>
      <c r="K54" s="21">
        <f t="shared" si="3"/>
        <v>0</v>
      </c>
      <c r="L54" s="21">
        <f t="shared" si="3"/>
        <v>0</v>
      </c>
      <c r="M54" s="21">
        <f t="shared" si="3"/>
        <v>75.937038865843306</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0.21943332184370506</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135.04546540011538</v>
      </c>
      <c r="C58" s="23">
        <f t="shared" ref="C58:P58" ca="1" si="4">C54*C56</f>
        <v>0</v>
      </c>
      <c r="D58" s="23">
        <f t="shared" si="4"/>
        <v>0</v>
      </c>
      <c r="E58" s="23">
        <f t="shared" si="4"/>
        <v>0</v>
      </c>
      <c r="F58" s="23">
        <f t="shared" si="4"/>
        <v>0</v>
      </c>
      <c r="G58" s="23">
        <f t="shared" si="4"/>
        <v>476.79765322056352</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4" t="s">
        <v>570</v>
      </c>
      <c r="B61" s="265"/>
      <c r="C61" s="266"/>
    </row>
    <row r="62" spans="1:18" s="15" customFormat="1">
      <c r="A62" s="293"/>
      <c r="B62" s="289"/>
      <c r="C62" s="294"/>
    </row>
    <row r="63" spans="1:18">
      <c r="A63" s="295"/>
      <c r="B63" s="133"/>
      <c r="C63" s="296" t="s">
        <v>181</v>
      </c>
    </row>
    <row r="64" spans="1:18">
      <c r="A64" s="287" t="s">
        <v>201</v>
      </c>
      <c r="B64" s="290">
        <f>100%-B65</f>
        <v>0.98</v>
      </c>
      <c r="C64" s="175"/>
    </row>
    <row r="65" spans="1:12">
      <c r="A65" s="287" t="s">
        <v>332</v>
      </c>
      <c r="B65" s="299">
        <v>0.02</v>
      </c>
      <c r="C65" s="175" t="s">
        <v>648</v>
      </c>
    </row>
    <row r="66" spans="1:12" s="15" customFormat="1">
      <c r="A66" s="288"/>
      <c r="B66" s="270"/>
      <c r="C66" s="233"/>
    </row>
    <row r="67" spans="1:12">
      <c r="A67" s="291" t="s">
        <v>315</v>
      </c>
      <c r="B67" s="292">
        <f>SUM(B64:B65)</f>
        <v>1</v>
      </c>
      <c r="C67" s="177"/>
    </row>
    <row r="70" spans="1:12">
      <c r="A70" s="264" t="s">
        <v>507</v>
      </c>
      <c r="B70" s="265"/>
      <c r="C70" s="265"/>
      <c r="D70" s="265"/>
      <c r="E70" s="265"/>
      <c r="F70" s="265"/>
      <c r="G70" s="265"/>
      <c r="H70" s="265"/>
      <c r="I70" s="265"/>
      <c r="J70" s="265"/>
      <c r="K70" s="265"/>
      <c r="L70" s="266"/>
    </row>
    <row r="71" spans="1:12">
      <c r="A71" s="425" t="s">
        <v>571</v>
      </c>
    </row>
    <row r="72" spans="1:12">
      <c r="A72" s="263"/>
      <c r="B72" s="267"/>
      <c r="C72" s="267"/>
      <c r="D72" s="267"/>
      <c r="E72" s="267"/>
    </row>
    <row r="73" spans="1:12">
      <c r="A73" s="274"/>
      <c r="B73" s="275" t="s">
        <v>317</v>
      </c>
      <c r="C73" s="878">
        <v>2011</v>
      </c>
      <c r="D73" s="275" t="s">
        <v>318</v>
      </c>
      <c r="E73" s="244" t="s">
        <v>181</v>
      </c>
    </row>
    <row r="74" spans="1:12">
      <c r="A74" t="str">
        <f t="shared" ref="A74:A75" si="5">A31</f>
        <v>diesel</v>
      </c>
      <c r="B74" s="424"/>
    </row>
    <row r="75" spans="1:12">
      <c r="A75" t="str">
        <f t="shared" si="5"/>
        <v>biodiesel</v>
      </c>
      <c r="B75" s="424"/>
    </row>
    <row r="76" spans="1:12">
      <c r="A76" t="str">
        <f>A33</f>
        <v>vol% liter</v>
      </c>
      <c r="B76" s="424"/>
    </row>
    <row r="77" spans="1:12">
      <c r="A77" t="str">
        <f>A34</f>
        <v>gew% kg</v>
      </c>
      <c r="B77" s="424"/>
    </row>
    <row r="78" spans="1:12">
      <c r="A78" t="str">
        <f>A35</f>
        <v>J%</v>
      </c>
      <c r="B78" s="424"/>
      <c r="C78" s="426">
        <f>C35</f>
        <v>4.1300000000000003E-2</v>
      </c>
      <c r="D78" s="424"/>
      <c r="E78" t="str">
        <f>E35</f>
        <v>Data VMM maart 2020</v>
      </c>
    </row>
    <row r="79" spans="1:12">
      <c r="B79" s="424"/>
      <c r="C79" s="424"/>
      <c r="D79" s="424"/>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9" zoomScale="69" zoomScaleNormal="69" workbookViewId="0">
      <selection activeCell="R57" sqref="R57"/>
    </sheetView>
  </sheetViews>
  <sheetFormatPr defaultColWidth="9.140625" defaultRowHeight="14.25"/>
  <cols>
    <col min="1" max="1" width="67.85546875" style="451" customWidth="1"/>
    <col min="2" max="2" width="22.85546875" style="45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51"/>
  </cols>
  <sheetData>
    <row r="2" spans="1:19" ht="15.75">
      <c r="A2" s="1136" t="s">
        <v>220</v>
      </c>
      <c r="B2" s="1136"/>
      <c r="C2" s="1136"/>
      <c r="D2" s="59"/>
      <c r="E2" s="59"/>
      <c r="F2" s="59"/>
      <c r="G2" s="59"/>
      <c r="H2" s="60"/>
      <c r="I2" s="60"/>
      <c r="J2" s="61"/>
      <c r="K2" s="61"/>
      <c r="L2" s="60"/>
      <c r="M2" s="60"/>
      <c r="N2" s="60"/>
      <c r="O2" s="60"/>
      <c r="P2" s="60"/>
      <c r="Q2" s="60"/>
      <c r="R2" s="60"/>
    </row>
    <row r="3" spans="1:19">
      <c r="A3" s="1137"/>
      <c r="B3" s="1137"/>
      <c r="C3" s="1137"/>
      <c r="D3" s="1137"/>
      <c r="E3" s="1137"/>
      <c r="F3" s="1137"/>
      <c r="G3" s="1137"/>
      <c r="H3" s="1137"/>
      <c r="I3" s="1137"/>
      <c r="J3" s="1137"/>
      <c r="K3" s="1137"/>
      <c r="L3" s="1137"/>
      <c r="M3" s="1137"/>
      <c r="N3" s="1137"/>
      <c r="O3" s="1137"/>
      <c r="P3" s="1137"/>
      <c r="Q3" s="1137"/>
      <c r="R3" s="1137"/>
    </row>
    <row r="4" spans="1:19" ht="15.75" thickBot="1">
      <c r="A4" s="452"/>
      <c r="B4" s="452"/>
      <c r="C4" s="63"/>
      <c r="D4" s="63"/>
      <c r="E4" s="63"/>
      <c r="F4" s="63"/>
      <c r="G4" s="63"/>
      <c r="H4" s="63"/>
      <c r="I4" s="63"/>
      <c r="J4" s="63"/>
      <c r="K4" s="63"/>
      <c r="L4" s="63"/>
      <c r="M4" s="63"/>
      <c r="N4" s="63"/>
      <c r="O4" s="63"/>
      <c r="P4" s="63"/>
      <c r="Q4" s="63"/>
      <c r="R4" s="63"/>
    </row>
    <row r="5" spans="1:19" ht="16.5" thickBot="1">
      <c r="A5" s="1138" t="s">
        <v>221</v>
      </c>
      <c r="B5" s="790"/>
      <c r="C5" s="1141" t="s">
        <v>342</v>
      </c>
      <c r="D5" s="1142"/>
      <c r="E5" s="1142"/>
      <c r="F5" s="1142"/>
      <c r="G5" s="1142"/>
      <c r="H5" s="1142"/>
      <c r="I5" s="1142"/>
      <c r="J5" s="1142"/>
      <c r="K5" s="1142"/>
      <c r="L5" s="1142"/>
      <c r="M5" s="1142"/>
      <c r="N5" s="1142"/>
      <c r="O5" s="1142"/>
      <c r="P5" s="1142"/>
      <c r="Q5" s="1142"/>
      <c r="R5" s="1143"/>
    </row>
    <row r="6" spans="1:19" ht="16.5" thickTop="1">
      <c r="A6" s="1139"/>
      <c r="B6" s="791"/>
      <c r="C6" s="1144" t="s">
        <v>20</v>
      </c>
      <c r="D6" s="1146" t="s">
        <v>195</v>
      </c>
      <c r="E6" s="1148" t="s">
        <v>196</v>
      </c>
      <c r="F6" s="1149"/>
      <c r="G6" s="1149"/>
      <c r="H6" s="1149"/>
      <c r="I6" s="1149"/>
      <c r="J6" s="1149"/>
      <c r="K6" s="1149"/>
      <c r="L6" s="1150"/>
      <c r="M6" s="1148" t="s">
        <v>197</v>
      </c>
      <c r="N6" s="1149"/>
      <c r="O6" s="1149"/>
      <c r="P6" s="1149"/>
      <c r="Q6" s="1149"/>
      <c r="R6" s="1151" t="s">
        <v>115</v>
      </c>
    </row>
    <row r="7" spans="1:19" ht="45.75" thickBot="1">
      <c r="A7" s="1140"/>
      <c r="B7" s="792"/>
      <c r="C7" s="1145"/>
      <c r="D7" s="1147"/>
      <c r="E7" s="967" t="s">
        <v>198</v>
      </c>
      <c r="F7" s="967" t="s">
        <v>199</v>
      </c>
      <c r="G7" s="64" t="s">
        <v>200</v>
      </c>
      <c r="H7" s="967" t="s">
        <v>201</v>
      </c>
      <c r="I7" s="967" t="s">
        <v>119</v>
      </c>
      <c r="J7" s="967" t="s">
        <v>202</v>
      </c>
      <c r="K7" s="449" t="s">
        <v>203</v>
      </c>
      <c r="L7" s="449" t="s">
        <v>204</v>
      </c>
      <c r="M7" s="64" t="s">
        <v>205</v>
      </c>
      <c r="N7" s="65" t="s">
        <v>206</v>
      </c>
      <c r="O7" s="65" t="s">
        <v>207</v>
      </c>
      <c r="P7" s="65" t="s">
        <v>208</v>
      </c>
      <c r="Q7" s="66" t="s">
        <v>209</v>
      </c>
      <c r="R7" s="1152"/>
    </row>
    <row r="8" spans="1:19" ht="18.75" customHeight="1" thickTop="1">
      <c r="A8" s="798" t="s">
        <v>343</v>
      </c>
      <c r="B8" s="803"/>
      <c r="C8" s="1123"/>
      <c r="D8" s="1123"/>
      <c r="E8" s="1123"/>
      <c r="F8" s="1123"/>
      <c r="G8" s="1123"/>
      <c r="H8" s="1123"/>
      <c r="I8" s="1123"/>
      <c r="J8" s="1123"/>
      <c r="K8" s="1123"/>
      <c r="L8" s="1123"/>
      <c r="M8" s="1123"/>
      <c r="N8" s="1123"/>
      <c r="O8" s="1123"/>
      <c r="P8" s="1123"/>
      <c r="Q8" s="1123"/>
      <c r="R8" s="307"/>
    </row>
    <row r="9" spans="1:19" s="453" customFormat="1">
      <c r="A9" s="799" t="s">
        <v>222</v>
      </c>
      <c r="B9" s="804"/>
      <c r="C9" s="684">
        <f>'Eigen gebouwen'!B15</f>
        <v>0</v>
      </c>
      <c r="D9" s="684">
        <f>'Eigen gebouwen'!C15</f>
        <v>0</v>
      </c>
      <c r="E9" s="684">
        <f>'Eigen gebouwen'!D15</f>
        <v>0</v>
      </c>
      <c r="F9" s="684">
        <f>'Eigen gebouwen'!E15</f>
        <v>0</v>
      </c>
      <c r="G9" s="684">
        <f>'Eigen gebouwen'!F15</f>
        <v>0</v>
      </c>
      <c r="H9" s="684">
        <f>'Eigen gebouwen'!G15</f>
        <v>0</v>
      </c>
      <c r="I9" s="684">
        <f>'Eigen gebouwen'!H15</f>
        <v>0</v>
      </c>
      <c r="J9" s="684">
        <f>'Eigen gebouwen'!I15</f>
        <v>0</v>
      </c>
      <c r="K9" s="684">
        <f>'Eigen gebouwen'!J15</f>
        <v>0</v>
      </c>
      <c r="L9" s="684">
        <f>'Eigen gebouwen'!K15</f>
        <v>0</v>
      </c>
      <c r="M9" s="684">
        <f>'Eigen gebouwen'!L15</f>
        <v>0</v>
      </c>
      <c r="N9" s="684">
        <f>'Eigen gebouwen'!M15</f>
        <v>0</v>
      </c>
      <c r="O9" s="684">
        <f>'Eigen gebouwen'!N15</f>
        <v>0</v>
      </c>
      <c r="P9" s="684">
        <f>'Eigen gebouwen'!O15</f>
        <v>0</v>
      </c>
      <c r="Q9" s="685">
        <f>'Eigen gebouwen'!P15</f>
        <v>0</v>
      </c>
      <c r="R9" s="686">
        <f>SUM(C9:Q9)</f>
        <v>0</v>
      </c>
      <c r="S9" s="67"/>
    </row>
    <row r="10" spans="1:19" s="453" customFormat="1">
      <c r="A10" s="800" t="s">
        <v>223</v>
      </c>
      <c r="B10" s="805"/>
      <c r="C10" s="684">
        <f ca="1">tertiair!B16+'openbare verlichting'!B8</f>
        <v>99109.800348806981</v>
      </c>
      <c r="D10" s="684">
        <f ca="1">tertiair!C16</f>
        <v>0</v>
      </c>
      <c r="E10" s="684">
        <f ca="1">tertiair!D16</f>
        <v>109707.02827415845</v>
      </c>
      <c r="F10" s="684">
        <f>tertiair!E16</f>
        <v>2430.158132764826</v>
      </c>
      <c r="G10" s="684">
        <f ca="1">tertiair!F16</f>
        <v>16558.389325863129</v>
      </c>
      <c r="H10" s="684">
        <f>tertiair!G16</f>
        <v>0</v>
      </c>
      <c r="I10" s="684">
        <f>tertiair!H16</f>
        <v>0</v>
      </c>
      <c r="J10" s="684">
        <f>tertiair!I16</f>
        <v>0</v>
      </c>
      <c r="K10" s="684">
        <f>tertiair!J16</f>
        <v>0</v>
      </c>
      <c r="L10" s="684">
        <f>tertiair!K16</f>
        <v>0</v>
      </c>
      <c r="M10" s="684">
        <f ca="1">tertiair!L16</f>
        <v>0</v>
      </c>
      <c r="N10" s="684">
        <f>tertiair!M16</f>
        <v>0</v>
      </c>
      <c r="O10" s="684">
        <f ca="1">tertiair!N16</f>
        <v>1926.2147116337987</v>
      </c>
      <c r="P10" s="684">
        <f>tertiair!O16</f>
        <v>0</v>
      </c>
      <c r="Q10" s="685">
        <f>tertiair!P16</f>
        <v>76.266666666666666</v>
      </c>
      <c r="R10" s="687">
        <f ca="1">SUM(C10:Q10)</f>
        <v>229807.85745989386</v>
      </c>
      <c r="S10" s="67"/>
    </row>
    <row r="11" spans="1:19" s="453" customFormat="1">
      <c r="A11" s="799" t="s">
        <v>224</v>
      </c>
      <c r="B11" s="804"/>
      <c r="C11" s="684">
        <f>huishoudens!B8</f>
        <v>84981.27750863877</v>
      </c>
      <c r="D11" s="684">
        <f>huishoudens!C8</f>
        <v>0</v>
      </c>
      <c r="E11" s="684">
        <f>huishoudens!D8</f>
        <v>235912.32841610559</v>
      </c>
      <c r="F11" s="684">
        <f>huishoudens!E8</f>
        <v>0</v>
      </c>
      <c r="G11" s="684">
        <f>huishoudens!F8</f>
        <v>0</v>
      </c>
      <c r="H11" s="684">
        <f>huishoudens!G8</f>
        <v>0</v>
      </c>
      <c r="I11" s="684">
        <f>huishoudens!H8</f>
        <v>0</v>
      </c>
      <c r="J11" s="684">
        <f>huishoudens!I8</f>
        <v>0</v>
      </c>
      <c r="K11" s="684">
        <f>huishoudens!J8</f>
        <v>0</v>
      </c>
      <c r="L11" s="684">
        <f>huishoudens!K8</f>
        <v>0</v>
      </c>
      <c r="M11" s="684">
        <f>huishoudens!L8</f>
        <v>0</v>
      </c>
      <c r="N11" s="684">
        <f>huishoudens!M8</f>
        <v>0</v>
      </c>
      <c r="O11" s="684">
        <f>huishoudens!N8</f>
        <v>0</v>
      </c>
      <c r="P11" s="684">
        <f>huishoudens!O8</f>
        <v>60.970000000000006</v>
      </c>
      <c r="Q11" s="685">
        <f>huishoudens!P8</f>
        <v>95.333333333333343</v>
      </c>
      <c r="R11" s="687">
        <f>SUM(C11:Q11)</f>
        <v>321049.90925807768</v>
      </c>
      <c r="S11" s="67"/>
    </row>
    <row r="12" spans="1:19" s="453" customFormat="1">
      <c r="A12" s="799" t="s">
        <v>508</v>
      </c>
      <c r="B12" s="804"/>
      <c r="C12" s="684">
        <f>'Eigen openbare verlichting'!B15</f>
        <v>0</v>
      </c>
      <c r="D12" s="684"/>
      <c r="E12" s="684"/>
      <c r="F12" s="684"/>
      <c r="G12" s="684"/>
      <c r="H12" s="684"/>
      <c r="I12" s="684"/>
      <c r="J12" s="684"/>
      <c r="K12" s="684"/>
      <c r="L12" s="684"/>
      <c r="M12" s="684"/>
      <c r="N12" s="684"/>
      <c r="O12" s="684"/>
      <c r="P12" s="684"/>
      <c r="Q12" s="684"/>
      <c r="R12" s="687">
        <f>SUM(C12:Q12)</f>
        <v>0</v>
      </c>
      <c r="S12" s="67"/>
    </row>
    <row r="13" spans="1:19" s="453" customFormat="1">
      <c r="A13" s="799" t="s">
        <v>657</v>
      </c>
      <c r="B13" s="808" t="s">
        <v>655</v>
      </c>
      <c r="C13" s="684">
        <f>industrie!B18</f>
        <v>10383.916079709645</v>
      </c>
      <c r="D13" s="684">
        <f>industrie!C18</f>
        <v>0</v>
      </c>
      <c r="E13" s="684">
        <f>industrie!D18</f>
        <v>8912.7201833188901</v>
      </c>
      <c r="F13" s="684">
        <f>industrie!E18</f>
        <v>125.17033393056559</v>
      </c>
      <c r="G13" s="684">
        <f>industrie!F18</f>
        <v>4293.0490877010561</v>
      </c>
      <c r="H13" s="684">
        <f>industrie!G18</f>
        <v>0</v>
      </c>
      <c r="I13" s="684">
        <f>industrie!H18</f>
        <v>0</v>
      </c>
      <c r="J13" s="684">
        <f>industrie!I18</f>
        <v>0</v>
      </c>
      <c r="K13" s="684">
        <f>industrie!J18</f>
        <v>37.793029549045166</v>
      </c>
      <c r="L13" s="684">
        <f>industrie!K18</f>
        <v>0</v>
      </c>
      <c r="M13" s="684">
        <f>industrie!L18</f>
        <v>0</v>
      </c>
      <c r="N13" s="684">
        <f>industrie!M18</f>
        <v>0</v>
      </c>
      <c r="O13" s="684">
        <f>industrie!N18</f>
        <v>400.81518453063927</v>
      </c>
      <c r="P13" s="684">
        <f>industrie!O18</f>
        <v>0</v>
      </c>
      <c r="Q13" s="685">
        <f>industrie!P18</f>
        <v>0</v>
      </c>
      <c r="R13" s="687">
        <f>SUM(C13:Q13)</f>
        <v>24153.463898739839</v>
      </c>
      <c r="S13" s="67"/>
    </row>
    <row r="14" spans="1:19" s="453" customFormat="1">
      <c r="A14" s="799"/>
      <c r="B14" s="808" t="s">
        <v>656</v>
      </c>
      <c r="C14" s="684"/>
      <c r="D14" s="684"/>
      <c r="E14" s="684"/>
      <c r="F14" s="684"/>
      <c r="G14" s="684"/>
      <c r="H14" s="684"/>
      <c r="I14" s="684"/>
      <c r="J14" s="684"/>
      <c r="K14" s="684"/>
      <c r="L14" s="684"/>
      <c r="M14" s="684"/>
      <c r="N14" s="684"/>
      <c r="O14" s="684"/>
      <c r="P14" s="684"/>
      <c r="Q14" s="684"/>
      <c r="R14" s="687"/>
      <c r="S14" s="67"/>
    </row>
    <row r="15" spans="1:19" s="453" customFormat="1" ht="15" thickBot="1">
      <c r="A15" s="977" t="s">
        <v>910</v>
      </c>
      <c r="B15" s="978"/>
      <c r="C15" s="979"/>
      <c r="D15" s="979"/>
      <c r="E15" s="979"/>
      <c r="F15" s="979"/>
      <c r="G15" s="979"/>
      <c r="H15" s="979"/>
      <c r="I15" s="979"/>
      <c r="J15" s="979"/>
      <c r="K15" s="979"/>
      <c r="L15" s="979"/>
      <c r="M15" s="979"/>
      <c r="N15" s="979"/>
      <c r="O15" s="979"/>
      <c r="P15" s="979"/>
      <c r="Q15" s="980"/>
      <c r="R15" s="686"/>
      <c r="S15" s="67"/>
    </row>
    <row r="16" spans="1:19" s="453" customFormat="1" ht="15.75" thickBot="1">
      <c r="A16" s="688" t="s">
        <v>225</v>
      </c>
      <c r="B16" s="806"/>
      <c r="C16" s="717">
        <f ca="1">SUM(C9:C15)</f>
        <v>194474.99393715541</v>
      </c>
      <c r="D16" s="717">
        <f t="shared" ref="D16:R16" ca="1" si="0">SUM(D9:D15)</f>
        <v>0</v>
      </c>
      <c r="E16" s="717">
        <f t="shared" ca="1" si="0"/>
        <v>354532.07687358296</v>
      </c>
      <c r="F16" s="717">
        <f t="shared" si="0"/>
        <v>2555.3284666953914</v>
      </c>
      <c r="G16" s="717">
        <f t="shared" ca="1" si="0"/>
        <v>20851.438413564185</v>
      </c>
      <c r="H16" s="717">
        <f t="shared" si="0"/>
        <v>0</v>
      </c>
      <c r="I16" s="717">
        <f t="shared" si="0"/>
        <v>0</v>
      </c>
      <c r="J16" s="717">
        <f t="shared" si="0"/>
        <v>0</v>
      </c>
      <c r="K16" s="717">
        <f t="shared" si="0"/>
        <v>37.793029549045166</v>
      </c>
      <c r="L16" s="717">
        <f t="shared" si="0"/>
        <v>0</v>
      </c>
      <c r="M16" s="717">
        <f t="shared" ca="1" si="0"/>
        <v>0</v>
      </c>
      <c r="N16" s="717">
        <f t="shared" si="0"/>
        <v>0</v>
      </c>
      <c r="O16" s="717">
        <f t="shared" ca="1" si="0"/>
        <v>2327.029896164438</v>
      </c>
      <c r="P16" s="717">
        <f t="shared" si="0"/>
        <v>60.970000000000006</v>
      </c>
      <c r="Q16" s="717">
        <f t="shared" si="0"/>
        <v>171.60000000000002</v>
      </c>
      <c r="R16" s="717">
        <f t="shared" ca="1" si="0"/>
        <v>575011.23061671143</v>
      </c>
      <c r="S16" s="67"/>
    </row>
    <row r="17" spans="1:19" s="453" customFormat="1" ht="15.75">
      <c r="A17" s="801" t="s">
        <v>226</v>
      </c>
      <c r="B17" s="721"/>
      <c r="C17" s="1124"/>
      <c r="D17" s="1124"/>
      <c r="E17" s="1124"/>
      <c r="F17" s="1124"/>
      <c r="G17" s="1124"/>
      <c r="H17" s="1124"/>
      <c r="I17" s="1124"/>
      <c r="J17" s="1124"/>
      <c r="K17" s="1124"/>
      <c r="L17" s="1124"/>
      <c r="M17" s="1124"/>
      <c r="N17" s="1124"/>
      <c r="O17" s="1124"/>
      <c r="P17" s="1124"/>
      <c r="Q17" s="1124"/>
      <c r="R17" s="689"/>
      <c r="S17" s="67"/>
    </row>
    <row r="18" spans="1:19" s="453" customFormat="1">
      <c r="A18" s="799" t="s">
        <v>227</v>
      </c>
      <c r="B18" s="804"/>
      <c r="C18" s="684">
        <f>'Eigen vloot'!B27</f>
        <v>0</v>
      </c>
      <c r="D18" s="684">
        <f>'Eigen vloot'!C27</f>
        <v>0</v>
      </c>
      <c r="E18" s="684">
        <f>'Eigen vloot'!D27</f>
        <v>0</v>
      </c>
      <c r="F18" s="684">
        <f>'Eigen vloot'!E27</f>
        <v>0</v>
      </c>
      <c r="G18" s="684">
        <f>'Eigen vloot'!F27</f>
        <v>0</v>
      </c>
      <c r="H18" s="684">
        <f>'Eigen vloot'!G27</f>
        <v>0</v>
      </c>
      <c r="I18" s="684">
        <f>'Eigen vloot'!H27</f>
        <v>0</v>
      </c>
      <c r="J18" s="684">
        <f>'Eigen vloot'!I27</f>
        <v>0</v>
      </c>
      <c r="K18" s="684">
        <f>'Eigen vloot'!J27</f>
        <v>0</v>
      </c>
      <c r="L18" s="684">
        <f>'Eigen vloot'!K27</f>
        <v>0</v>
      </c>
      <c r="M18" s="684">
        <f>'Eigen vloot'!L27</f>
        <v>0</v>
      </c>
      <c r="N18" s="684">
        <f>'Eigen vloot'!M27</f>
        <v>0</v>
      </c>
      <c r="O18" s="684">
        <f>'Eigen vloot'!N27</f>
        <v>0</v>
      </c>
      <c r="P18" s="684">
        <f>'Eigen vloot'!O27</f>
        <v>0</v>
      </c>
      <c r="Q18" s="685">
        <f>'Eigen vloot'!P27</f>
        <v>0</v>
      </c>
      <c r="R18" s="687">
        <f>SUM(C18:Q18)</f>
        <v>0</v>
      </c>
      <c r="S18" s="67"/>
    </row>
    <row r="19" spans="1:19" s="453" customFormat="1">
      <c r="A19" s="799" t="s">
        <v>228</v>
      </c>
      <c r="B19" s="804"/>
      <c r="C19" s="684">
        <f>transport!B54</f>
        <v>615.42825066606656</v>
      </c>
      <c r="D19" s="684">
        <f>transport!C54</f>
        <v>0</v>
      </c>
      <c r="E19" s="684">
        <f>transport!D54</f>
        <v>0</v>
      </c>
      <c r="F19" s="684">
        <f>transport!E54</f>
        <v>0</v>
      </c>
      <c r="G19" s="684">
        <f>transport!F54</f>
        <v>0</v>
      </c>
      <c r="H19" s="684">
        <f>transport!G54</f>
        <v>1785.7590008260804</v>
      </c>
      <c r="I19" s="684">
        <f>transport!H54</f>
        <v>0</v>
      </c>
      <c r="J19" s="684">
        <f>transport!I54</f>
        <v>0</v>
      </c>
      <c r="K19" s="684">
        <f>transport!J54</f>
        <v>0</v>
      </c>
      <c r="L19" s="684">
        <f>transport!K54</f>
        <v>0</v>
      </c>
      <c r="M19" s="684">
        <f>transport!L54</f>
        <v>0</v>
      </c>
      <c r="N19" s="684">
        <f>transport!M54</f>
        <v>75.937038865843306</v>
      </c>
      <c r="O19" s="684">
        <f>transport!N54</f>
        <v>0</v>
      </c>
      <c r="P19" s="684">
        <f>transport!O54</f>
        <v>0</v>
      </c>
      <c r="Q19" s="685">
        <f>transport!P54</f>
        <v>0</v>
      </c>
      <c r="R19" s="687">
        <f>SUM(C19:Q19)</f>
        <v>2477.1242903579905</v>
      </c>
      <c r="S19" s="67"/>
    </row>
    <row r="20" spans="1:19" s="453" customFormat="1">
      <c r="A20" s="799" t="s">
        <v>306</v>
      </c>
      <c r="B20" s="804"/>
      <c r="C20" s="684">
        <f>transport!B14</f>
        <v>1.0967677542748624</v>
      </c>
      <c r="D20" s="684">
        <f>transport!C14</f>
        <v>0</v>
      </c>
      <c r="E20" s="684">
        <f>transport!D14</f>
        <v>5.9489713377756717</v>
      </c>
      <c r="F20" s="684">
        <f>transport!E14</f>
        <v>603.68136816685865</v>
      </c>
      <c r="G20" s="684">
        <f>transport!F14</f>
        <v>0</v>
      </c>
      <c r="H20" s="684">
        <f>transport!G14</f>
        <v>117658.81259667786</v>
      </c>
      <c r="I20" s="684">
        <f>transport!H14</f>
        <v>20426.197172803666</v>
      </c>
      <c r="J20" s="684">
        <f>transport!I14</f>
        <v>0</v>
      </c>
      <c r="K20" s="684">
        <f>transport!J14</f>
        <v>0</v>
      </c>
      <c r="L20" s="684">
        <f>transport!K14</f>
        <v>0</v>
      </c>
      <c r="M20" s="684">
        <f>transport!L14</f>
        <v>0</v>
      </c>
      <c r="N20" s="684">
        <f>transport!M14</f>
        <v>6008.7618171192598</v>
      </c>
      <c r="O20" s="684">
        <f>transport!N14</f>
        <v>0</v>
      </c>
      <c r="P20" s="684">
        <f>transport!O14</f>
        <v>0</v>
      </c>
      <c r="Q20" s="685">
        <f>transport!P14</f>
        <v>0</v>
      </c>
      <c r="R20" s="687">
        <f>SUM(C20:Q20)</f>
        <v>144704.4986938597</v>
      </c>
      <c r="S20" s="67"/>
    </row>
    <row r="21" spans="1:19" s="453" customFormat="1" ht="15" thickBot="1">
      <c r="A21" s="821" t="s">
        <v>911</v>
      </c>
      <c r="B21" s="978"/>
      <c r="C21" s="979"/>
      <c r="D21" s="979"/>
      <c r="E21" s="979"/>
      <c r="F21" s="979"/>
      <c r="G21" s="979"/>
      <c r="H21" s="979"/>
      <c r="I21" s="979"/>
      <c r="J21" s="979"/>
      <c r="K21" s="979"/>
      <c r="L21" s="979"/>
      <c r="M21" s="979"/>
      <c r="N21" s="979"/>
      <c r="O21" s="979"/>
      <c r="P21" s="979"/>
      <c r="Q21" s="980"/>
      <c r="R21" s="686"/>
      <c r="S21" s="67"/>
    </row>
    <row r="22" spans="1:19" s="453" customFormat="1" ht="15.75" thickBot="1">
      <c r="A22" s="690" t="s">
        <v>229</v>
      </c>
      <c r="B22" s="807"/>
      <c r="C22" s="802">
        <f>SUM(C18:C21)</f>
        <v>616.52501842034144</v>
      </c>
      <c r="D22" s="802">
        <f t="shared" ref="D22:R22" si="1">SUM(D18:D21)</f>
        <v>0</v>
      </c>
      <c r="E22" s="802">
        <f t="shared" si="1"/>
        <v>5.9489713377756717</v>
      </c>
      <c r="F22" s="802">
        <f t="shared" si="1"/>
        <v>603.68136816685865</v>
      </c>
      <c r="G22" s="802">
        <f t="shared" si="1"/>
        <v>0</v>
      </c>
      <c r="H22" s="802">
        <f t="shared" si="1"/>
        <v>119444.57159750393</v>
      </c>
      <c r="I22" s="802">
        <f t="shared" si="1"/>
        <v>20426.197172803666</v>
      </c>
      <c r="J22" s="802">
        <f t="shared" si="1"/>
        <v>0</v>
      </c>
      <c r="K22" s="802">
        <f t="shared" si="1"/>
        <v>0</v>
      </c>
      <c r="L22" s="802">
        <f t="shared" si="1"/>
        <v>0</v>
      </c>
      <c r="M22" s="802">
        <f t="shared" si="1"/>
        <v>0</v>
      </c>
      <c r="N22" s="802">
        <f t="shared" si="1"/>
        <v>6084.6988559851034</v>
      </c>
      <c r="O22" s="802">
        <f t="shared" si="1"/>
        <v>0</v>
      </c>
      <c r="P22" s="802">
        <f t="shared" si="1"/>
        <v>0</v>
      </c>
      <c r="Q22" s="802">
        <f t="shared" si="1"/>
        <v>0</v>
      </c>
      <c r="R22" s="802">
        <f t="shared" si="1"/>
        <v>147181.62298421768</v>
      </c>
      <c r="S22" s="67"/>
    </row>
    <row r="23" spans="1:19" s="453" customFormat="1" ht="15.75">
      <c r="A23" s="801" t="s">
        <v>236</v>
      </c>
      <c r="B23" s="721"/>
      <c r="C23" s="1124"/>
      <c r="D23" s="1124"/>
      <c r="E23" s="1124"/>
      <c r="F23" s="1124"/>
      <c r="G23" s="1124"/>
      <c r="H23" s="1124"/>
      <c r="I23" s="1124"/>
      <c r="J23" s="1124"/>
      <c r="K23" s="1124"/>
      <c r="L23" s="1124"/>
      <c r="M23" s="1124"/>
      <c r="N23" s="1124"/>
      <c r="O23" s="1124"/>
      <c r="P23" s="1124"/>
      <c r="Q23" s="1124"/>
      <c r="R23" s="689"/>
      <c r="S23" s="67"/>
    </row>
    <row r="24" spans="1:19" s="453" customFormat="1">
      <c r="A24" s="799" t="s">
        <v>650</v>
      </c>
      <c r="B24" s="804"/>
      <c r="C24" s="684">
        <f>+landbouw!B8</f>
        <v>1733.8370693909042</v>
      </c>
      <c r="D24" s="684">
        <f>+landbouw!C8</f>
        <v>0</v>
      </c>
      <c r="E24" s="684">
        <f>+landbouw!D8</f>
        <v>574.61385008190439</v>
      </c>
      <c r="F24" s="684">
        <f>+landbouw!E8</f>
        <v>18.157117151079966</v>
      </c>
      <c r="G24" s="684">
        <f>+landbouw!F8</f>
        <v>7422.1400933695877</v>
      </c>
      <c r="H24" s="684">
        <f>+landbouw!G8</f>
        <v>0</v>
      </c>
      <c r="I24" s="684">
        <f>+landbouw!H8</f>
        <v>0</v>
      </c>
      <c r="J24" s="684">
        <f>+landbouw!I8</f>
        <v>0</v>
      </c>
      <c r="K24" s="684">
        <f>+landbouw!J8</f>
        <v>154.84719094337888</v>
      </c>
      <c r="L24" s="684">
        <f>+landbouw!K8</f>
        <v>0</v>
      </c>
      <c r="M24" s="684">
        <f>+landbouw!L8</f>
        <v>0</v>
      </c>
      <c r="N24" s="684">
        <f>+landbouw!M8</f>
        <v>0</v>
      </c>
      <c r="O24" s="684">
        <f>+landbouw!N8</f>
        <v>0</v>
      </c>
      <c r="P24" s="684">
        <f>+landbouw!O8</f>
        <v>0</v>
      </c>
      <c r="Q24" s="685">
        <f>+landbouw!P8</f>
        <v>0</v>
      </c>
      <c r="R24" s="687">
        <f>SUM(C24:Q24)</f>
        <v>9903.5953209368563</v>
      </c>
      <c r="S24" s="67"/>
    </row>
    <row r="25" spans="1:19" s="453" customFormat="1" ht="15" thickBot="1">
      <c r="A25" s="821" t="s">
        <v>912</v>
      </c>
      <c r="B25" s="978"/>
      <c r="C25" s="979">
        <f>IF(Onbekend_ele_kWh="---",0,Onbekend_ele_kWh)/1000+IF(REST_rest_ele_kWh="---",0,REST_rest_ele_kWh)/1000</f>
        <v>8140.4150153035798</v>
      </c>
      <c r="D25" s="979"/>
      <c r="E25" s="979">
        <f>IF(onbekend_gas_kWh="---",0,onbekend_gas_kWh)/1000+IF(REST_rest_gas_kWh="---",0,REST_rest_gas_kWh)/1000</f>
        <v>14817.5488534664</v>
      </c>
      <c r="F25" s="979"/>
      <c r="G25" s="979"/>
      <c r="H25" s="979"/>
      <c r="I25" s="979"/>
      <c r="J25" s="979"/>
      <c r="K25" s="979"/>
      <c r="L25" s="979"/>
      <c r="M25" s="979"/>
      <c r="N25" s="979"/>
      <c r="O25" s="979"/>
      <c r="P25" s="979"/>
      <c r="Q25" s="980"/>
      <c r="R25" s="687">
        <f>SUM(C25:Q25)</f>
        <v>22957.963868769981</v>
      </c>
      <c r="S25" s="67"/>
    </row>
    <row r="26" spans="1:19" s="453" customFormat="1" ht="15.75" thickBot="1">
      <c r="A26" s="690" t="s">
        <v>913</v>
      </c>
      <c r="B26" s="807"/>
      <c r="C26" s="802">
        <f>SUM(C24:C25)</f>
        <v>9874.2520846944844</v>
      </c>
      <c r="D26" s="802">
        <f t="shared" ref="D26:R26" si="2">SUM(D24:D25)</f>
        <v>0</v>
      </c>
      <c r="E26" s="802">
        <f t="shared" si="2"/>
        <v>15392.162703548305</v>
      </c>
      <c r="F26" s="802">
        <f t="shared" si="2"/>
        <v>18.157117151079966</v>
      </c>
      <c r="G26" s="802">
        <f t="shared" si="2"/>
        <v>7422.1400933695877</v>
      </c>
      <c r="H26" s="802">
        <f t="shared" si="2"/>
        <v>0</v>
      </c>
      <c r="I26" s="802">
        <f t="shared" si="2"/>
        <v>0</v>
      </c>
      <c r="J26" s="802">
        <f t="shared" si="2"/>
        <v>0</v>
      </c>
      <c r="K26" s="802">
        <f t="shared" si="2"/>
        <v>154.84719094337888</v>
      </c>
      <c r="L26" s="802">
        <f t="shared" si="2"/>
        <v>0</v>
      </c>
      <c r="M26" s="802">
        <f t="shared" si="2"/>
        <v>0</v>
      </c>
      <c r="N26" s="802">
        <f t="shared" si="2"/>
        <v>0</v>
      </c>
      <c r="O26" s="802">
        <f t="shared" si="2"/>
        <v>0</v>
      </c>
      <c r="P26" s="802">
        <f t="shared" si="2"/>
        <v>0</v>
      </c>
      <c r="Q26" s="802">
        <f t="shared" si="2"/>
        <v>0</v>
      </c>
      <c r="R26" s="802">
        <f t="shared" si="2"/>
        <v>32861.559189706837</v>
      </c>
      <c r="S26" s="67"/>
    </row>
    <row r="27" spans="1:19" s="453" customFormat="1" ht="17.25" thickTop="1" thickBot="1">
      <c r="A27" s="691" t="s">
        <v>115</v>
      </c>
      <c r="B27" s="794"/>
      <c r="C27" s="692">
        <f ca="1">C22+C16+C26</f>
        <v>204965.77104027022</v>
      </c>
      <c r="D27" s="692">
        <f t="shared" ref="D27:R27" ca="1" si="3">D22+D16+D26</f>
        <v>0</v>
      </c>
      <c r="E27" s="692">
        <f t="shared" ca="1" si="3"/>
        <v>369930.18854846904</v>
      </c>
      <c r="F27" s="692">
        <f t="shared" si="3"/>
        <v>3177.16695201333</v>
      </c>
      <c r="G27" s="692">
        <f t="shared" ca="1" si="3"/>
        <v>28273.578506933773</v>
      </c>
      <c r="H27" s="692">
        <f t="shared" si="3"/>
        <v>119444.57159750393</v>
      </c>
      <c r="I27" s="692">
        <f t="shared" si="3"/>
        <v>20426.197172803666</v>
      </c>
      <c r="J27" s="692">
        <f t="shared" si="3"/>
        <v>0</v>
      </c>
      <c r="K27" s="692">
        <f t="shared" si="3"/>
        <v>192.64022049242405</v>
      </c>
      <c r="L27" s="692">
        <f t="shared" si="3"/>
        <v>0</v>
      </c>
      <c r="M27" s="692">
        <f t="shared" ca="1" si="3"/>
        <v>0</v>
      </c>
      <c r="N27" s="692">
        <f t="shared" si="3"/>
        <v>6084.6988559851034</v>
      </c>
      <c r="O27" s="692">
        <f t="shared" ca="1" si="3"/>
        <v>2327.029896164438</v>
      </c>
      <c r="P27" s="692">
        <f t="shared" si="3"/>
        <v>60.970000000000006</v>
      </c>
      <c r="Q27" s="692">
        <f t="shared" si="3"/>
        <v>171.60000000000002</v>
      </c>
      <c r="R27" s="692">
        <f t="shared" ca="1" si="3"/>
        <v>755054.41279063595</v>
      </c>
      <c r="S27" s="67"/>
    </row>
    <row r="28" spans="1:19" ht="15.75" customHeight="1" thickBot="1">
      <c r="A28" s="693"/>
      <c r="B28" s="693"/>
      <c r="C28" s="694"/>
      <c r="D28" s="694"/>
      <c r="E28" s="694"/>
      <c r="F28" s="694"/>
      <c r="G28" s="694"/>
      <c r="H28" s="694"/>
      <c r="I28" s="694"/>
      <c r="J28" s="694"/>
      <c r="K28" s="694"/>
      <c r="L28" s="694"/>
      <c r="M28" s="694"/>
      <c r="N28" s="694"/>
      <c r="O28" s="694"/>
      <c r="P28" s="694"/>
      <c r="Q28" s="694"/>
      <c r="R28" s="694"/>
    </row>
    <row r="29" spans="1:19" ht="41.25" customHeight="1" thickTop="1" thickBot="1">
      <c r="A29" s="695" t="s">
        <v>344</v>
      </c>
      <c r="B29" s="695"/>
      <c r="C29" s="696">
        <f>'EF ele_warmte'!B5</f>
        <v>0</v>
      </c>
      <c r="D29" s="697"/>
      <c r="E29" s="698"/>
      <c r="F29" s="697"/>
      <c r="G29" s="697"/>
      <c r="H29" s="697"/>
      <c r="I29" s="697"/>
      <c r="J29" s="697"/>
      <c r="K29" s="697"/>
      <c r="L29" s="697"/>
      <c r="M29" s="697"/>
      <c r="N29" s="697"/>
      <c r="O29" s="697"/>
      <c r="P29" s="697"/>
      <c r="Q29" s="697"/>
      <c r="R29" s="697"/>
    </row>
    <row r="30" spans="1:19" ht="31.5" thickTop="1" thickBot="1">
      <c r="A30" s="699" t="s">
        <v>345</v>
      </c>
      <c r="B30" s="699"/>
      <c r="C30" s="700" t="s">
        <v>210</v>
      </c>
      <c r="D30" s="701"/>
      <c r="E30" s="701"/>
      <c r="F30" s="701"/>
      <c r="G30" s="701"/>
      <c r="H30" s="702"/>
      <c r="I30" s="703"/>
      <c r="J30" s="703"/>
      <c r="K30" s="703"/>
      <c r="L30" s="703"/>
      <c r="M30" s="703"/>
      <c r="N30" s="703"/>
      <c r="O30" s="703"/>
      <c r="P30" s="703"/>
      <c r="Q30" s="703"/>
      <c r="R30" s="703"/>
    </row>
    <row r="31" spans="1:19" ht="15" thickTop="1">
      <c r="A31" s="1125"/>
      <c r="B31" s="1125"/>
      <c r="C31" s="1125"/>
      <c r="D31" s="704"/>
      <c r="E31" s="703"/>
      <c r="F31" s="703"/>
      <c r="G31" s="703"/>
      <c r="H31" s="703"/>
      <c r="I31" s="703"/>
      <c r="J31" s="703"/>
      <c r="K31" s="703"/>
      <c r="L31" s="703"/>
      <c r="M31" s="703"/>
      <c r="N31" s="703"/>
      <c r="O31" s="703"/>
      <c r="P31" s="703"/>
      <c r="Q31" s="703"/>
      <c r="R31" s="703"/>
    </row>
    <row r="32" spans="1:19" ht="15.75">
      <c r="A32" s="705" t="s">
        <v>230</v>
      </c>
      <c r="B32" s="705"/>
      <c r="C32" s="704"/>
      <c r="D32" s="704"/>
      <c r="E32" s="703"/>
      <c r="F32" s="703"/>
      <c r="G32" s="703"/>
      <c r="H32" s="703"/>
      <c r="I32" s="703"/>
      <c r="J32" s="703"/>
      <c r="K32" s="703"/>
      <c r="L32" s="703"/>
      <c r="M32" s="703"/>
      <c r="N32" s="703"/>
      <c r="O32" s="703"/>
      <c r="P32" s="703"/>
      <c r="Q32" s="703"/>
      <c r="R32" s="703"/>
    </row>
    <row r="33" spans="1:18">
      <c r="A33" s="1088"/>
      <c r="B33" s="1088"/>
      <c r="C33" s="1088"/>
      <c r="D33" s="1088"/>
      <c r="E33" s="1088"/>
      <c r="F33" s="1088"/>
      <c r="G33" s="1088"/>
      <c r="H33" s="1088"/>
      <c r="I33" s="1088"/>
      <c r="J33" s="1088"/>
      <c r="K33" s="1088"/>
      <c r="L33" s="1088"/>
      <c r="M33" s="1088"/>
      <c r="N33" s="1088"/>
      <c r="O33" s="1088"/>
      <c r="P33" s="1088"/>
      <c r="Q33" s="1088"/>
      <c r="R33" s="1088"/>
    </row>
    <row r="34" spans="1:18" ht="15.75" thickBot="1">
      <c r="A34" s="706"/>
      <c r="B34" s="706"/>
      <c r="C34" s="707"/>
      <c r="D34" s="707"/>
      <c r="E34" s="707"/>
      <c r="F34" s="707"/>
      <c r="G34" s="707"/>
      <c r="H34" s="707"/>
      <c r="I34" s="707"/>
      <c r="J34" s="707"/>
      <c r="K34" s="707"/>
      <c r="L34" s="707"/>
      <c r="M34" s="707"/>
      <c r="N34" s="707"/>
      <c r="O34" s="707"/>
      <c r="P34" s="707"/>
      <c r="Q34" s="707"/>
      <c r="R34" s="707"/>
    </row>
    <row r="35" spans="1:18" ht="17.25" thickTop="1" thickBot="1">
      <c r="A35" s="1126"/>
      <c r="B35" s="809"/>
      <c r="C35" s="1128" t="s">
        <v>346</v>
      </c>
      <c r="D35" s="1129"/>
      <c r="E35" s="1129"/>
      <c r="F35" s="1129"/>
      <c r="G35" s="1129"/>
      <c r="H35" s="1129"/>
      <c r="I35" s="1129"/>
      <c r="J35" s="1129"/>
      <c r="K35" s="1129"/>
      <c r="L35" s="1129"/>
      <c r="M35" s="1129"/>
      <c r="N35" s="1129"/>
      <c r="O35" s="1129"/>
      <c r="P35" s="1129"/>
      <c r="Q35" s="1129"/>
      <c r="R35" s="1130"/>
    </row>
    <row r="36" spans="1:18" ht="16.5" thickTop="1">
      <c r="A36" s="1127"/>
      <c r="B36" s="810"/>
      <c r="C36" s="1131" t="s">
        <v>20</v>
      </c>
      <c r="D36" s="1074" t="s">
        <v>231</v>
      </c>
      <c r="E36" s="1133" t="s">
        <v>196</v>
      </c>
      <c r="F36" s="1134"/>
      <c r="G36" s="1134"/>
      <c r="H36" s="1134"/>
      <c r="I36" s="1134"/>
      <c r="J36" s="1134"/>
      <c r="K36" s="1134"/>
      <c r="L36" s="1135"/>
      <c r="M36" s="1133" t="s">
        <v>197</v>
      </c>
      <c r="N36" s="1134"/>
      <c r="O36" s="1134"/>
      <c r="P36" s="1134"/>
      <c r="Q36" s="1134"/>
      <c r="R36" s="1089" t="s">
        <v>115</v>
      </c>
    </row>
    <row r="37" spans="1:18" ht="45.75" thickBot="1">
      <c r="A37" s="1127"/>
      <c r="B37" s="810"/>
      <c r="C37" s="1132"/>
      <c r="D37" s="1077"/>
      <c r="E37" s="708" t="s">
        <v>198</v>
      </c>
      <c r="F37" s="708" t="s">
        <v>199</v>
      </c>
      <c r="G37" s="708" t="s">
        <v>200</v>
      </c>
      <c r="H37" s="708" t="s">
        <v>201</v>
      </c>
      <c r="I37" s="708" t="s">
        <v>119</v>
      </c>
      <c r="J37" s="708" t="s">
        <v>202</v>
      </c>
      <c r="K37" s="709" t="s">
        <v>232</v>
      </c>
      <c r="L37" s="709" t="s">
        <v>204</v>
      </c>
      <c r="M37" s="64" t="s">
        <v>205</v>
      </c>
      <c r="N37" s="65" t="s">
        <v>206</v>
      </c>
      <c r="O37" s="708" t="s">
        <v>233</v>
      </c>
      <c r="P37" s="708" t="s">
        <v>234</v>
      </c>
      <c r="Q37" s="709" t="s">
        <v>209</v>
      </c>
      <c r="R37" s="1091"/>
    </row>
    <row r="38" spans="1:18" ht="17.25" thickTop="1" thickBot="1">
      <c r="A38" s="822" t="s">
        <v>343</v>
      </c>
      <c r="B38" s="823"/>
      <c r="C38" s="710" t="s">
        <v>235</v>
      </c>
      <c r="D38" s="711"/>
      <c r="E38" s="712"/>
      <c r="F38" s="712"/>
      <c r="G38" s="712"/>
      <c r="H38" s="712"/>
      <c r="I38" s="712"/>
      <c r="J38" s="712"/>
      <c r="K38" s="712"/>
      <c r="L38" s="712"/>
      <c r="M38" s="981"/>
      <c r="N38" s="981"/>
      <c r="O38" s="712"/>
      <c r="P38" s="981"/>
      <c r="Q38" s="713"/>
      <c r="R38" s="714"/>
    </row>
    <row r="39" spans="1:18" ht="15" thickTop="1">
      <c r="A39" s="795" t="s">
        <v>222</v>
      </c>
      <c r="B39" s="819"/>
      <c r="C39" s="684">
        <f ca="1">'Eigen gebouwen'!B19</f>
        <v>0</v>
      </c>
      <c r="D39" s="684">
        <f ca="1">'Eigen gebouwen'!C19</f>
        <v>0</v>
      </c>
      <c r="E39" s="684">
        <f>'Eigen gebouwen'!D19</f>
        <v>0</v>
      </c>
      <c r="F39" s="684">
        <f>'Eigen gebouwen'!E19</f>
        <v>0</v>
      </c>
      <c r="G39" s="684">
        <f>'Eigen gebouwen'!F19</f>
        <v>0</v>
      </c>
      <c r="H39" s="684">
        <f>'Eigen gebouwen'!G19</f>
        <v>0</v>
      </c>
      <c r="I39" s="684">
        <f>'Eigen gebouwen'!H19</f>
        <v>0</v>
      </c>
      <c r="J39" s="684">
        <f>'Eigen gebouwen'!I19</f>
        <v>0</v>
      </c>
      <c r="K39" s="684">
        <f>'Eigen gebouwen'!J19</f>
        <v>0</v>
      </c>
      <c r="L39" s="684">
        <f>'Eigen gebouwen'!K19</f>
        <v>0</v>
      </c>
      <c r="M39" s="684">
        <f>'Eigen gebouwen'!L19</f>
        <v>0</v>
      </c>
      <c r="N39" s="684">
        <f>'Eigen gebouwen'!M19</f>
        <v>0</v>
      </c>
      <c r="O39" s="684">
        <f>'Eigen gebouwen'!N19</f>
        <v>0</v>
      </c>
      <c r="P39" s="684">
        <f>'Eigen gebouwen'!O19</f>
        <v>0</v>
      </c>
      <c r="Q39" s="759">
        <f>'Eigen gebouwen'!P19</f>
        <v>0</v>
      </c>
      <c r="R39" s="982">
        <f t="shared" ref="R39:R44" ca="1" si="4">SUM(C39:Q39)</f>
        <v>0</v>
      </c>
    </row>
    <row r="40" spans="1:18">
      <c r="A40" s="800" t="s">
        <v>223</v>
      </c>
      <c r="B40" s="820"/>
      <c r="C40" s="684">
        <f ca="1">tertiair!B20+'openbare verlichting'!B12</f>
        <v>21747.992717805115</v>
      </c>
      <c r="D40" s="684">
        <f ca="1">tertiair!C20</f>
        <v>0</v>
      </c>
      <c r="E40" s="684">
        <f ca="1">tertiair!D20</f>
        <v>22160.819711380009</v>
      </c>
      <c r="F40" s="684">
        <f>tertiair!E20</f>
        <v>551.64589613761552</v>
      </c>
      <c r="G40" s="684">
        <f ca="1">tertiair!F20</f>
        <v>4421.0899500054556</v>
      </c>
      <c r="H40" s="684">
        <f>tertiair!G20</f>
        <v>0</v>
      </c>
      <c r="I40" s="684">
        <f>tertiair!H20</f>
        <v>0</v>
      </c>
      <c r="J40" s="684">
        <f>tertiair!I20</f>
        <v>0</v>
      </c>
      <c r="K40" s="684">
        <f>tertiair!J20</f>
        <v>0</v>
      </c>
      <c r="L40" s="684">
        <f>tertiair!K20</f>
        <v>0</v>
      </c>
      <c r="M40" s="684">
        <f ca="1">tertiair!L20</f>
        <v>0</v>
      </c>
      <c r="N40" s="684">
        <f>tertiair!M20</f>
        <v>0</v>
      </c>
      <c r="O40" s="684">
        <f ca="1">tertiair!N20</f>
        <v>0</v>
      </c>
      <c r="P40" s="684">
        <f>tertiair!O20</f>
        <v>0</v>
      </c>
      <c r="Q40" s="759">
        <f>tertiair!P20</f>
        <v>0</v>
      </c>
      <c r="R40" s="840">
        <f t="shared" ca="1" si="4"/>
        <v>48881.548275328198</v>
      </c>
    </row>
    <row r="41" spans="1:18">
      <c r="A41" s="812" t="s">
        <v>224</v>
      </c>
      <c r="B41" s="819"/>
      <c r="C41" s="684">
        <f ca="1">huishoudens!B12</f>
        <v>18647.724018242345</v>
      </c>
      <c r="D41" s="684">
        <f ca="1">huishoudens!C12</f>
        <v>0</v>
      </c>
      <c r="E41" s="684">
        <f>huishoudens!D12</f>
        <v>47654.290340053332</v>
      </c>
      <c r="F41" s="684">
        <f>huishoudens!E12</f>
        <v>0</v>
      </c>
      <c r="G41" s="684">
        <f>huishoudens!F12</f>
        <v>0</v>
      </c>
      <c r="H41" s="684">
        <f>huishoudens!G12</f>
        <v>0</v>
      </c>
      <c r="I41" s="684">
        <f>huishoudens!H12</f>
        <v>0</v>
      </c>
      <c r="J41" s="684">
        <f>huishoudens!I12</f>
        <v>0</v>
      </c>
      <c r="K41" s="684">
        <f>huishoudens!J12</f>
        <v>0</v>
      </c>
      <c r="L41" s="684">
        <f>huishoudens!K12</f>
        <v>0</v>
      </c>
      <c r="M41" s="684">
        <f>huishoudens!L12</f>
        <v>0</v>
      </c>
      <c r="N41" s="684">
        <f>huishoudens!M12</f>
        <v>0</v>
      </c>
      <c r="O41" s="684">
        <f>huishoudens!N12</f>
        <v>0</v>
      </c>
      <c r="P41" s="684">
        <f>huishoudens!O12</f>
        <v>0</v>
      </c>
      <c r="Q41" s="759">
        <f>huishoudens!P12</f>
        <v>0</v>
      </c>
      <c r="R41" s="840">
        <f t="shared" ca="1" si="4"/>
        <v>66302.014358295681</v>
      </c>
    </row>
    <row r="42" spans="1:18">
      <c r="A42" s="812" t="s">
        <v>508</v>
      </c>
      <c r="B42" s="819"/>
      <c r="C42" s="684">
        <f ca="1">'Eigen openbare verlichting'!B19</f>
        <v>0</v>
      </c>
      <c r="D42" s="684"/>
      <c r="E42" s="684"/>
      <c r="F42" s="684"/>
      <c r="G42" s="684"/>
      <c r="H42" s="684"/>
      <c r="I42" s="684"/>
      <c r="J42" s="684"/>
      <c r="K42" s="684"/>
      <c r="L42" s="684"/>
      <c r="M42" s="684"/>
      <c r="N42" s="684"/>
      <c r="O42" s="684"/>
      <c r="P42" s="684"/>
      <c r="Q42" s="759"/>
      <c r="R42" s="840">
        <f t="shared" ca="1" si="4"/>
        <v>0</v>
      </c>
    </row>
    <row r="43" spans="1:18">
      <c r="A43" s="812" t="s">
        <v>658</v>
      </c>
      <c r="B43" s="827" t="s">
        <v>655</v>
      </c>
      <c r="C43" s="684">
        <f ca="1">industrie!B22</f>
        <v>2278.5771991169509</v>
      </c>
      <c r="D43" s="684">
        <f ca="1">industrie!C22</f>
        <v>0</v>
      </c>
      <c r="E43" s="684">
        <f>industrie!D22</f>
        <v>1800.369477030416</v>
      </c>
      <c r="F43" s="684">
        <f>industrie!E22</f>
        <v>28.413665802238391</v>
      </c>
      <c r="G43" s="684">
        <f>industrie!F22</f>
        <v>1146.2441064161821</v>
      </c>
      <c r="H43" s="684">
        <f>industrie!G22</f>
        <v>0</v>
      </c>
      <c r="I43" s="684">
        <f>industrie!H22</f>
        <v>0</v>
      </c>
      <c r="J43" s="684">
        <f>industrie!I22</f>
        <v>0</v>
      </c>
      <c r="K43" s="684">
        <f>industrie!J22</f>
        <v>13.378732460361988</v>
      </c>
      <c r="L43" s="684">
        <f>industrie!K22</f>
        <v>0</v>
      </c>
      <c r="M43" s="684">
        <f>industrie!L22</f>
        <v>0</v>
      </c>
      <c r="N43" s="684">
        <f>industrie!M22</f>
        <v>0</v>
      </c>
      <c r="O43" s="684">
        <f>industrie!N22</f>
        <v>0</v>
      </c>
      <c r="P43" s="684">
        <f>industrie!O22</f>
        <v>0</v>
      </c>
      <c r="Q43" s="759">
        <f>industrie!P22</f>
        <v>0</v>
      </c>
      <c r="R43" s="839">
        <f t="shared" ca="1" si="4"/>
        <v>5266.9831808261488</v>
      </c>
    </row>
    <row r="44" spans="1:18">
      <c r="A44" s="812"/>
      <c r="B44" s="819" t="s">
        <v>656</v>
      </c>
      <c r="C44" s="684"/>
      <c r="D44" s="684"/>
      <c r="E44" s="684"/>
      <c r="F44" s="684"/>
      <c r="G44" s="684"/>
      <c r="H44" s="684"/>
      <c r="I44" s="684"/>
      <c r="J44" s="684"/>
      <c r="K44" s="684"/>
      <c r="L44" s="684"/>
      <c r="M44" s="684"/>
      <c r="N44" s="684"/>
      <c r="O44" s="684"/>
      <c r="P44" s="684"/>
      <c r="Q44" s="759"/>
      <c r="R44" s="840">
        <f t="shared" si="4"/>
        <v>0</v>
      </c>
    </row>
    <row r="45" spans="1:18" ht="15" thickBot="1">
      <c r="A45" s="977" t="s">
        <v>910</v>
      </c>
      <c r="B45" s="983"/>
      <c r="C45" s="979"/>
      <c r="D45" s="979"/>
      <c r="E45" s="979"/>
      <c r="F45" s="979"/>
      <c r="G45" s="979"/>
      <c r="H45" s="979"/>
      <c r="I45" s="979"/>
      <c r="J45" s="979"/>
      <c r="K45" s="979"/>
      <c r="L45" s="979"/>
      <c r="M45" s="979"/>
      <c r="N45" s="979"/>
      <c r="O45" s="979"/>
      <c r="P45" s="979"/>
      <c r="Q45" s="980"/>
      <c r="R45" s="984"/>
    </row>
    <row r="46" spans="1:18" ht="15.75" thickBot="1">
      <c r="A46" s="813" t="s">
        <v>225</v>
      </c>
      <c r="B46" s="826"/>
      <c r="C46" s="717">
        <f ca="1">SUM(C39:C45)</f>
        <v>42674.293935164409</v>
      </c>
      <c r="D46" s="717">
        <f t="shared" ref="D46:Q46" ca="1" si="5">SUM(D39:D45)</f>
        <v>0</v>
      </c>
      <c r="E46" s="717">
        <f t="shared" ca="1" si="5"/>
        <v>71615.479528463751</v>
      </c>
      <c r="F46" s="717">
        <f t="shared" si="5"/>
        <v>580.05956193985389</v>
      </c>
      <c r="G46" s="717">
        <f t="shared" ca="1" si="5"/>
        <v>5567.3340564216378</v>
      </c>
      <c r="H46" s="717">
        <f t="shared" si="5"/>
        <v>0</v>
      </c>
      <c r="I46" s="717">
        <f t="shared" si="5"/>
        <v>0</v>
      </c>
      <c r="J46" s="717">
        <f t="shared" si="5"/>
        <v>0</v>
      </c>
      <c r="K46" s="717">
        <f t="shared" si="5"/>
        <v>13.378732460361988</v>
      </c>
      <c r="L46" s="717">
        <f t="shared" si="5"/>
        <v>0</v>
      </c>
      <c r="M46" s="717">
        <f t="shared" ca="1" si="5"/>
        <v>0</v>
      </c>
      <c r="N46" s="717">
        <f t="shared" si="5"/>
        <v>0</v>
      </c>
      <c r="O46" s="717">
        <f t="shared" ca="1" si="5"/>
        <v>0</v>
      </c>
      <c r="P46" s="717">
        <f t="shared" si="5"/>
        <v>0</v>
      </c>
      <c r="Q46" s="717">
        <f t="shared" si="5"/>
        <v>0</v>
      </c>
      <c r="R46" s="717">
        <f ca="1">SUM(R39:R45)</f>
        <v>120450.54581445003</v>
      </c>
    </row>
    <row r="47" spans="1:18" ht="15.75">
      <c r="A47" s="814" t="s">
        <v>226</v>
      </c>
      <c r="B47" s="824"/>
      <c r="C47" s="710"/>
      <c r="D47" s="711"/>
      <c r="E47" s="711"/>
      <c r="F47" s="711"/>
      <c r="G47" s="711"/>
      <c r="H47" s="711"/>
      <c r="I47" s="711"/>
      <c r="J47" s="711"/>
      <c r="K47" s="711"/>
      <c r="L47" s="711"/>
      <c r="M47" s="720"/>
      <c r="N47" s="720"/>
      <c r="O47" s="711"/>
      <c r="P47" s="720"/>
      <c r="Q47" s="720"/>
      <c r="R47" s="714"/>
    </row>
    <row r="48" spans="1:18">
      <c r="A48" s="812" t="s">
        <v>227</v>
      </c>
      <c r="B48" s="819"/>
      <c r="C48" s="684">
        <f ca="1">'Eigen vloot'!B31</f>
        <v>0</v>
      </c>
      <c r="D48" s="684">
        <f>'Eigen vloot'!C31</f>
        <v>0</v>
      </c>
      <c r="E48" s="684">
        <f>'Eigen vloot'!D31</f>
        <v>0</v>
      </c>
      <c r="F48" s="684">
        <f>'Eigen vloot'!E31</f>
        <v>0</v>
      </c>
      <c r="G48" s="684">
        <f>'Eigen vloot'!F31</f>
        <v>0</v>
      </c>
      <c r="H48" s="684">
        <f>'Eigen vloot'!G31</f>
        <v>0</v>
      </c>
      <c r="I48" s="684">
        <f>'Eigen vloot'!H31</f>
        <v>0</v>
      </c>
      <c r="J48" s="684">
        <f>'Eigen vloot'!I31</f>
        <v>0</v>
      </c>
      <c r="K48" s="684">
        <f>'Eigen vloot'!J31</f>
        <v>0</v>
      </c>
      <c r="L48" s="684">
        <f>'Eigen vloot'!K31</f>
        <v>0</v>
      </c>
      <c r="M48" s="684">
        <f>'Eigen vloot'!L31</f>
        <v>0</v>
      </c>
      <c r="N48" s="684">
        <f>'Eigen vloot'!M31</f>
        <v>0</v>
      </c>
      <c r="O48" s="684">
        <f>'Eigen vloot'!N31</f>
        <v>0</v>
      </c>
      <c r="P48" s="684">
        <f>'Eigen vloot'!O31</f>
        <v>0</v>
      </c>
      <c r="Q48" s="684">
        <f>'Eigen vloot'!P31</f>
        <v>0</v>
      </c>
      <c r="R48" s="715">
        <f ca="1">SUM(C48:Q48)</f>
        <v>0</v>
      </c>
    </row>
    <row r="49" spans="1:18">
      <c r="A49" s="812" t="s">
        <v>228</v>
      </c>
      <c r="B49" s="819"/>
      <c r="C49" s="684">
        <f ca="1">transport!B58</f>
        <v>135.04546540011538</v>
      </c>
      <c r="D49" s="684">
        <f ca="1">transport!C58</f>
        <v>0</v>
      </c>
      <c r="E49" s="684">
        <f>transport!D58</f>
        <v>0</v>
      </c>
      <c r="F49" s="684">
        <f>transport!E58</f>
        <v>0</v>
      </c>
      <c r="G49" s="684">
        <f>transport!F58</f>
        <v>0</v>
      </c>
      <c r="H49" s="684">
        <f>transport!G58</f>
        <v>476.79765322056352</v>
      </c>
      <c r="I49" s="684">
        <f>transport!H58</f>
        <v>0</v>
      </c>
      <c r="J49" s="684">
        <f>transport!I58</f>
        <v>0</v>
      </c>
      <c r="K49" s="684">
        <f>transport!J58</f>
        <v>0</v>
      </c>
      <c r="L49" s="684">
        <f>transport!K58</f>
        <v>0</v>
      </c>
      <c r="M49" s="684">
        <f>transport!L58</f>
        <v>0</v>
      </c>
      <c r="N49" s="684">
        <f>transport!M58</f>
        <v>0</v>
      </c>
      <c r="O49" s="684">
        <f>transport!N58</f>
        <v>0</v>
      </c>
      <c r="P49" s="684">
        <f>transport!O58</f>
        <v>0</v>
      </c>
      <c r="Q49" s="685">
        <f>transport!P58</f>
        <v>0</v>
      </c>
      <c r="R49" s="715">
        <f ca="1">SUM(C49:Q49)</f>
        <v>611.84311862067887</v>
      </c>
    </row>
    <row r="50" spans="1:18">
      <c r="A50" s="815" t="s">
        <v>306</v>
      </c>
      <c r="B50" s="825"/>
      <c r="C50" s="985">
        <f ca="1">transport!B18</f>
        <v>0.24066739161159351</v>
      </c>
      <c r="D50" s="985">
        <f>transport!C18</f>
        <v>0</v>
      </c>
      <c r="E50" s="985">
        <f>transport!D18</f>
        <v>1.2016922102306857</v>
      </c>
      <c r="F50" s="985">
        <f>transport!E18</f>
        <v>137.03567057387693</v>
      </c>
      <c r="G50" s="985">
        <f>transport!F18</f>
        <v>0</v>
      </c>
      <c r="H50" s="985">
        <f>transport!G18</f>
        <v>31414.90296331299</v>
      </c>
      <c r="I50" s="985">
        <f>transport!H18</f>
        <v>5086.1230960281127</v>
      </c>
      <c r="J50" s="985">
        <f>transport!I18</f>
        <v>0</v>
      </c>
      <c r="K50" s="985">
        <f>transport!J18</f>
        <v>0</v>
      </c>
      <c r="L50" s="985">
        <f>transport!K18</f>
        <v>0</v>
      </c>
      <c r="M50" s="985">
        <f>transport!L18</f>
        <v>0</v>
      </c>
      <c r="N50" s="985">
        <f>transport!M18</f>
        <v>0</v>
      </c>
      <c r="O50" s="985">
        <f>transport!N18</f>
        <v>0</v>
      </c>
      <c r="P50" s="985">
        <f>transport!O18</f>
        <v>0</v>
      </c>
      <c r="Q50" s="986">
        <f>transport!P18</f>
        <v>0</v>
      </c>
      <c r="R50" s="716">
        <f ca="1">SUM(C50:Q50)</f>
        <v>36639.50408951682</v>
      </c>
    </row>
    <row r="51" spans="1:18" ht="15" thickBot="1">
      <c r="A51" s="812" t="s">
        <v>911</v>
      </c>
      <c r="B51" s="819"/>
      <c r="C51" s="684"/>
      <c r="D51" s="684"/>
      <c r="E51" s="684"/>
      <c r="F51" s="684"/>
      <c r="G51" s="684"/>
      <c r="H51" s="684"/>
      <c r="I51" s="684"/>
      <c r="J51" s="684"/>
      <c r="K51" s="684"/>
      <c r="L51" s="684"/>
      <c r="M51" s="684"/>
      <c r="N51" s="684"/>
      <c r="O51" s="684"/>
      <c r="P51" s="684"/>
      <c r="Q51" s="685"/>
      <c r="R51" s="715"/>
    </row>
    <row r="52" spans="1:18" ht="15.75" thickBot="1">
      <c r="A52" s="813" t="s">
        <v>229</v>
      </c>
      <c r="B52" s="826"/>
      <c r="C52" s="717">
        <f ca="1">SUM(C48:C51)</f>
        <v>135.28613279172697</v>
      </c>
      <c r="D52" s="717">
        <f t="shared" ref="D52:Q52" ca="1" si="6">SUM(D48:D51)</f>
        <v>0</v>
      </c>
      <c r="E52" s="717">
        <f t="shared" si="6"/>
        <v>1.2016922102306857</v>
      </c>
      <c r="F52" s="717">
        <f t="shared" si="6"/>
        <v>137.03567057387693</v>
      </c>
      <c r="G52" s="717">
        <f t="shared" si="6"/>
        <v>0</v>
      </c>
      <c r="H52" s="717">
        <f t="shared" si="6"/>
        <v>31891.700616533555</v>
      </c>
      <c r="I52" s="717">
        <f t="shared" si="6"/>
        <v>5086.1230960281127</v>
      </c>
      <c r="J52" s="717">
        <f t="shared" si="6"/>
        <v>0</v>
      </c>
      <c r="K52" s="717">
        <f t="shared" si="6"/>
        <v>0</v>
      </c>
      <c r="L52" s="717">
        <f t="shared" si="6"/>
        <v>0</v>
      </c>
      <c r="M52" s="717">
        <f t="shared" si="6"/>
        <v>0</v>
      </c>
      <c r="N52" s="717">
        <f t="shared" si="6"/>
        <v>0</v>
      </c>
      <c r="O52" s="717">
        <f t="shared" si="6"/>
        <v>0</v>
      </c>
      <c r="P52" s="717">
        <f t="shared" si="6"/>
        <v>0</v>
      </c>
      <c r="Q52" s="717">
        <f t="shared" si="6"/>
        <v>0</v>
      </c>
      <c r="R52" s="717">
        <f ca="1">SUM(R48:R51)</f>
        <v>37251.3472081375</v>
      </c>
    </row>
    <row r="53" spans="1:18" ht="15.75">
      <c r="A53" s="814" t="s">
        <v>236</v>
      </c>
      <c r="B53" s="793"/>
      <c r="C53" s="710"/>
      <c r="D53" s="711"/>
      <c r="E53" s="711"/>
      <c r="F53" s="711"/>
      <c r="G53" s="711"/>
      <c r="H53" s="711"/>
      <c r="I53" s="711"/>
      <c r="J53" s="711"/>
      <c r="K53" s="711"/>
      <c r="L53" s="711"/>
      <c r="M53" s="720"/>
      <c r="N53" s="720"/>
      <c r="O53" s="711"/>
      <c r="P53" s="720"/>
      <c r="Q53" s="720"/>
      <c r="R53" s="714"/>
    </row>
    <row r="54" spans="1:18">
      <c r="A54" s="815" t="s">
        <v>650</v>
      </c>
      <c r="B54" s="825"/>
      <c r="C54" s="985">
        <f ca="1">+landbouw!B12</f>
        <v>380.46162767220068</v>
      </c>
      <c r="D54" s="985">
        <f ca="1">+landbouw!C12</f>
        <v>0</v>
      </c>
      <c r="E54" s="985">
        <f>+landbouw!D12</f>
        <v>116.0719977165447</v>
      </c>
      <c r="F54" s="985">
        <f>+landbouw!E12</f>
        <v>4.1216655932951527</v>
      </c>
      <c r="G54" s="985">
        <f>+landbouw!F12</f>
        <v>1981.7114049296799</v>
      </c>
      <c r="H54" s="985">
        <f>+landbouw!G12</f>
        <v>0</v>
      </c>
      <c r="I54" s="985">
        <f>+landbouw!H12</f>
        <v>0</v>
      </c>
      <c r="J54" s="985">
        <f>+landbouw!I12</f>
        <v>0</v>
      </c>
      <c r="K54" s="985">
        <f>+landbouw!J12</f>
        <v>54.815905593956117</v>
      </c>
      <c r="L54" s="985">
        <f>+landbouw!K12</f>
        <v>0</v>
      </c>
      <c r="M54" s="985">
        <f>+landbouw!L12</f>
        <v>0</v>
      </c>
      <c r="N54" s="985">
        <f>+landbouw!M12</f>
        <v>0</v>
      </c>
      <c r="O54" s="985">
        <f>+landbouw!N12</f>
        <v>0</v>
      </c>
      <c r="P54" s="985">
        <f>+landbouw!O12</f>
        <v>0</v>
      </c>
      <c r="Q54" s="986">
        <f>+landbouw!P12</f>
        <v>0</v>
      </c>
      <c r="R54" s="716">
        <f ca="1">SUM(C54:Q54)</f>
        <v>2537.1826015056763</v>
      </c>
    </row>
    <row r="55" spans="1:18" ht="15" thickBot="1">
      <c r="A55" s="815" t="s">
        <v>912</v>
      </c>
      <c r="B55" s="825"/>
      <c r="C55" s="985">
        <f ca="1">C25*'EF ele_warmte'!B12</f>
        <v>1786.2783079944397</v>
      </c>
      <c r="D55" s="985"/>
      <c r="E55" s="985">
        <f>E25*EF_CO2_aardgas</f>
        <v>2993.144868400213</v>
      </c>
      <c r="F55" s="985"/>
      <c r="G55" s="985"/>
      <c r="H55" s="985"/>
      <c r="I55" s="985"/>
      <c r="J55" s="985"/>
      <c r="K55" s="985"/>
      <c r="L55" s="985"/>
      <c r="M55" s="985"/>
      <c r="N55" s="985"/>
      <c r="O55" s="985"/>
      <c r="P55" s="985"/>
      <c r="Q55" s="986"/>
      <c r="R55" s="716">
        <f ca="1">SUM(C55:Q55)</f>
        <v>4779.4231763946527</v>
      </c>
    </row>
    <row r="56" spans="1:18" ht="15.75" thickBot="1">
      <c r="A56" s="813" t="s">
        <v>913</v>
      </c>
      <c r="B56" s="826"/>
      <c r="C56" s="717">
        <f ca="1">SUM(C54:C55)</f>
        <v>2166.7399356666406</v>
      </c>
      <c r="D56" s="717">
        <f t="shared" ref="D56:Q56" ca="1" si="7">SUM(D54:D55)</f>
        <v>0</v>
      </c>
      <c r="E56" s="717">
        <f t="shared" si="7"/>
        <v>3109.2168661167575</v>
      </c>
      <c r="F56" s="717">
        <f t="shared" si="7"/>
        <v>4.1216655932951527</v>
      </c>
      <c r="G56" s="717">
        <f t="shared" si="7"/>
        <v>1981.7114049296799</v>
      </c>
      <c r="H56" s="717">
        <f t="shared" si="7"/>
        <v>0</v>
      </c>
      <c r="I56" s="717">
        <f t="shared" si="7"/>
        <v>0</v>
      </c>
      <c r="J56" s="717">
        <f t="shared" si="7"/>
        <v>0</v>
      </c>
      <c r="K56" s="717">
        <f t="shared" si="7"/>
        <v>54.815905593956117</v>
      </c>
      <c r="L56" s="717">
        <f t="shared" si="7"/>
        <v>0</v>
      </c>
      <c r="M56" s="717">
        <f t="shared" si="7"/>
        <v>0</v>
      </c>
      <c r="N56" s="717">
        <f t="shared" si="7"/>
        <v>0</v>
      </c>
      <c r="O56" s="717">
        <f t="shared" si="7"/>
        <v>0</v>
      </c>
      <c r="P56" s="717">
        <f t="shared" si="7"/>
        <v>0</v>
      </c>
      <c r="Q56" s="718">
        <f t="shared" si="7"/>
        <v>0</v>
      </c>
      <c r="R56" s="719">
        <f ca="1">SUM(R54:R55)</f>
        <v>7316.6057779003295</v>
      </c>
    </row>
    <row r="57" spans="1:18" ht="15.75">
      <c r="A57" s="793" t="s">
        <v>651</v>
      </c>
      <c r="B57" s="793"/>
      <c r="C57" s="722"/>
      <c r="D57" s="711"/>
      <c r="E57" s="711"/>
      <c r="F57" s="711"/>
      <c r="G57" s="711"/>
      <c r="H57" s="711"/>
      <c r="I57" s="711"/>
      <c r="J57" s="711"/>
      <c r="K57" s="711"/>
      <c r="L57" s="711"/>
      <c r="M57" s="720"/>
      <c r="N57" s="720"/>
      <c r="O57" s="711"/>
      <c r="P57" s="720"/>
      <c r="Q57" s="720"/>
      <c r="R57" s="714"/>
    </row>
    <row r="58" spans="1:18" ht="15">
      <c r="A58" s="816" t="s">
        <v>237</v>
      </c>
      <c r="B58" s="830"/>
      <c r="C58" s="1119"/>
      <c r="D58" s="1120"/>
      <c r="E58" s="1120"/>
      <c r="F58" s="1120"/>
      <c r="G58" s="1120"/>
      <c r="H58" s="1120"/>
      <c r="I58" s="1120"/>
      <c r="J58" s="1120"/>
      <c r="K58" s="1120"/>
      <c r="L58" s="1120"/>
      <c r="M58" s="1120"/>
      <c r="N58" s="1120"/>
      <c r="O58" s="1120"/>
      <c r="P58" s="1120"/>
      <c r="Q58" s="1120"/>
      <c r="R58" s="723"/>
    </row>
    <row r="59" spans="1:18" ht="15">
      <c r="A59" s="817" t="s">
        <v>238</v>
      </c>
      <c r="B59" s="804"/>
      <c r="C59" s="1121"/>
      <c r="D59" s="1122"/>
      <c r="E59" s="1122"/>
      <c r="F59" s="1122"/>
      <c r="G59" s="1122"/>
      <c r="H59" s="1122"/>
      <c r="I59" s="1122"/>
      <c r="J59" s="1122"/>
      <c r="K59" s="1122"/>
      <c r="L59" s="1122"/>
      <c r="M59" s="1122"/>
      <c r="N59" s="1122"/>
      <c r="O59" s="1122"/>
      <c r="P59" s="1122"/>
      <c r="Q59" s="1122"/>
      <c r="R59" s="724"/>
    </row>
    <row r="60" spans="1:18" ht="15" thickBot="1">
      <c r="A60" s="828" t="s">
        <v>239</v>
      </c>
      <c r="B60" s="829"/>
      <c r="C60" s="1121"/>
      <c r="D60" s="1122"/>
      <c r="E60" s="1122"/>
      <c r="F60" s="1122"/>
      <c r="G60" s="1122"/>
      <c r="H60" s="1122"/>
      <c r="I60" s="1122"/>
      <c r="J60" s="1122"/>
      <c r="K60" s="1122"/>
      <c r="L60" s="1122"/>
      <c r="M60" s="1122"/>
      <c r="N60" s="1122"/>
      <c r="O60" s="1122"/>
      <c r="P60" s="1122"/>
      <c r="Q60" s="1122"/>
      <c r="R60" s="716"/>
    </row>
    <row r="61" spans="1:18" ht="16.5" thickBot="1">
      <c r="A61" s="831" t="s">
        <v>115</v>
      </c>
      <c r="B61" s="832"/>
      <c r="C61" s="725">
        <f ca="1">C46+C52+C56</f>
        <v>44976.320003622779</v>
      </c>
      <c r="D61" s="725">
        <f t="shared" ref="D61:Q61" ca="1" si="8">D46+D52+D56</f>
        <v>0</v>
      </c>
      <c r="E61" s="725">
        <f t="shared" ca="1" si="8"/>
        <v>74725.898086790738</v>
      </c>
      <c r="F61" s="725">
        <f t="shared" si="8"/>
        <v>721.21689810702594</v>
      </c>
      <c r="G61" s="725">
        <f t="shared" ca="1" si="8"/>
        <v>7549.0454613513175</v>
      </c>
      <c r="H61" s="725">
        <f t="shared" si="8"/>
        <v>31891.700616533555</v>
      </c>
      <c r="I61" s="725">
        <f t="shared" si="8"/>
        <v>5086.1230960281127</v>
      </c>
      <c r="J61" s="725">
        <f t="shared" si="8"/>
        <v>0</v>
      </c>
      <c r="K61" s="725">
        <f t="shared" si="8"/>
        <v>68.194638054318105</v>
      </c>
      <c r="L61" s="725">
        <f t="shared" si="8"/>
        <v>0</v>
      </c>
      <c r="M61" s="725">
        <f t="shared" ca="1" si="8"/>
        <v>0</v>
      </c>
      <c r="N61" s="725">
        <f t="shared" si="8"/>
        <v>0</v>
      </c>
      <c r="O61" s="725">
        <f t="shared" ca="1" si="8"/>
        <v>0</v>
      </c>
      <c r="P61" s="725">
        <f t="shared" si="8"/>
        <v>0</v>
      </c>
      <c r="Q61" s="725">
        <f t="shared" si="8"/>
        <v>0</v>
      </c>
      <c r="R61" s="725">
        <f ca="1">R46+R52+R56</f>
        <v>165018.49880048784</v>
      </c>
    </row>
    <row r="62" spans="1:18" ht="15.75" thickTop="1" thickBot="1">
      <c r="A62" s="965"/>
      <c r="B62" s="965"/>
      <c r="C62" s="726"/>
      <c r="D62" s="726"/>
      <c r="E62" s="727"/>
      <c r="F62" s="727"/>
      <c r="G62" s="727"/>
      <c r="H62" s="727"/>
      <c r="I62" s="727"/>
      <c r="J62" s="727"/>
      <c r="K62" s="727"/>
      <c r="L62" s="727"/>
      <c r="M62" s="727"/>
      <c r="N62" s="727"/>
      <c r="O62" s="727"/>
      <c r="P62" s="727"/>
      <c r="Q62" s="727"/>
      <c r="R62" s="727"/>
    </row>
    <row r="63" spans="1:18" ht="20.25" thickTop="1" thickBot="1">
      <c r="A63" s="728" t="s">
        <v>347</v>
      </c>
      <c r="B63" s="811"/>
      <c r="C63" s="769">
        <f t="shared" ref="C63:Q63" ca="1" si="9">IF(ISERROR(C61/C27),0,C61/C27)</f>
        <v>0.21943332184370506</v>
      </c>
      <c r="D63" s="769">
        <f t="shared" ca="1" si="9"/>
        <v>0</v>
      </c>
      <c r="E63" s="987">
        <f t="shared" ca="1" si="9"/>
        <v>0.20199999999999999</v>
      </c>
      <c r="F63" s="769">
        <f t="shared" si="9"/>
        <v>0.22700000000000001</v>
      </c>
      <c r="G63" s="769">
        <f t="shared" ca="1" si="9"/>
        <v>0.26700000000000002</v>
      </c>
      <c r="H63" s="769">
        <f t="shared" si="9"/>
        <v>0.26700000000000002</v>
      </c>
      <c r="I63" s="769">
        <f t="shared" si="9"/>
        <v>0.249</v>
      </c>
      <c r="J63" s="769">
        <f t="shared" si="9"/>
        <v>0</v>
      </c>
      <c r="K63" s="769">
        <f t="shared" si="9"/>
        <v>0.35399999999999998</v>
      </c>
      <c r="L63" s="769">
        <f t="shared" si="9"/>
        <v>0</v>
      </c>
      <c r="M63" s="769">
        <f t="shared" ca="1" si="9"/>
        <v>0</v>
      </c>
      <c r="N63" s="769">
        <f t="shared" si="9"/>
        <v>0</v>
      </c>
      <c r="O63" s="769">
        <f t="shared" ca="1" si="9"/>
        <v>0</v>
      </c>
      <c r="P63" s="769">
        <f t="shared" si="9"/>
        <v>0</v>
      </c>
      <c r="Q63" s="769">
        <f t="shared" si="9"/>
        <v>0</v>
      </c>
      <c r="R63" s="727"/>
    </row>
    <row r="64" spans="1:18" ht="33" thickTop="1" thickBot="1">
      <c r="A64" s="818" t="s">
        <v>348</v>
      </c>
      <c r="B64" s="796"/>
      <c r="C64" s="770">
        <f>'EF ele_warmte'!B6</f>
        <v>0.221</v>
      </c>
      <c r="D64" s="771"/>
      <c r="E64" s="772"/>
      <c r="F64" s="773"/>
      <c r="G64" s="773"/>
      <c r="H64" s="773"/>
      <c r="I64" s="773"/>
      <c r="J64" s="773"/>
      <c r="K64" s="773"/>
      <c r="L64" s="773"/>
      <c r="M64" s="773"/>
      <c r="N64" s="773"/>
      <c r="O64" s="773"/>
      <c r="P64" s="773"/>
      <c r="Q64" s="773"/>
      <c r="R64" s="727"/>
    </row>
    <row r="65" spans="1:18" ht="15" thickTop="1">
      <c r="A65" s="729"/>
      <c r="B65" s="729"/>
      <c r="C65" s="727"/>
      <c r="D65" s="727"/>
      <c r="E65" s="727"/>
      <c r="F65" s="727"/>
      <c r="G65" s="727"/>
      <c r="H65" s="727"/>
      <c r="I65" s="727"/>
      <c r="J65" s="727"/>
      <c r="K65" s="727"/>
      <c r="L65" s="727"/>
      <c r="M65" s="727"/>
      <c r="N65" s="727"/>
      <c r="O65" s="727"/>
      <c r="P65" s="727"/>
      <c r="Q65" s="727"/>
      <c r="R65" s="727"/>
    </row>
    <row r="66" spans="1:18" ht="18.75">
      <c r="A66" s="730" t="s">
        <v>349</v>
      </c>
      <c r="B66" s="730"/>
      <c r="C66" s="703"/>
      <c r="D66" s="731"/>
      <c r="E66" s="703"/>
      <c r="F66" s="703"/>
      <c r="G66" s="703"/>
      <c r="H66" s="703"/>
      <c r="I66" s="703"/>
      <c r="J66" s="703"/>
      <c r="K66" s="703"/>
      <c r="L66" s="703"/>
      <c r="M66" s="703"/>
      <c r="N66" s="703"/>
      <c r="O66" s="703"/>
      <c r="P66" s="732"/>
      <c r="Q66" s="732"/>
      <c r="R66" s="732"/>
    </row>
    <row r="67" spans="1:18">
      <c r="A67" s="1088"/>
      <c r="B67" s="1088"/>
      <c r="C67" s="1088"/>
      <c r="D67" s="1088"/>
      <c r="E67" s="1088"/>
      <c r="F67" s="1088"/>
      <c r="G67" s="1088"/>
      <c r="H67" s="1088"/>
      <c r="I67" s="1088"/>
      <c r="J67" s="1088"/>
      <c r="K67" s="1088"/>
      <c r="L67" s="1088"/>
      <c r="M67" s="1088"/>
      <c r="N67" s="1088"/>
      <c r="O67" s="1088"/>
      <c r="P67" s="1088"/>
      <c r="Q67" s="1088"/>
      <c r="R67" s="733"/>
    </row>
    <row r="68" spans="1:18" ht="16.5" customHeight="1" thickBot="1">
      <c r="A68" s="706"/>
      <c r="B68" s="706"/>
      <c r="C68" s="707"/>
      <c r="D68" s="707"/>
      <c r="E68" s="707"/>
      <c r="F68" s="707"/>
      <c r="G68" s="707"/>
      <c r="H68" s="707"/>
      <c r="I68" s="707"/>
      <c r="J68" s="707"/>
      <c r="K68" s="707"/>
      <c r="L68" s="707"/>
      <c r="M68" s="707"/>
      <c r="N68" s="707"/>
      <c r="O68" s="707"/>
      <c r="P68" s="707"/>
      <c r="Q68" s="707"/>
      <c r="R68" s="707"/>
    </row>
    <row r="69" spans="1:18" ht="48.75" customHeight="1" thickTop="1" thickBot="1">
      <c r="A69" s="1089" t="s">
        <v>240</v>
      </c>
      <c r="B69" s="1067" t="s">
        <v>350</v>
      </c>
      <c r="C69" s="1068"/>
      <c r="D69" s="1111" t="s">
        <v>351</v>
      </c>
      <c r="E69" s="1112"/>
      <c r="F69" s="1112"/>
      <c r="G69" s="1112"/>
      <c r="H69" s="1112"/>
      <c r="I69" s="1112"/>
      <c r="J69" s="1112"/>
      <c r="K69" s="1112"/>
      <c r="L69" s="1112"/>
      <c r="M69" s="1112"/>
      <c r="N69" s="1112"/>
      <c r="O69" s="1113"/>
      <c r="P69" s="988" t="s">
        <v>661</v>
      </c>
      <c r="Q69" s="1114" t="s">
        <v>660</v>
      </c>
      <c r="R69" s="1115"/>
    </row>
    <row r="70" spans="1:18" ht="61.5" thickTop="1" thickBot="1">
      <c r="A70" s="1090"/>
      <c r="B70" s="1109"/>
      <c r="C70" s="1110"/>
      <c r="D70" s="1116" t="s">
        <v>196</v>
      </c>
      <c r="E70" s="1117"/>
      <c r="F70" s="1117"/>
      <c r="G70" s="1117"/>
      <c r="H70" s="1118"/>
      <c r="I70" s="958" t="s">
        <v>245</v>
      </c>
      <c r="J70" s="958" t="s">
        <v>233</v>
      </c>
      <c r="K70" s="958" t="s">
        <v>208</v>
      </c>
      <c r="L70" s="958" t="s">
        <v>209</v>
      </c>
      <c r="M70" s="734" t="s">
        <v>244</v>
      </c>
      <c r="N70" s="958" t="s">
        <v>246</v>
      </c>
      <c r="O70" s="960" t="s">
        <v>126</v>
      </c>
      <c r="P70" s="989"/>
      <c r="Q70" s="846"/>
      <c r="R70" s="847"/>
    </row>
    <row r="71" spans="1:18" ht="95.25" customHeight="1" thickTop="1" thickBot="1">
      <c r="A71" s="1091"/>
      <c r="B71" s="963" t="s">
        <v>659</v>
      </c>
      <c r="C71" s="963" t="s">
        <v>914</v>
      </c>
      <c r="D71" s="990" t="s">
        <v>198</v>
      </c>
      <c r="E71" s="991" t="s">
        <v>199</v>
      </c>
      <c r="F71" s="958" t="s">
        <v>200</v>
      </c>
      <c r="G71" s="955" t="s">
        <v>202</v>
      </c>
      <c r="H71" s="992" t="s">
        <v>203</v>
      </c>
      <c r="I71" s="959"/>
      <c r="J71" s="959"/>
      <c r="K71" s="959"/>
      <c r="L71" s="959"/>
      <c r="M71" s="956"/>
      <c r="N71" s="959"/>
      <c r="O71" s="964"/>
      <c r="P71" s="993"/>
      <c r="Q71" s="966" t="s">
        <v>662</v>
      </c>
      <c r="R71" s="964" t="s">
        <v>663</v>
      </c>
    </row>
    <row r="72" spans="1:18" ht="15.75" thickTop="1">
      <c r="A72" s="735" t="s">
        <v>248</v>
      </c>
      <c r="B72" s="833">
        <f>'lokale energieproductie'!B4</f>
        <v>0</v>
      </c>
      <c r="C72" s="1107"/>
      <c r="D72" s="1107"/>
      <c r="E72" s="1108"/>
      <c r="F72" s="1108"/>
      <c r="G72" s="1098"/>
      <c r="H72" s="1101"/>
      <c r="I72" s="1104"/>
      <c r="J72" s="961"/>
      <c r="K72" s="1082"/>
      <c r="L72" s="1082"/>
      <c r="M72" s="1082"/>
      <c r="N72" s="1082"/>
      <c r="O72" s="1085"/>
      <c r="P72" s="841">
        <v>0</v>
      </c>
      <c r="Q72" s="994"/>
      <c r="R72" s="841">
        <v>0</v>
      </c>
    </row>
    <row r="73" spans="1:18" ht="15">
      <c r="A73" s="736" t="s">
        <v>249</v>
      </c>
      <c r="B73" s="735">
        <f>'lokale energieproductie'!B5</f>
        <v>0</v>
      </c>
      <c r="C73" s="1105"/>
      <c r="D73" s="1105"/>
      <c r="E73" s="1083"/>
      <c r="F73" s="1083"/>
      <c r="G73" s="1099"/>
      <c r="H73" s="1102"/>
      <c r="I73" s="1105"/>
      <c r="J73" s="962"/>
      <c r="K73" s="1083"/>
      <c r="L73" s="1083"/>
      <c r="M73" s="1083"/>
      <c r="N73" s="1083"/>
      <c r="O73" s="1086"/>
      <c r="P73" s="842">
        <v>0</v>
      </c>
      <c r="Q73" s="848"/>
      <c r="R73" s="842">
        <v>0</v>
      </c>
    </row>
    <row r="74" spans="1:18" ht="15">
      <c r="A74" s="736" t="s">
        <v>250</v>
      </c>
      <c r="B74" s="735">
        <f>'lokale energieproductie'!B6</f>
        <v>1453.0108428820563</v>
      </c>
      <c r="C74" s="1105"/>
      <c r="D74" s="1105"/>
      <c r="E74" s="1083"/>
      <c r="F74" s="1083"/>
      <c r="G74" s="1099"/>
      <c r="H74" s="1102"/>
      <c r="I74" s="1105"/>
      <c r="J74" s="962"/>
      <c r="K74" s="1083"/>
      <c r="L74" s="1083"/>
      <c r="M74" s="1083"/>
      <c r="N74" s="1083"/>
      <c r="O74" s="1086"/>
      <c r="P74" s="842">
        <v>0</v>
      </c>
      <c r="Q74" s="848"/>
      <c r="R74" s="842">
        <v>0</v>
      </c>
    </row>
    <row r="75" spans="1:18" ht="15.75" thickBot="1">
      <c r="A75" s="736" t="s">
        <v>907</v>
      </c>
      <c r="B75" s="735">
        <f>'lokale energieproductie'!B7</f>
        <v>0</v>
      </c>
      <c r="C75" s="1106"/>
      <c r="D75" s="1106"/>
      <c r="E75" s="1084"/>
      <c r="F75" s="1084"/>
      <c r="G75" s="1100"/>
      <c r="H75" s="1103"/>
      <c r="I75" s="1106"/>
      <c r="J75" s="995"/>
      <c r="K75" s="1084"/>
      <c r="L75" s="1084"/>
      <c r="M75" s="1084"/>
      <c r="N75" s="1084"/>
      <c r="O75" s="1087"/>
      <c r="P75" s="842">
        <v>0</v>
      </c>
      <c r="Q75" s="996"/>
      <c r="R75" s="842">
        <v>0</v>
      </c>
    </row>
    <row r="76" spans="1:18" ht="15">
      <c r="A76" s="737" t="s">
        <v>251</v>
      </c>
      <c r="B76" s="735">
        <f>'lokale energieproductie'!B8*IFERROR(SUM(I76:O76)/SUM(D76:O76),0)</f>
        <v>0</v>
      </c>
      <c r="C76" s="735">
        <f>'lokale energieproductie'!B8*IFERROR(SUM(D76:H76)/SUM(D76:O76),0)</f>
        <v>0</v>
      </c>
      <c r="D76" s="997">
        <f>'lokale energieproductie'!C8</f>
        <v>0</v>
      </c>
      <c r="E76" s="998">
        <f>'lokale energieproductie'!D8</f>
        <v>0</v>
      </c>
      <c r="F76" s="998">
        <f>'lokale energieproductie'!E8</f>
        <v>0</v>
      </c>
      <c r="G76" s="998">
        <f>'lokale energieproductie'!F8</f>
        <v>0</v>
      </c>
      <c r="H76" s="998">
        <f>'lokale energieproductie'!G8</f>
        <v>0</v>
      </c>
      <c r="I76" s="998">
        <f>'lokale energieproductie'!I8</f>
        <v>0</v>
      </c>
      <c r="J76" s="998">
        <f>'lokale energieproductie'!J8</f>
        <v>0</v>
      </c>
      <c r="K76" s="998">
        <f>'lokale energieproductie'!M8</f>
        <v>0</v>
      </c>
      <c r="L76" s="998">
        <f>'lokale energieproductie'!N8</f>
        <v>0</v>
      </c>
      <c r="M76" s="998">
        <f>'lokale energieproductie'!H8</f>
        <v>0</v>
      </c>
      <c r="N76" s="998">
        <f>'lokale energieproductie'!K8</f>
        <v>0</v>
      </c>
      <c r="O76" s="999">
        <f>'lokale energieproductie'!L8</f>
        <v>0</v>
      </c>
      <c r="P76" s="1000"/>
      <c r="Q76" s="843">
        <f>D76*EF_CO2_aardgas+E76*EF_VLgas_CO2+'SEAP template'!F76*EF_stookolie_CO2+EF_bruinkool_CO2*'SEAP template'!G76+'SEAP template'!H76*EF_steenkool_CO2+'EF brandstof'!M4*'SEAP template'!M76+'SEAP template'!O76*EF_anderfossiel_CO2</f>
        <v>0</v>
      </c>
      <c r="R76" s="842">
        <v>0</v>
      </c>
    </row>
    <row r="77" spans="1:18" ht="30.75" thickBot="1">
      <c r="A77" s="738" t="s">
        <v>352</v>
      </c>
      <c r="B77" s="735">
        <f>'lokale energieproductie'!B9*IFERROR(SUM(I77:O77)/SUM(D77:O77),0)</f>
        <v>0</v>
      </c>
      <c r="C77" s="735">
        <f>'lokale energieproductie'!B9*IFERROR(SUM(D77:H77)/SUM(D77:O77),0)</f>
        <v>0</v>
      </c>
      <c r="D77" s="760">
        <f>'lokale energieproductie'!C9</f>
        <v>0</v>
      </c>
      <c r="E77" s="761">
        <f>'lokale energieproductie'!D9</f>
        <v>0</v>
      </c>
      <c r="F77" s="761">
        <f>'lokale energieproductie'!E9</f>
        <v>0</v>
      </c>
      <c r="G77" s="761">
        <f>'lokale energieproductie'!F9</f>
        <v>0</v>
      </c>
      <c r="H77" s="761">
        <f>'lokale energieproductie'!G9</f>
        <v>0</v>
      </c>
      <c r="I77" s="998">
        <f>'lokale energieproductie'!I9</f>
        <v>0</v>
      </c>
      <c r="J77" s="998">
        <f>'lokale energieproductie'!J9</f>
        <v>0</v>
      </c>
      <c r="K77" s="998">
        <f>'lokale energieproductie'!M9</f>
        <v>0</v>
      </c>
      <c r="L77" s="998">
        <f>'lokale energieproductie'!N9</f>
        <v>0</v>
      </c>
      <c r="M77" s="998">
        <f>'lokale energieproductie'!H9</f>
        <v>0</v>
      </c>
      <c r="N77" s="998">
        <f>'lokale energieproductie'!K9</f>
        <v>0</v>
      </c>
      <c r="O77" s="999">
        <f>'lokale energieproductie'!L9</f>
        <v>0</v>
      </c>
      <c r="P77" s="835"/>
      <c r="Q77" s="843">
        <f>D77*EF_CO2_aardgas+E77*EF_VLgas_CO2+'SEAP template'!F77*EF_stookolie_CO2+EF_bruinkool_CO2*'SEAP template'!G77+'SEAP template'!H77*EF_steenkool_CO2+'EF brandstof'!M4*'SEAP template'!M77+'SEAP template'!O77*EF_anderfossiel_CO2</f>
        <v>0</v>
      </c>
      <c r="R77" s="845">
        <v>0</v>
      </c>
    </row>
    <row r="78" spans="1:18" ht="16.5" thickTop="1" thickBot="1">
      <c r="A78" s="739" t="s">
        <v>115</v>
      </c>
      <c r="B78" s="740">
        <f>SUM(B72:B77)</f>
        <v>1453.0108428820563</v>
      </c>
      <c r="C78" s="740">
        <f>SUM(C72:C77)</f>
        <v>0</v>
      </c>
      <c r="D78" s="741">
        <f t="shared" ref="D78:H78" si="10">SUM(D76:D77)</f>
        <v>0</v>
      </c>
      <c r="E78" s="741">
        <f t="shared" si="10"/>
        <v>0</v>
      </c>
      <c r="F78" s="741">
        <f t="shared" si="10"/>
        <v>0</v>
      </c>
      <c r="G78" s="741">
        <f t="shared" si="10"/>
        <v>0</v>
      </c>
      <c r="H78" s="741">
        <f t="shared" si="10"/>
        <v>0</v>
      </c>
      <c r="I78" s="741">
        <f>SUM(I76:I77)</f>
        <v>0</v>
      </c>
      <c r="J78" s="741">
        <f>SUM(J76:J77)</f>
        <v>0</v>
      </c>
      <c r="K78" s="741">
        <f t="shared" ref="K78:L78" si="11">SUM(K76:K77)</f>
        <v>0</v>
      </c>
      <c r="L78" s="741">
        <f t="shared" si="11"/>
        <v>0</v>
      </c>
      <c r="M78" s="741">
        <f>SUM(M76:M77)</f>
        <v>0</v>
      </c>
      <c r="N78" s="741">
        <f>SUM(N76:N77)</f>
        <v>0</v>
      </c>
      <c r="O78" s="850">
        <f>SUM(O76:O77)</f>
        <v>0</v>
      </c>
      <c r="P78" s="742">
        <v>0</v>
      </c>
      <c r="Q78" s="742">
        <f>SUM(Q76:Q77)</f>
        <v>0</v>
      </c>
      <c r="R78" s="742">
        <f>SUM(R72:R77)</f>
        <v>0</v>
      </c>
    </row>
    <row r="79" spans="1:18" ht="15.75" thickTop="1">
      <c r="A79" s="743"/>
      <c r="B79" s="797"/>
      <c r="C79" s="744"/>
      <c r="D79" s="744"/>
      <c r="E79" s="704"/>
      <c r="F79" s="703"/>
      <c r="G79" s="703"/>
      <c r="H79" s="703"/>
      <c r="I79" s="745"/>
      <c r="J79" s="703"/>
      <c r="K79" s="703"/>
      <c r="L79" s="703"/>
      <c r="M79" s="703"/>
      <c r="N79" s="746"/>
      <c r="O79" s="703"/>
      <c r="P79" s="703"/>
      <c r="Q79" s="703"/>
      <c r="R79" s="703"/>
    </row>
    <row r="80" spans="1:18" ht="15">
      <c r="A80" s="965"/>
      <c r="B80" s="965"/>
      <c r="C80" s="744"/>
      <c r="D80" s="744"/>
      <c r="E80" s="703"/>
      <c r="F80" s="703"/>
      <c r="G80" s="703"/>
      <c r="H80" s="703"/>
      <c r="I80" s="703"/>
      <c r="J80" s="703"/>
      <c r="K80" s="703"/>
      <c r="L80" s="703"/>
      <c r="M80" s="703"/>
      <c r="N80" s="703"/>
      <c r="O80" s="703"/>
      <c r="P80" s="703"/>
      <c r="Q80" s="703"/>
      <c r="R80" s="703"/>
    </row>
    <row r="81" spans="1:19" ht="18.75">
      <c r="A81" s="747" t="s">
        <v>353</v>
      </c>
      <c r="B81" s="747"/>
      <c r="C81" s="748"/>
      <c r="D81" s="731"/>
      <c r="E81" s="703"/>
      <c r="F81" s="703"/>
      <c r="G81" s="703"/>
      <c r="H81" s="703"/>
      <c r="I81" s="703"/>
      <c r="J81" s="703"/>
      <c r="K81" s="703"/>
      <c r="L81" s="703"/>
      <c r="M81" s="703"/>
      <c r="N81" s="703"/>
      <c r="O81" s="703"/>
      <c r="P81" s="703"/>
      <c r="Q81" s="703"/>
      <c r="R81" s="703"/>
    </row>
    <row r="82" spans="1:19">
      <c r="A82" s="1088"/>
      <c r="B82" s="1088"/>
      <c r="C82" s="1088"/>
      <c r="D82" s="1088"/>
      <c r="E82" s="1088"/>
      <c r="F82" s="1088"/>
      <c r="G82" s="1088"/>
      <c r="H82" s="1088"/>
      <c r="I82" s="1088"/>
      <c r="J82" s="1088"/>
      <c r="K82" s="1088"/>
      <c r="L82" s="1088"/>
      <c r="M82" s="1088"/>
      <c r="N82" s="1088"/>
      <c r="O82" s="1088"/>
      <c r="P82" s="1088"/>
      <c r="Q82" s="733"/>
      <c r="R82" s="733"/>
    </row>
    <row r="83" spans="1:19" ht="15.75" thickBot="1">
      <c r="A83" s="706"/>
      <c r="B83" s="706"/>
      <c r="C83" s="707"/>
      <c r="D83" s="707"/>
      <c r="E83" s="707"/>
      <c r="F83" s="707"/>
      <c r="G83" s="707"/>
      <c r="H83" s="707"/>
      <c r="I83" s="707"/>
      <c r="J83" s="707"/>
      <c r="K83" s="707"/>
      <c r="L83" s="707"/>
      <c r="M83" s="707"/>
      <c r="N83" s="707"/>
      <c r="O83" s="707"/>
      <c r="P83" s="707"/>
      <c r="Q83" s="707"/>
      <c r="R83" s="707"/>
    </row>
    <row r="84" spans="1:19" ht="48.2" customHeight="1" thickTop="1" thickBot="1">
      <c r="A84" s="1089" t="s">
        <v>252</v>
      </c>
      <c r="B84" s="1067" t="s">
        <v>354</v>
      </c>
      <c r="C84" s="1092"/>
      <c r="D84" s="1095" t="s">
        <v>355</v>
      </c>
      <c r="E84" s="1096"/>
      <c r="F84" s="1096"/>
      <c r="G84" s="1096"/>
      <c r="H84" s="1096"/>
      <c r="I84" s="1096"/>
      <c r="J84" s="1096"/>
      <c r="K84" s="1096"/>
      <c r="L84" s="1096"/>
      <c r="M84" s="1096"/>
      <c r="N84" s="1096"/>
      <c r="O84" s="1097"/>
      <c r="P84" s="988" t="s">
        <v>661</v>
      </c>
      <c r="Q84" s="1067" t="s">
        <v>660</v>
      </c>
      <c r="R84" s="1068"/>
    </row>
    <row r="85" spans="1:19" ht="16.5" customHeight="1" thickTop="1" thickBot="1">
      <c r="A85" s="1090"/>
      <c r="B85" s="1093"/>
      <c r="C85" s="1094"/>
      <c r="D85" s="1069" t="s">
        <v>196</v>
      </c>
      <c r="E85" s="1070"/>
      <c r="F85" s="1070"/>
      <c r="G85" s="1070"/>
      <c r="H85" s="1071"/>
      <c r="I85" s="1072" t="s">
        <v>245</v>
      </c>
      <c r="J85" s="1074" t="s">
        <v>233</v>
      </c>
      <c r="K85" s="1076" t="s">
        <v>208</v>
      </c>
      <c r="L85" s="1076" t="s">
        <v>209</v>
      </c>
      <c r="M85" s="1078" t="s">
        <v>244</v>
      </c>
      <c r="N85" s="1076" t="s">
        <v>256</v>
      </c>
      <c r="O85" s="1080" t="s">
        <v>126</v>
      </c>
      <c r="P85" s="989"/>
      <c r="Q85" s="846"/>
      <c r="R85" s="847"/>
    </row>
    <row r="86" spans="1:19" ht="110.25" customHeight="1" thickTop="1" thickBot="1">
      <c r="A86" s="1091"/>
      <c r="B86" s="834" t="s">
        <v>659</v>
      </c>
      <c r="C86" s="834" t="s">
        <v>914</v>
      </c>
      <c r="D86" s="966" t="s">
        <v>198</v>
      </c>
      <c r="E86" s="959" t="s">
        <v>199</v>
      </c>
      <c r="F86" s="957" t="s">
        <v>200</v>
      </c>
      <c r="G86" s="959" t="s">
        <v>202</v>
      </c>
      <c r="H86" s="749" t="s">
        <v>203</v>
      </c>
      <c r="I86" s="1073"/>
      <c r="J86" s="1075"/>
      <c r="K86" s="1077"/>
      <c r="L86" s="1077"/>
      <c r="M86" s="1079"/>
      <c r="N86" s="1077"/>
      <c r="O86" s="1081"/>
      <c r="P86" s="993"/>
      <c r="Q86" s="966" t="s">
        <v>662</v>
      </c>
      <c r="R86" s="964" t="s">
        <v>663</v>
      </c>
    </row>
    <row r="87" spans="1:19" ht="15.75" thickTop="1">
      <c r="A87" s="750" t="s">
        <v>251</v>
      </c>
      <c r="B87" s="751">
        <f>'lokale energieproductie'!B17*IFERROR(SUM(I87:O87)/SUM(D87:O87),0)</f>
        <v>0</v>
      </c>
      <c r="C87" s="751">
        <f>'lokale energieproductie'!B17*IFERROR(SUM(D87:H87)/SUM(D87:O87),0)</f>
        <v>0</v>
      </c>
      <c r="D87" s="762">
        <f>'lokale energieproductie'!C17</f>
        <v>0</v>
      </c>
      <c r="E87" s="762">
        <f>'lokale energieproductie'!D17</f>
        <v>0</v>
      </c>
      <c r="F87" s="762">
        <f>'lokale energieproductie'!E17</f>
        <v>0</v>
      </c>
      <c r="G87" s="762">
        <f>'lokale energieproductie'!F17</f>
        <v>0</v>
      </c>
      <c r="H87" s="762">
        <f>'lokale energieproductie'!G17</f>
        <v>0</v>
      </c>
      <c r="I87" s="762">
        <f>'lokale energieproductie'!I17</f>
        <v>0</v>
      </c>
      <c r="J87" s="762">
        <f>'lokale energieproductie'!J17</f>
        <v>0</v>
      </c>
      <c r="K87" s="762">
        <f>'lokale energieproductie'!M17</f>
        <v>0</v>
      </c>
      <c r="L87" s="762">
        <f>'lokale energieproductie'!N17</f>
        <v>0</v>
      </c>
      <c r="M87" s="762">
        <f>'lokale energieproductie'!H17</f>
        <v>0</v>
      </c>
      <c r="N87" s="762">
        <f>'lokale energieproductie'!K17</f>
        <v>0</v>
      </c>
      <c r="O87" s="762">
        <f>'lokale energieproductie'!L17</f>
        <v>0</v>
      </c>
      <c r="P87" s="1064"/>
      <c r="Q87" s="849">
        <f>D87*EF_CO2_aardgas+E87*EF_VLgas_CO2+'SEAP template'!F87*EF_stookolie_CO2+EF_bruinkool_CO2*'SEAP template'!G87+'SEAP template'!H87*EF_steenkool_CO2+'EF brandstof'!M4*'SEAP template'!M87+'SEAP template'!O87*EF_anderfossiel_CO2</f>
        <v>0</v>
      </c>
      <c r="R87" s="836">
        <v>0</v>
      </c>
    </row>
    <row r="88" spans="1:19" ht="15">
      <c r="A88" s="752" t="s">
        <v>257</v>
      </c>
      <c r="B88" s="751">
        <f>'lokale energieproductie'!B18*IFERROR(SUM(I88:O88)/SUM(D88:O88),0)</f>
        <v>0</v>
      </c>
      <c r="C88" s="751">
        <f>'lokale energieproductie'!B18*IFERROR(SUM(D88:H88)/SUM(D88:O88),0)</f>
        <v>0</v>
      </c>
      <c r="D88" s="762">
        <f>'lokale energieproductie'!C18</f>
        <v>0</v>
      </c>
      <c r="E88" s="762">
        <f>'lokale energieproductie'!D18</f>
        <v>0</v>
      </c>
      <c r="F88" s="762">
        <f>'lokale energieproductie'!E18</f>
        <v>0</v>
      </c>
      <c r="G88" s="762">
        <f>'lokale energieproductie'!F18</f>
        <v>0</v>
      </c>
      <c r="H88" s="762">
        <f>'lokale energieproductie'!G18</f>
        <v>0</v>
      </c>
      <c r="I88" s="762">
        <f>'lokale energieproductie'!I18</f>
        <v>0</v>
      </c>
      <c r="J88" s="762">
        <f>'lokale energieproductie'!J18</f>
        <v>0</v>
      </c>
      <c r="K88" s="762">
        <f>'lokale energieproductie'!M18</f>
        <v>0</v>
      </c>
      <c r="L88" s="762">
        <f>'lokale energieproductie'!N18</f>
        <v>0</v>
      </c>
      <c r="M88" s="762">
        <f>'lokale energieproductie'!H18</f>
        <v>0</v>
      </c>
      <c r="N88" s="762">
        <f>'lokale energieproductie'!K18</f>
        <v>0</v>
      </c>
      <c r="O88" s="762">
        <f>'lokale energieproductie'!L18</f>
        <v>0</v>
      </c>
      <c r="P88" s="1065"/>
      <c r="Q88" s="843">
        <f>D88*EF_CO2_aardgas+E88*EF_VLgas_CO2+'SEAP template'!F88*EF_stookolie_CO2+EF_bruinkool_CO2*'SEAP template'!G88+'SEAP template'!H88*EF_steenkool_CO2+'EF brandstof'!M4*'SEAP template'!M88+'SEAP template'!O88*EF_anderfossiel_CO2</f>
        <v>0</v>
      </c>
      <c r="R88" s="837">
        <v>0</v>
      </c>
    </row>
    <row r="89" spans="1:19" ht="30" thickBot="1">
      <c r="A89" s="738" t="s">
        <v>352</v>
      </c>
      <c r="B89" s="751">
        <f>'lokale energieproductie'!B19*IFERROR(SUM(I89:O89)/SUM(D89:O89),0)</f>
        <v>0</v>
      </c>
      <c r="C89" s="751">
        <f>'lokale energieproductie'!B19*IFERROR(SUM(D89:H89)/SUM(D89:O89),0)</f>
        <v>0</v>
      </c>
      <c r="D89" s="762">
        <f>'lokale energieproductie'!C19</f>
        <v>0</v>
      </c>
      <c r="E89" s="762">
        <f>'lokale energieproductie'!D19</f>
        <v>0</v>
      </c>
      <c r="F89" s="762">
        <f>'lokale energieproductie'!E19</f>
        <v>0</v>
      </c>
      <c r="G89" s="762">
        <f>'lokale energieproductie'!F19</f>
        <v>0</v>
      </c>
      <c r="H89" s="762">
        <f>'lokale energieproductie'!G19</f>
        <v>0</v>
      </c>
      <c r="I89" s="762">
        <f>'lokale energieproductie'!I19</f>
        <v>0</v>
      </c>
      <c r="J89" s="762">
        <f>'lokale energieproductie'!J19</f>
        <v>0</v>
      </c>
      <c r="K89" s="762">
        <f>'lokale energieproductie'!M19</f>
        <v>0</v>
      </c>
      <c r="L89" s="762">
        <f>'lokale energieproductie'!N19</f>
        <v>0</v>
      </c>
      <c r="M89" s="762">
        <f>'lokale energieproductie'!H19</f>
        <v>0</v>
      </c>
      <c r="N89" s="762">
        <f>'lokale energieproductie'!K19</f>
        <v>0</v>
      </c>
      <c r="O89" s="762">
        <f>'lokale energieproductie'!L19</f>
        <v>0</v>
      </c>
      <c r="P89" s="1066"/>
      <c r="Q89" s="844">
        <f>D89*EF_CO2_aardgas+E89*EF_VLgas_CO2+'SEAP template'!F89*EF_stookolie_CO2+EF_bruinkool_CO2*'SEAP template'!G89+'SEAP template'!H89*EF_steenkool_CO2+'EF brandstof'!M4*'SEAP template'!M89+'SEAP template'!O89*EF_anderfossiel_CO2</f>
        <v>0</v>
      </c>
      <c r="R89" s="838">
        <v>0</v>
      </c>
    </row>
    <row r="90" spans="1:19" ht="16.5" thickTop="1" thickBot="1">
      <c r="A90" s="753" t="s">
        <v>115</v>
      </c>
      <c r="B90" s="740">
        <f>SUM(B87:B89)</f>
        <v>0</v>
      </c>
      <c r="C90" s="740">
        <f>SUM(C87:C89)</f>
        <v>0</v>
      </c>
      <c r="D90" s="740">
        <f t="shared" ref="D90:H90" si="12">SUM(D87:D89)</f>
        <v>0</v>
      </c>
      <c r="E90" s="740">
        <f t="shared" si="12"/>
        <v>0</v>
      </c>
      <c r="F90" s="740">
        <f t="shared" si="12"/>
        <v>0</v>
      </c>
      <c r="G90" s="740">
        <f t="shared" si="12"/>
        <v>0</v>
      </c>
      <c r="H90" s="740">
        <f t="shared" si="12"/>
        <v>0</v>
      </c>
      <c r="I90" s="740">
        <f>SUM(I87:I89)</f>
        <v>0</v>
      </c>
      <c r="J90" s="740">
        <f>SUM(J87:J89)</f>
        <v>0</v>
      </c>
      <c r="K90" s="740">
        <f t="shared" ref="K90:L90" si="13">SUM(K87:K89)</f>
        <v>0</v>
      </c>
      <c r="L90" s="740">
        <f t="shared" si="13"/>
        <v>0</v>
      </c>
      <c r="M90" s="740">
        <f>SUM(M87:M89)</f>
        <v>0</v>
      </c>
      <c r="N90" s="740">
        <f>SUM(N87:N89)</f>
        <v>0</v>
      </c>
      <c r="O90" s="740">
        <f>SUM(O87:O89)</f>
        <v>0</v>
      </c>
      <c r="P90" s="740">
        <v>0</v>
      </c>
      <c r="Q90" s="740">
        <f>SUM(Q87:Q89)</f>
        <v>0</v>
      </c>
      <c r="R90" s="850">
        <f>SUM(R87:R89)</f>
        <v>0</v>
      </c>
    </row>
    <row r="91" spans="1:19" ht="15.75" thickTop="1">
      <c r="A91" s="754"/>
      <c r="B91" s="754"/>
      <c r="C91" s="755"/>
      <c r="D91" s="756"/>
      <c r="E91" s="757"/>
      <c r="F91" s="745"/>
      <c r="G91" s="745"/>
      <c r="H91" s="745"/>
      <c r="I91" s="745"/>
      <c r="J91" s="745"/>
      <c r="K91" s="745"/>
      <c r="L91" s="745"/>
      <c r="M91" s="703"/>
      <c r="Q91" s="745"/>
      <c r="R91" s="703"/>
      <c r="S91" s="732"/>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307" zoomScale="65" zoomScaleNormal="65" workbookViewId="0">
      <selection activeCell="M339" sqref="M339"/>
    </sheetView>
  </sheetViews>
  <sheetFormatPr defaultColWidth="9.140625" defaultRowHeight="15"/>
  <cols>
    <col min="1" max="1" width="38" style="613" customWidth="1"/>
    <col min="2" max="2" width="27" style="613" customWidth="1"/>
    <col min="3" max="3" width="25.42578125" style="613" customWidth="1"/>
    <col min="4" max="4" width="41.28515625" style="613" customWidth="1"/>
    <col min="5" max="5" width="27.5703125" style="613" customWidth="1"/>
    <col min="6" max="7" width="18" style="613" customWidth="1"/>
    <col min="8" max="8" width="23.42578125" style="613" customWidth="1"/>
    <col min="9" max="9" width="28.5703125" style="613" customWidth="1"/>
    <col min="10" max="10" width="35.28515625" style="613" customWidth="1"/>
    <col min="11" max="11" width="32.7109375" style="613" customWidth="1"/>
    <col min="12" max="14" width="23.85546875" style="613" customWidth="1"/>
    <col min="15" max="15" width="21.140625" style="613" customWidth="1"/>
    <col min="16" max="16" width="17.5703125" style="613" customWidth="1"/>
    <col min="17" max="17" width="22.85546875" style="613" customWidth="1"/>
    <col min="18" max="18" width="19.140625" style="613" customWidth="1"/>
    <col min="19" max="19" width="24.7109375" style="613" customWidth="1"/>
    <col min="20" max="20" width="9.140625" style="613"/>
    <col min="21" max="21" width="21.140625" style="613" customWidth="1"/>
    <col min="22" max="22" width="14.85546875" style="613" customWidth="1"/>
    <col min="23" max="23" width="16.140625" style="613" customWidth="1"/>
    <col min="24" max="24" width="14.7109375" style="613" customWidth="1"/>
    <col min="25" max="26" width="16.140625" style="613" customWidth="1"/>
    <col min="27" max="27" width="17.28515625" style="613" customWidth="1"/>
    <col min="28" max="28" width="16.85546875" style="613" customWidth="1"/>
    <col min="29" max="16384" width="9.140625" style="613"/>
  </cols>
  <sheetData>
    <row r="1" spans="1:21" s="542" customFormat="1" ht="17.45" customHeight="1" thickTop="1" thickBot="1">
      <c r="A1" s="1240" t="s">
        <v>240</v>
      </c>
      <c r="B1" s="1228" t="s">
        <v>241</v>
      </c>
      <c r="C1" s="1262" t="s">
        <v>242</v>
      </c>
      <c r="D1" s="1263"/>
      <c r="E1" s="1263"/>
      <c r="F1" s="1263"/>
      <c r="G1" s="1263"/>
      <c r="H1" s="1263"/>
      <c r="I1" s="1263"/>
      <c r="J1" s="1263"/>
      <c r="K1" s="1263"/>
      <c r="L1" s="1263"/>
      <c r="M1" s="1263"/>
      <c r="N1" s="1264"/>
      <c r="O1" s="1229" t="s">
        <v>243</v>
      </c>
      <c r="P1" s="1228" t="s">
        <v>558</v>
      </c>
      <c r="Q1" s="1229"/>
      <c r="S1" s="1227"/>
      <c r="T1" s="1227"/>
      <c r="U1" s="1227"/>
    </row>
    <row r="2" spans="1:21" s="542" customFormat="1" ht="15.75" thickBot="1">
      <c r="A2" s="1241"/>
      <c r="B2" s="1241"/>
      <c r="C2" s="1258" t="s">
        <v>196</v>
      </c>
      <c r="D2" s="1259"/>
      <c r="E2" s="1259"/>
      <c r="F2" s="1259"/>
      <c r="G2" s="1260"/>
      <c r="H2" s="1261" t="s">
        <v>244</v>
      </c>
      <c r="I2" s="1256" t="s">
        <v>245</v>
      </c>
      <c r="J2" s="1256" t="s">
        <v>233</v>
      </c>
      <c r="K2" s="1256" t="s">
        <v>246</v>
      </c>
      <c r="L2" s="1256" t="s">
        <v>126</v>
      </c>
      <c r="M2" s="1256" t="s">
        <v>908</v>
      </c>
      <c r="N2" s="1251" t="s">
        <v>909</v>
      </c>
      <c r="O2" s="1231"/>
      <c r="P2" s="1230"/>
      <c r="Q2" s="1231"/>
      <c r="S2" s="1227"/>
      <c r="T2" s="1227"/>
      <c r="U2" s="1227"/>
    </row>
    <row r="3" spans="1:21" s="542" customFormat="1" ht="53.45" customHeight="1" thickBot="1">
      <c r="A3" s="1242"/>
      <c r="B3" s="1232"/>
      <c r="C3" s="543" t="s">
        <v>198</v>
      </c>
      <c r="D3" s="1011" t="s">
        <v>199</v>
      </c>
      <c r="E3" s="544" t="s">
        <v>200</v>
      </c>
      <c r="F3" s="545" t="s">
        <v>202</v>
      </c>
      <c r="G3" s="546" t="s">
        <v>203</v>
      </c>
      <c r="H3" s="1247"/>
      <c r="I3" s="1257"/>
      <c r="J3" s="1257"/>
      <c r="K3" s="1257"/>
      <c r="L3" s="1257"/>
      <c r="M3" s="1257"/>
      <c r="N3" s="1252"/>
      <c r="O3" s="1233"/>
      <c r="P3" s="1232"/>
      <c r="Q3" s="1233"/>
      <c r="S3" s="1227"/>
      <c r="T3" s="1227"/>
      <c r="U3" s="1227"/>
    </row>
    <row r="4" spans="1:21" s="542" customFormat="1" ht="15.75" thickTop="1">
      <c r="A4" s="547" t="s">
        <v>248</v>
      </c>
      <c r="B4" s="548">
        <f>IF(ISERROR(kWh_wind_land),0,kWh_wind_land)</f>
        <v>0</v>
      </c>
      <c r="C4" s="1268"/>
      <c r="D4" s="1253"/>
      <c r="E4" s="1253"/>
      <c r="F4" s="1271"/>
      <c r="G4" s="1274"/>
      <c r="H4" s="1265"/>
      <c r="I4" s="1253"/>
      <c r="J4" s="1253"/>
      <c r="K4" s="1253"/>
      <c r="L4" s="1253"/>
      <c r="M4" s="1253"/>
      <c r="N4" s="973"/>
      <c r="O4" s="549"/>
      <c r="P4" s="1234"/>
      <c r="Q4" s="1235"/>
      <c r="S4" s="1008"/>
      <c r="T4" s="1224"/>
      <c r="U4" s="1224"/>
    </row>
    <row r="5" spans="1:21" s="542" customFormat="1">
      <c r="A5" s="550" t="s">
        <v>249</v>
      </c>
      <c r="B5" s="548">
        <f>IF(ISERROR(kWh_waterkracht),0,kWh_waterkracht)</f>
        <v>0</v>
      </c>
      <c r="C5" s="1269"/>
      <c r="D5" s="1254"/>
      <c r="E5" s="1254"/>
      <c r="F5" s="1272"/>
      <c r="G5" s="1275"/>
      <c r="H5" s="1266"/>
      <c r="I5" s="1254"/>
      <c r="J5" s="1254"/>
      <c r="K5" s="1254"/>
      <c r="L5" s="1254"/>
      <c r="M5" s="1254"/>
      <c r="N5" s="973"/>
      <c r="O5" s="551"/>
      <c r="P5" s="1236"/>
      <c r="Q5" s="1237"/>
      <c r="S5" s="1008"/>
      <c r="T5" s="1224"/>
      <c r="U5" s="1224"/>
    </row>
    <row r="6" spans="1:21" s="542" customFormat="1">
      <c r="A6" s="550" t="s">
        <v>250</v>
      </c>
      <c r="B6" s="548">
        <f>IF(ISERROR((kWh_PV_kleiner_dan_10kW+kWh_PV_groter_dan_10kW)),0,(kWh_PV_kleiner_dan_10kW+kWh_PV_groter_dan_10kW))</f>
        <v>1453.0108428820563</v>
      </c>
      <c r="C6" s="1269"/>
      <c r="D6" s="1254"/>
      <c r="E6" s="1254"/>
      <c r="F6" s="1272"/>
      <c r="G6" s="1275"/>
      <c r="H6" s="1266"/>
      <c r="I6" s="1254"/>
      <c r="J6" s="1254"/>
      <c r="K6" s="1254"/>
      <c r="L6" s="1254"/>
      <c r="M6" s="1254"/>
      <c r="N6" s="973"/>
      <c r="O6" s="551"/>
      <c r="P6" s="1236"/>
      <c r="Q6" s="1237"/>
      <c r="S6" s="1008"/>
      <c r="T6" s="1224"/>
      <c r="U6" s="1224"/>
    </row>
    <row r="7" spans="1:21" s="542" customFormat="1">
      <c r="A7" s="550" t="s">
        <v>907</v>
      </c>
      <c r="B7" s="548"/>
      <c r="C7" s="1270"/>
      <c r="D7" s="1255"/>
      <c r="E7" s="1255"/>
      <c r="F7" s="1273"/>
      <c r="G7" s="1276"/>
      <c r="H7" s="1267"/>
      <c r="I7" s="1255"/>
      <c r="J7" s="1255"/>
      <c r="K7" s="1255"/>
      <c r="L7" s="1255"/>
      <c r="M7" s="1255"/>
      <c r="N7" s="974"/>
      <c r="O7" s="551"/>
      <c r="P7" s="1009"/>
      <c r="Q7" s="1010"/>
      <c r="S7" s="1008"/>
      <c r="T7" s="1008"/>
      <c r="U7" s="1008"/>
    </row>
    <row r="8" spans="1:21" s="542" customFormat="1">
      <c r="A8" s="552" t="s">
        <v>251</v>
      </c>
      <c r="B8" s="553">
        <f>N29</f>
        <v>0</v>
      </c>
      <c r="C8" s="554">
        <f>B48</f>
        <v>0</v>
      </c>
      <c r="D8" s="975"/>
      <c r="E8" s="975">
        <f>E48</f>
        <v>0</v>
      </c>
      <c r="F8" s="976"/>
      <c r="G8" s="555"/>
      <c r="H8" s="975">
        <f>I48</f>
        <v>0</v>
      </c>
      <c r="I8" s="975">
        <f>G48+F48</f>
        <v>0</v>
      </c>
      <c r="J8" s="975">
        <f>H48+D48+C48</f>
        <v>0</v>
      </c>
      <c r="K8" s="975"/>
      <c r="L8" s="975"/>
      <c r="M8" s="975"/>
      <c r="N8" s="556"/>
      <c r="O8" s="557">
        <f>C8*$C$12+D8*$D$12+E8*$E$12+F8*$F$12+G8*$G$12+H8*$H$12+I8*$I$12+J8*$J$12</f>
        <v>0</v>
      </c>
      <c r="P8" s="1236"/>
      <c r="Q8" s="1237"/>
      <c r="S8" s="1008"/>
      <c r="T8" s="1224"/>
      <c r="U8" s="1224"/>
    </row>
    <row r="9" spans="1:21" s="542" customFormat="1" ht="17.45" customHeight="1" thickBot="1">
      <c r="A9" s="558" t="s">
        <v>247</v>
      </c>
      <c r="B9" s="1012">
        <f>N36+'Eigen informatie GS &amp; warmtenet'!B12</f>
        <v>0</v>
      </c>
      <c r="C9" s="559">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0">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0">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0">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1">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0">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0">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0">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62">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2">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2"/>
      <c r="N9" s="969"/>
      <c r="O9" s="557">
        <f>C9*$C$12+D9*$D$12+E9*$E$12+F9*$F$12+G9*$G$12+H9*$H$12+I9*$I$12+J9*$J$12</f>
        <v>0</v>
      </c>
      <c r="P9" s="1238"/>
      <c r="Q9" s="1239"/>
      <c r="R9" s="563"/>
      <c r="S9" s="1008"/>
      <c r="T9" s="1224"/>
      <c r="U9" s="1224"/>
    </row>
    <row r="10" spans="1:21" s="542" customFormat="1" ht="16.5" thickTop="1" thickBot="1">
      <c r="A10" s="564" t="s">
        <v>115</v>
      </c>
      <c r="B10" s="565">
        <f>SUM(B4:B9)</f>
        <v>1453.0108428820563</v>
      </c>
      <c r="C10" s="566">
        <f t="shared" ref="C10:L10" si="0">SUM(C8:C9)</f>
        <v>0</v>
      </c>
      <c r="D10" s="566">
        <f t="shared" si="0"/>
        <v>0</v>
      </c>
      <c r="E10" s="566">
        <f t="shared" si="0"/>
        <v>0</v>
      </c>
      <c r="F10" s="566">
        <f t="shared" si="0"/>
        <v>0</v>
      </c>
      <c r="G10" s="566">
        <f t="shared" si="0"/>
        <v>0</v>
      </c>
      <c r="H10" s="566">
        <f t="shared" si="0"/>
        <v>0</v>
      </c>
      <c r="I10" s="566">
        <f t="shared" si="0"/>
        <v>0</v>
      </c>
      <c r="J10" s="566">
        <f t="shared" si="0"/>
        <v>0</v>
      </c>
      <c r="K10" s="566">
        <f t="shared" si="0"/>
        <v>0</v>
      </c>
      <c r="L10" s="566">
        <f t="shared" si="0"/>
        <v>0</v>
      </c>
      <c r="M10" s="970"/>
      <c r="N10" s="970"/>
      <c r="O10" s="567">
        <f>SUM(O4:O9)</f>
        <v>0</v>
      </c>
      <c r="P10" s="568"/>
      <c r="R10" s="1006"/>
      <c r="S10" s="1008"/>
      <c r="T10" s="1006"/>
      <c r="U10" s="1006"/>
    </row>
    <row r="11" spans="1:21" s="571" customFormat="1" ht="15.75" thickTop="1">
      <c r="A11" s="569"/>
      <c r="B11" s="570"/>
      <c r="C11" s="570"/>
      <c r="D11" s="570"/>
      <c r="E11" s="570"/>
      <c r="F11" s="570"/>
      <c r="G11" s="570"/>
      <c r="H11" s="570"/>
      <c r="I11" s="570"/>
      <c r="J11" s="570"/>
      <c r="K11" s="570"/>
      <c r="L11" s="570"/>
      <c r="M11" s="570"/>
      <c r="N11" s="570"/>
      <c r="P11" s="570"/>
      <c r="R11" s="570"/>
    </row>
    <row r="12" spans="1:21" s="571"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72"/>
      <c r="Q12" s="572"/>
      <c r="R12" s="572"/>
    </row>
    <row r="13" spans="1:21" s="542" customFormat="1" ht="15.75" thickBot="1">
      <c r="A13" s="573"/>
      <c r="B13" s="572"/>
      <c r="C13" s="572"/>
      <c r="D13" s="572"/>
      <c r="E13" s="572"/>
      <c r="F13" s="572"/>
      <c r="G13" s="572"/>
      <c r="H13" s="572"/>
      <c r="I13" s="572"/>
      <c r="J13" s="572"/>
      <c r="K13" s="572"/>
      <c r="L13" s="572"/>
      <c r="M13" s="572"/>
      <c r="N13" s="572"/>
      <c r="O13" s="572"/>
      <c r="P13" s="572"/>
      <c r="Q13" s="572"/>
      <c r="R13" s="572"/>
    </row>
    <row r="14" spans="1:21" s="542" customFormat="1" ht="17.25" thickTop="1" thickBot="1">
      <c r="A14" s="1240" t="s">
        <v>252</v>
      </c>
      <c r="B14" s="1240" t="s">
        <v>253</v>
      </c>
      <c r="C14" s="1248" t="s">
        <v>254</v>
      </c>
      <c r="D14" s="1249"/>
      <c r="E14" s="1249"/>
      <c r="F14" s="1249"/>
      <c r="G14" s="1249"/>
      <c r="H14" s="1249"/>
      <c r="I14" s="1249"/>
      <c r="J14" s="1249"/>
      <c r="K14" s="1249"/>
      <c r="L14" s="1249"/>
      <c r="M14" s="1249"/>
      <c r="N14" s="1250"/>
      <c r="O14" s="1229" t="s">
        <v>243</v>
      </c>
      <c r="P14" s="1228" t="s">
        <v>255</v>
      </c>
      <c r="Q14" s="1229"/>
      <c r="R14" s="1227"/>
      <c r="S14" s="1227"/>
      <c r="T14" s="1227"/>
    </row>
    <row r="15" spans="1:21" s="542" customFormat="1" ht="15.75" customHeight="1" thickBot="1">
      <c r="A15" s="1241"/>
      <c r="B15" s="1241"/>
      <c r="C15" s="1243" t="s">
        <v>196</v>
      </c>
      <c r="D15" s="1244"/>
      <c r="E15" s="1244"/>
      <c r="F15" s="1244"/>
      <c r="G15" s="1245"/>
      <c r="H15" s="1246" t="s">
        <v>244</v>
      </c>
      <c r="I15" s="1246" t="s">
        <v>245</v>
      </c>
      <c r="J15" s="1246" t="s">
        <v>233</v>
      </c>
      <c r="K15" s="1246" t="s">
        <v>256</v>
      </c>
      <c r="L15" s="1246" t="s">
        <v>126</v>
      </c>
      <c r="M15" s="1246" t="s">
        <v>908</v>
      </c>
      <c r="N15" s="1251" t="s">
        <v>909</v>
      </c>
      <c r="O15" s="1231"/>
      <c r="P15" s="1230"/>
      <c r="Q15" s="1231"/>
      <c r="R15" s="1227"/>
      <c r="S15" s="1227"/>
      <c r="T15" s="1227"/>
    </row>
    <row r="16" spans="1:21" s="542" customFormat="1" ht="40.700000000000003" customHeight="1" thickBot="1">
      <c r="A16" s="1242"/>
      <c r="B16" s="1242"/>
      <c r="C16" s="574" t="s">
        <v>198</v>
      </c>
      <c r="D16" s="1011" t="s">
        <v>199</v>
      </c>
      <c r="E16" s="968" t="s">
        <v>200</v>
      </c>
      <c r="F16" s="1011" t="s">
        <v>202</v>
      </c>
      <c r="G16" s="575" t="s">
        <v>203</v>
      </c>
      <c r="H16" s="1247"/>
      <c r="I16" s="1247"/>
      <c r="J16" s="1247"/>
      <c r="K16" s="1247"/>
      <c r="L16" s="1247"/>
      <c r="M16" s="1247"/>
      <c r="N16" s="1252"/>
      <c r="O16" s="1233"/>
      <c r="P16" s="1232"/>
      <c r="Q16" s="1233"/>
      <c r="R16" s="1227"/>
      <c r="S16" s="1227"/>
      <c r="T16" s="1227"/>
    </row>
    <row r="17" spans="1:26" s="542" customFormat="1" ht="15.75" thickTop="1">
      <c r="A17" s="576" t="s">
        <v>251</v>
      </c>
      <c r="B17" s="577">
        <f>O29</f>
        <v>0</v>
      </c>
      <c r="C17" s="578">
        <f>B49</f>
        <v>0</v>
      </c>
      <c r="D17" s="579"/>
      <c r="E17" s="579">
        <f>E49</f>
        <v>0</v>
      </c>
      <c r="F17" s="580"/>
      <c r="G17" s="581"/>
      <c r="H17" s="578">
        <f>I49</f>
        <v>0</v>
      </c>
      <c r="I17" s="579">
        <f>G49+F49</f>
        <v>0</v>
      </c>
      <c r="J17" s="579">
        <f>H49+D49+C49</f>
        <v>0</v>
      </c>
      <c r="K17" s="579"/>
      <c r="L17" s="579"/>
      <c r="M17" s="579"/>
      <c r="N17" s="971"/>
      <c r="O17" s="582">
        <f>C17*$C$22+E17*$E$22+H17*$H$22+I17*$I$22+J17*$J$22+D17*$D$22+F17*$F$22+G17*$G$22+K17*$K$22+L17*$L$22</f>
        <v>0</v>
      </c>
      <c r="P17" s="1219"/>
      <c r="Q17" s="1220"/>
      <c r="R17" s="1007"/>
      <c r="S17" s="1221"/>
      <c r="T17" s="1221"/>
    </row>
    <row r="18" spans="1:26" s="542" customFormat="1">
      <c r="A18" s="583" t="s">
        <v>257</v>
      </c>
      <c r="B18" s="584">
        <f>'Eigen informatie GS &amp; warmtenet'!B32</f>
        <v>0</v>
      </c>
      <c r="C18" s="975">
        <f>'Eigen informatie GS &amp; warmtenet'!B35</f>
        <v>0</v>
      </c>
      <c r="D18" s="975">
        <f>'Eigen informatie GS &amp; warmtenet'!B36</f>
        <v>0</v>
      </c>
      <c r="E18" s="975">
        <f>'Eigen informatie GS &amp; warmtenet'!B37</f>
        <v>0</v>
      </c>
      <c r="F18" s="975">
        <f>'Eigen informatie GS &amp; warmtenet'!B38</f>
        <v>0</v>
      </c>
      <c r="G18" s="975">
        <f>'Eigen informatie GS &amp; warmtenet'!B39</f>
        <v>0</v>
      </c>
      <c r="H18" s="975">
        <f>'Eigen informatie GS &amp; warmtenet'!B40</f>
        <v>0</v>
      </c>
      <c r="I18" s="975">
        <f>'Eigen informatie GS &amp; warmtenet'!B41</f>
        <v>0</v>
      </c>
      <c r="J18" s="975">
        <f>'Eigen informatie GS &amp; warmtenet'!B42</f>
        <v>0</v>
      </c>
      <c r="K18" s="975">
        <f>'Eigen informatie GS &amp; warmtenet'!B43</f>
        <v>0</v>
      </c>
      <c r="L18" s="975">
        <f>'Eigen informatie GS &amp; warmtenet'!B44</f>
        <v>0</v>
      </c>
      <c r="M18" s="975">
        <f>'Eigen informatie GS &amp; warmtenet'!B45</f>
        <v>0</v>
      </c>
      <c r="N18" s="975">
        <f>'Eigen informatie GS &amp; warmtenet'!B46</f>
        <v>0</v>
      </c>
      <c r="O18" s="582">
        <f>C18*$C$22+E18*$E$22+H18*$H$22+I18*$I$22+J18*$J$22+D18*$D$22+F18*$F$22+G18*$G$22+K18*$K$22+L18*$L$22</f>
        <v>0</v>
      </c>
      <c r="P18" s="1222"/>
      <c r="Q18" s="1223"/>
      <c r="R18" s="1008"/>
      <c r="S18" s="1224"/>
      <c r="T18" s="1224"/>
    </row>
    <row r="19" spans="1:26" s="542" customFormat="1" ht="15.75" thickBot="1">
      <c r="A19" s="558" t="s">
        <v>247</v>
      </c>
      <c r="B19" s="584">
        <f>'Eigen informatie GS &amp; warmtenet'!B11</f>
        <v>0</v>
      </c>
      <c r="C19" s="585">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5">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5">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5">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5">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5">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5">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5">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5">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75">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75"/>
      <c r="N19" s="972"/>
      <c r="O19" s="582">
        <f>C19*$C$22+E19*$E$22+H19*$H$22+I19*$I$22+J19*$J$22+D19*$D$22+F19*$F$22+G19*$G$22+K19*$K$22+L19*$L$22</f>
        <v>0</v>
      </c>
      <c r="P19" s="1225"/>
      <c r="Q19" s="1226"/>
      <c r="R19" s="1008"/>
      <c r="S19" s="1224"/>
      <c r="T19" s="1224"/>
    </row>
    <row r="20" spans="1:26" s="542" customFormat="1" ht="16.5" thickTop="1" thickBot="1">
      <c r="A20" s="564" t="s">
        <v>115</v>
      </c>
      <c r="B20" s="565">
        <f>SUM(B17:B19)</f>
        <v>0</v>
      </c>
      <c r="C20" s="565">
        <f>SUM(C17:C19)</f>
        <v>0</v>
      </c>
      <c r="D20" s="565">
        <f t="shared" ref="D20:L20" si="1">SUM(D17:D19)</f>
        <v>0</v>
      </c>
      <c r="E20" s="565">
        <f t="shared" si="1"/>
        <v>0</v>
      </c>
      <c r="F20" s="565">
        <f t="shared" si="1"/>
        <v>0</v>
      </c>
      <c r="G20" s="565">
        <f t="shared" si="1"/>
        <v>0</v>
      </c>
      <c r="H20" s="565">
        <f t="shared" si="1"/>
        <v>0</v>
      </c>
      <c r="I20" s="565">
        <f t="shared" si="1"/>
        <v>0</v>
      </c>
      <c r="J20" s="565">
        <f t="shared" si="1"/>
        <v>0</v>
      </c>
      <c r="K20" s="565">
        <f t="shared" si="1"/>
        <v>0</v>
      </c>
      <c r="L20" s="565">
        <f t="shared" si="1"/>
        <v>0</v>
      </c>
      <c r="M20" s="565"/>
      <c r="N20" s="565"/>
      <c r="O20" s="586">
        <f>SUM(O17:O19)</f>
        <v>0</v>
      </c>
      <c r="P20" s="1216"/>
      <c r="Q20" s="1217"/>
      <c r="R20" s="1008"/>
      <c r="S20" s="1218"/>
      <c r="T20" s="1218"/>
    </row>
    <row r="21" spans="1:26" s="542" customFormat="1" ht="15.75" thickTop="1">
      <c r="A21" s="1007"/>
      <c r="B21" s="1008"/>
      <c r="C21" s="1008"/>
      <c r="D21" s="1008"/>
      <c r="E21" s="1008"/>
      <c r="F21" s="1008"/>
      <c r="G21" s="1008"/>
      <c r="H21" s="1008"/>
      <c r="I21" s="1008"/>
      <c r="J21" s="1008"/>
      <c r="K21" s="1008"/>
      <c r="L21" s="1008"/>
      <c r="M21" s="1008"/>
      <c r="N21" s="1008"/>
      <c r="O21" s="1008"/>
      <c r="P21" s="1006"/>
      <c r="Q21" s="1006"/>
      <c r="R21" s="1008"/>
      <c r="S21" s="1006"/>
      <c r="T21" s="1006"/>
    </row>
    <row r="22" spans="1:26" s="571"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72"/>
      <c r="P22" s="572"/>
      <c r="Q22" s="572"/>
      <c r="R22" s="572"/>
      <c r="S22" s="542"/>
    </row>
    <row r="23" spans="1:26" s="571" customFormat="1">
      <c r="A23" s="573"/>
      <c r="B23" s="572"/>
      <c r="C23" s="572"/>
      <c r="D23" s="572"/>
      <c r="E23" s="572"/>
      <c r="F23" s="572"/>
      <c r="G23" s="572"/>
      <c r="H23" s="572"/>
      <c r="I23" s="572"/>
      <c r="J23" s="572"/>
      <c r="K23" s="572"/>
      <c r="L23" s="572"/>
      <c r="M23" s="572"/>
      <c r="N23" s="572"/>
      <c r="O23" s="572"/>
      <c r="P23" s="572"/>
      <c r="Q23" s="572"/>
      <c r="R23" s="572"/>
      <c r="S23" s="542"/>
    </row>
    <row r="24" spans="1:26" s="571" customFormat="1">
      <c r="A24" s="573"/>
      <c r="B24" s="572"/>
      <c r="C24" s="572"/>
      <c r="D24" s="587"/>
      <c r="E24" s="587"/>
      <c r="F24" s="587"/>
      <c r="G24" s="572"/>
      <c r="H24" s="572"/>
      <c r="I24" s="572"/>
      <c r="J24" s="572"/>
      <c r="K24" s="572"/>
      <c r="L24" s="572"/>
      <c r="M24" s="572"/>
      <c r="N24" s="572"/>
      <c r="O24" s="572"/>
      <c r="P24" s="572"/>
      <c r="Q24" s="572"/>
      <c r="R24" s="572"/>
    </row>
    <row r="25" spans="1:26" s="571" customFormat="1">
      <c r="A25" s="573"/>
      <c r="B25" s="572"/>
      <c r="C25" s="572"/>
      <c r="D25" s="587"/>
      <c r="E25" s="587"/>
      <c r="F25" s="587"/>
      <c r="G25" s="572"/>
      <c r="H25" s="572"/>
      <c r="I25" s="572"/>
      <c r="J25" s="572"/>
      <c r="K25" s="572"/>
      <c r="L25" s="572"/>
      <c r="M25" s="572"/>
      <c r="N25" s="572"/>
      <c r="O25" s="572"/>
      <c r="P25" s="572"/>
      <c r="Q25" s="572"/>
      <c r="R25" s="572"/>
    </row>
    <row r="26" spans="1:26" s="542" customFormat="1" ht="15.75" thickBot="1">
      <c r="B26" s="587"/>
      <c r="C26" s="587"/>
      <c r="D26" s="587"/>
      <c r="E26" s="587"/>
      <c r="F26" s="587"/>
      <c r="G26" s="587"/>
      <c r="H26" s="587"/>
      <c r="I26" s="587"/>
      <c r="J26" s="587"/>
      <c r="K26" s="587"/>
      <c r="L26" s="587"/>
      <c r="M26" s="587"/>
      <c r="N26" s="587"/>
      <c r="O26" s="587"/>
      <c r="P26" s="587"/>
      <c r="Q26" s="588"/>
      <c r="R26" s="588"/>
    </row>
    <row r="27" spans="1:26" s="542" customFormat="1" ht="45">
      <c r="A27" s="589" t="s">
        <v>278</v>
      </c>
      <c r="B27" s="634" t="s">
        <v>89</v>
      </c>
      <c r="C27" s="634" t="s">
        <v>90</v>
      </c>
      <c r="D27" s="634" t="s">
        <v>91</v>
      </c>
      <c r="E27" s="634" t="s">
        <v>92</v>
      </c>
      <c r="F27" s="634" t="s">
        <v>93</v>
      </c>
      <c r="G27" s="634" t="s">
        <v>94</v>
      </c>
      <c r="H27" s="634" t="s">
        <v>95</v>
      </c>
      <c r="I27" s="634" t="s">
        <v>96</v>
      </c>
      <c r="J27" s="634" t="s">
        <v>97</v>
      </c>
      <c r="K27" s="634" t="s">
        <v>98</v>
      </c>
      <c r="L27" s="634" t="s">
        <v>99</v>
      </c>
      <c r="M27" s="635" t="s">
        <v>297</v>
      </c>
      <c r="N27" s="635" t="s">
        <v>100</v>
      </c>
      <c r="O27" s="635" t="s">
        <v>101</v>
      </c>
      <c r="P27" s="635" t="s">
        <v>545</v>
      </c>
      <c r="Q27" s="635" t="s">
        <v>102</v>
      </c>
      <c r="R27" s="635" t="s">
        <v>103</v>
      </c>
      <c r="S27" s="635" t="s">
        <v>104</v>
      </c>
      <c r="T27" s="635" t="s">
        <v>105</v>
      </c>
      <c r="U27" s="635" t="s">
        <v>106</v>
      </c>
      <c r="V27" s="635" t="s">
        <v>107</v>
      </c>
      <c r="W27" s="634" t="s">
        <v>108</v>
      </c>
      <c r="X27" s="634" t="s">
        <v>298</v>
      </c>
      <c r="Y27" s="634" t="s">
        <v>109</v>
      </c>
      <c r="Z27" s="636" t="s">
        <v>299</v>
      </c>
    </row>
    <row r="28" spans="1:26" s="591" customFormat="1" ht="12.75">
      <c r="A28" s="590"/>
      <c r="B28" s="785"/>
      <c r="C28" s="785"/>
      <c r="D28" s="638"/>
      <c r="E28" s="637"/>
      <c r="F28" s="637"/>
      <c r="G28" s="637"/>
      <c r="H28" s="637"/>
      <c r="I28" s="637"/>
      <c r="J28" s="784"/>
      <c r="K28" s="784"/>
      <c r="L28" s="637"/>
      <c r="M28" s="637"/>
      <c r="N28" s="637"/>
      <c r="O28" s="637"/>
      <c r="P28" s="637"/>
      <c r="Q28" s="637"/>
      <c r="R28" s="637"/>
      <c r="S28" s="637"/>
      <c r="T28" s="637"/>
      <c r="U28" s="637"/>
      <c r="V28" s="637"/>
      <c r="W28" s="637"/>
      <c r="X28" s="637"/>
      <c r="Y28" s="637"/>
      <c r="Z28" s="639"/>
    </row>
    <row r="29" spans="1:26" s="573" customFormat="1">
      <c r="A29" s="593" t="s">
        <v>279</v>
      </c>
      <c r="B29" s="594"/>
      <c r="C29" s="594"/>
      <c r="D29" s="594"/>
      <c r="E29" s="594"/>
      <c r="F29" s="594"/>
      <c r="G29" s="594"/>
      <c r="H29" s="594"/>
      <c r="I29" s="594"/>
      <c r="J29" s="594"/>
      <c r="K29" s="594"/>
      <c r="L29" s="595"/>
      <c r="M29" s="595">
        <f>SUM(M28:M28)</f>
        <v>0</v>
      </c>
      <c r="N29" s="595">
        <f>SUM(N28:N28)</f>
        <v>0</v>
      </c>
      <c r="O29" s="595">
        <f>SUM(O28:O28)</f>
        <v>0</v>
      </c>
      <c r="P29" s="595">
        <f>SUM(P28:P28)</f>
        <v>0</v>
      </c>
      <c r="Q29" s="595">
        <f>SUM(Q28:Q28)</f>
        <v>0</v>
      </c>
      <c r="R29" s="595">
        <f>SUM(R28:R28)</f>
        <v>0</v>
      </c>
      <c r="S29" s="595">
        <f>SUM(S28:S28)</f>
        <v>0</v>
      </c>
      <c r="T29" s="595">
        <f>SUM(T28:T28)</f>
        <v>0</v>
      </c>
      <c r="U29" s="595">
        <f>SUM(U28:U28)</f>
        <v>0</v>
      </c>
      <c r="V29" s="595">
        <f>SUM(V28:V28)</f>
        <v>0</v>
      </c>
      <c r="W29" s="595">
        <f>SUM(W28:W28)</f>
        <v>0</v>
      </c>
      <c r="X29" s="596"/>
      <c r="Y29" s="596"/>
      <c r="Z29" s="597"/>
    </row>
    <row r="30" spans="1:26" s="573" customFormat="1">
      <c r="A30" s="593" t="s">
        <v>286</v>
      </c>
      <c r="B30" s="594"/>
      <c r="C30" s="594"/>
      <c r="D30" s="594"/>
      <c r="E30" s="594"/>
      <c r="F30" s="594"/>
      <c r="G30" s="594"/>
      <c r="H30" s="594"/>
      <c r="I30" s="594"/>
      <c r="J30" s="594"/>
      <c r="K30" s="594"/>
      <c r="L30" s="595"/>
      <c r="M30" s="595">
        <f>SUMIF($Z$28:$Z$28,"industrie",M28:M28)</f>
        <v>0</v>
      </c>
      <c r="N30" s="595">
        <f>SUMIF($Z$28:$Z$28,"industrie",N28:N28)</f>
        <v>0</v>
      </c>
      <c r="O30" s="595">
        <f>SUMIF($Z$28:$Z$28,"industrie",O28:O28)</f>
        <v>0</v>
      </c>
      <c r="P30" s="595">
        <f>SUMIF($Z$28:$Z$28,"industrie",P28:P28)</f>
        <v>0</v>
      </c>
      <c r="Q30" s="595">
        <f>SUMIF($Z$28:$Z$28,"industrie",Q28:Q28)</f>
        <v>0</v>
      </c>
      <c r="R30" s="595">
        <f>SUMIF($Z$28:$Z$28,"industrie",R28:R28)</f>
        <v>0</v>
      </c>
      <c r="S30" s="595">
        <f>SUMIF($Z$28:$Z$28,"industrie",S28:S28)</f>
        <v>0</v>
      </c>
      <c r="T30" s="595">
        <f>SUMIF($Z$28:$Z$28,"industrie",T28:T28)</f>
        <v>0</v>
      </c>
      <c r="U30" s="595">
        <f>SUMIF($Z$28:$Z$28,"industrie",U28:U28)</f>
        <v>0</v>
      </c>
      <c r="V30" s="595">
        <f>SUMIF($Z$28:$Z$28,"industrie",V28:V28)</f>
        <v>0</v>
      </c>
      <c r="W30" s="595">
        <f>SUMIF($Z$28:$Z$28,"industrie",W28:W28)</f>
        <v>0</v>
      </c>
      <c r="X30" s="596"/>
      <c r="Y30" s="596"/>
      <c r="Z30" s="597"/>
    </row>
    <row r="31" spans="1:26" s="573" customFormat="1">
      <c r="A31" s="593" t="s">
        <v>287</v>
      </c>
      <c r="B31" s="594"/>
      <c r="C31" s="594"/>
      <c r="D31" s="594"/>
      <c r="E31" s="594"/>
      <c r="F31" s="594"/>
      <c r="G31" s="594"/>
      <c r="H31" s="594"/>
      <c r="I31" s="594"/>
      <c r="J31" s="594"/>
      <c r="K31" s="594"/>
      <c r="L31" s="595"/>
      <c r="M31" s="595">
        <f ca="1">SUMIF($Z$28:AC28,"tertiair",M28:M28)</f>
        <v>0</v>
      </c>
      <c r="N31" s="595">
        <f ca="1">SUMIF($Z$28:AD28,"tertiair",N28:N28)</f>
        <v>0</v>
      </c>
      <c r="O31" s="595">
        <f ca="1">SUMIF($Z$28:AE28,"tertiair",O28:O28)</f>
        <v>0</v>
      </c>
      <c r="P31" s="595">
        <f ca="1">SUMIF($Z$28:AF28,"tertiair",P28:P28)</f>
        <v>0</v>
      </c>
      <c r="Q31" s="595">
        <f ca="1">SUMIF($Z$28:AG28,"tertiair",Q28:Q28)</f>
        <v>0</v>
      </c>
      <c r="R31" s="595">
        <f ca="1">SUMIF($Z$28:AH28,"tertiair",R28:R28)</f>
        <v>0</v>
      </c>
      <c r="S31" s="595">
        <f ca="1">SUMIF($Z$28:AI28,"tertiair",S28:S28)</f>
        <v>0</v>
      </c>
      <c r="T31" s="595">
        <f ca="1">SUMIF($Z$28:AJ28,"tertiair",T28:T28)</f>
        <v>0</v>
      </c>
      <c r="U31" s="595">
        <f ca="1">SUMIF($Z$28:AK28,"tertiair",U28:U28)</f>
        <v>0</v>
      </c>
      <c r="V31" s="595">
        <f ca="1">SUMIF($Z$28:AL28,"tertiair",V28:V28)</f>
        <v>0</v>
      </c>
      <c r="W31" s="595">
        <f ca="1">SUMIF($Z$28:AM28,"tertiair",W28:W28)</f>
        <v>0</v>
      </c>
      <c r="X31" s="596"/>
      <c r="Y31" s="596"/>
      <c r="Z31" s="597"/>
    </row>
    <row r="32" spans="1:26" s="573" customFormat="1" ht="15.75" thickBot="1">
      <c r="A32" s="598" t="s">
        <v>288</v>
      </c>
      <c r="B32" s="599"/>
      <c r="C32" s="599"/>
      <c r="D32" s="599"/>
      <c r="E32" s="599"/>
      <c r="F32" s="599"/>
      <c r="G32" s="599"/>
      <c r="H32" s="599"/>
      <c r="I32" s="599"/>
      <c r="J32" s="599"/>
      <c r="K32" s="599"/>
      <c r="L32" s="600"/>
      <c r="M32" s="600">
        <f>SUMIF($Z$28:$Z$28,"landbouw",M28:M28)</f>
        <v>0</v>
      </c>
      <c r="N32" s="600">
        <f>SUMIF($Z$28:$Z$28,"landbouw",N28:N28)</f>
        <v>0</v>
      </c>
      <c r="O32" s="600">
        <f>SUMIF($Z$28:$Z$28,"landbouw",O28:O28)</f>
        <v>0</v>
      </c>
      <c r="P32" s="600">
        <f>SUMIF($Z$28:$Z$28,"landbouw",P28:P28)</f>
        <v>0</v>
      </c>
      <c r="Q32" s="600">
        <f>SUMIF($Z$28:$Z$28,"landbouw",Q28:Q28)</f>
        <v>0</v>
      </c>
      <c r="R32" s="600">
        <f>SUMIF($Z$28:$Z$28,"landbouw",R28:R28)</f>
        <v>0</v>
      </c>
      <c r="S32" s="600">
        <f>SUMIF($Z$28:$Z$28,"landbouw",S28:S28)</f>
        <v>0</v>
      </c>
      <c r="T32" s="600">
        <f>SUMIF($Z$28:$Z$28,"landbouw",T28:T28)</f>
        <v>0</v>
      </c>
      <c r="U32" s="600">
        <f>SUMIF($Z$28:$Z$28,"landbouw",U28:U28)</f>
        <v>0</v>
      </c>
      <c r="V32" s="600">
        <f>SUMIF($Z$28:$Z$28,"landbouw",V28:V28)</f>
        <v>0</v>
      </c>
      <c r="W32" s="600">
        <f>SUMIF($Z$28:$Z$28,"landbouw",W28:W28)</f>
        <v>0</v>
      </c>
      <c r="X32" s="601"/>
      <c r="Y32" s="601"/>
      <c r="Z32" s="602"/>
    </row>
    <row r="33" spans="1:27" s="542" customFormat="1" ht="15.75" thickBot="1">
      <c r="A33" s="603"/>
      <c r="B33" s="604"/>
      <c r="C33" s="604"/>
      <c r="D33" s="604"/>
      <c r="E33" s="604"/>
      <c r="F33" s="604"/>
      <c r="G33" s="604"/>
      <c r="H33" s="604"/>
      <c r="I33" s="604"/>
      <c r="J33" s="604"/>
      <c r="K33" s="604"/>
      <c r="L33" s="587"/>
      <c r="M33" s="587"/>
      <c r="N33" s="587"/>
      <c r="O33" s="588"/>
      <c r="P33" s="588"/>
    </row>
    <row r="34" spans="1:27" s="542" customFormat="1" ht="45">
      <c r="A34" s="605" t="s">
        <v>280</v>
      </c>
      <c r="B34" s="634" t="s">
        <v>89</v>
      </c>
      <c r="C34" s="634" t="s">
        <v>90</v>
      </c>
      <c r="D34" s="634" t="s">
        <v>91</v>
      </c>
      <c r="E34" s="634" t="s">
        <v>92</v>
      </c>
      <c r="F34" s="634" t="s">
        <v>93</v>
      </c>
      <c r="G34" s="634" t="s">
        <v>94</v>
      </c>
      <c r="H34" s="634" t="s">
        <v>95</v>
      </c>
      <c r="I34" s="634" t="s">
        <v>96</v>
      </c>
      <c r="J34" s="634" t="s">
        <v>97</v>
      </c>
      <c r="K34" s="634" t="s">
        <v>98</v>
      </c>
      <c r="L34" s="634" t="s">
        <v>99</v>
      </c>
      <c r="M34" s="635" t="s">
        <v>297</v>
      </c>
      <c r="N34" s="635" t="s">
        <v>100</v>
      </c>
      <c r="O34" s="635" t="s">
        <v>101</v>
      </c>
      <c r="P34" s="635" t="s">
        <v>545</v>
      </c>
      <c r="Q34" s="635" t="s">
        <v>102</v>
      </c>
      <c r="R34" s="635" t="s">
        <v>103</v>
      </c>
      <c r="S34" s="635" t="s">
        <v>104</v>
      </c>
      <c r="T34" s="635" t="s">
        <v>105</v>
      </c>
      <c r="U34" s="635" t="s">
        <v>106</v>
      </c>
      <c r="V34" s="635" t="s">
        <v>107</v>
      </c>
      <c r="W34" s="634" t="s">
        <v>108</v>
      </c>
      <c r="X34" s="634" t="s">
        <v>298</v>
      </c>
      <c r="Y34" s="634" t="s">
        <v>109</v>
      </c>
      <c r="Z34" s="636" t="s">
        <v>299</v>
      </c>
    </row>
    <row r="35" spans="1:27" s="606" customFormat="1" ht="12.75">
      <c r="A35" s="592"/>
      <c r="B35" s="785"/>
      <c r="C35" s="785"/>
      <c r="D35" s="640"/>
      <c r="E35" s="640"/>
      <c r="F35" s="640"/>
      <c r="G35" s="640"/>
      <c r="H35" s="640"/>
      <c r="I35" s="640"/>
      <c r="J35" s="784"/>
      <c r="K35" s="784"/>
      <c r="L35" s="640"/>
      <c r="M35" s="640"/>
      <c r="N35" s="640"/>
      <c r="O35" s="640"/>
      <c r="P35" s="640"/>
      <c r="Q35" s="640"/>
      <c r="R35" s="640"/>
      <c r="S35" s="640"/>
      <c r="T35" s="640"/>
      <c r="U35" s="640"/>
      <c r="V35" s="640"/>
      <c r="W35" s="640"/>
      <c r="X35" s="640"/>
      <c r="Y35" s="640"/>
      <c r="Z35" s="641"/>
    </row>
    <row r="36" spans="1:27" s="573" customFormat="1">
      <c r="A36" s="593" t="s">
        <v>279</v>
      </c>
      <c r="B36" s="594"/>
      <c r="C36" s="594"/>
      <c r="D36" s="594"/>
      <c r="E36" s="594"/>
      <c r="F36" s="594"/>
      <c r="G36" s="594"/>
      <c r="H36" s="594"/>
      <c r="I36" s="594"/>
      <c r="J36" s="594"/>
      <c r="K36" s="594"/>
      <c r="L36" s="595"/>
      <c r="M36" s="595">
        <f>SUM(M35:M35)</f>
        <v>0</v>
      </c>
      <c r="N36" s="595">
        <f>SUM(N35:N35)</f>
        <v>0</v>
      </c>
      <c r="O36" s="595">
        <f>SUM(O35:O35)</f>
        <v>0</v>
      </c>
      <c r="P36" s="595">
        <f>SUM(P35:P35)</f>
        <v>0</v>
      </c>
      <c r="Q36" s="595">
        <f>SUM(Q35:Q35)</f>
        <v>0</v>
      </c>
      <c r="R36" s="595">
        <f>SUM(R35:R35)</f>
        <v>0</v>
      </c>
      <c r="S36" s="595">
        <f>SUM(S35:S35)</f>
        <v>0</v>
      </c>
      <c r="T36" s="595">
        <f>SUM(T35:T35)</f>
        <v>0</v>
      </c>
      <c r="U36" s="595">
        <f>SUM(U35:U35)</f>
        <v>0</v>
      </c>
      <c r="V36" s="595">
        <f>SUM(V35:V35)</f>
        <v>0</v>
      </c>
      <c r="W36" s="595">
        <f>SUM(W35:W35)</f>
        <v>0</v>
      </c>
      <c r="X36" s="596"/>
      <c r="Y36" s="596"/>
      <c r="Z36" s="597"/>
    </row>
    <row r="37" spans="1:27" s="573" customFormat="1">
      <c r="A37" s="593" t="s">
        <v>286</v>
      </c>
      <c r="B37" s="594"/>
      <c r="C37" s="594"/>
      <c r="D37" s="594"/>
      <c r="E37" s="594"/>
      <c r="F37" s="594"/>
      <c r="G37" s="594"/>
      <c r="H37" s="594"/>
      <c r="I37" s="594"/>
      <c r="J37" s="594"/>
      <c r="K37" s="594"/>
      <c r="L37" s="595"/>
      <c r="M37" s="595">
        <f>SUMIF($Z$35:$Z$35,"industrie",M35:M35)</f>
        <v>0</v>
      </c>
      <c r="N37" s="595">
        <f>SUMIF($Z$35:$Z$35,"industrie",N35:N35)</f>
        <v>0</v>
      </c>
      <c r="O37" s="595">
        <f>SUMIF($Z$35:$Z$35,"industrie",O35:O35)</f>
        <v>0</v>
      </c>
      <c r="P37" s="595">
        <f>SUMIF($Z$35:$Z$35,"industrie",P35:P35)</f>
        <v>0</v>
      </c>
      <c r="Q37" s="595">
        <f>SUMIF($Z$35:$Z$35,"industrie",Q35:Q35)</f>
        <v>0</v>
      </c>
      <c r="R37" s="595">
        <f>SUMIF($Z$35:$Z$35,"industrie",R35:R35)</f>
        <v>0</v>
      </c>
      <c r="S37" s="595">
        <f>SUMIF($Z$35:$Z$35,"industrie",S35:S35)</f>
        <v>0</v>
      </c>
      <c r="T37" s="595">
        <f>SUMIF($Z$35:$Z$35,"industrie",T35:T35)</f>
        <v>0</v>
      </c>
      <c r="U37" s="595">
        <f>SUMIF($Z$35:$Z$35,"industrie",U35:U35)</f>
        <v>0</v>
      </c>
      <c r="V37" s="595">
        <f>SUMIF($Z$35:$Z$35,"industrie",V35:V35)</f>
        <v>0</v>
      </c>
      <c r="W37" s="595">
        <f>SUMIF($Z$35:$Z$35,"industrie",W35:W35)</f>
        <v>0</v>
      </c>
      <c r="X37" s="596"/>
      <c r="Y37" s="596"/>
      <c r="Z37" s="597"/>
    </row>
    <row r="38" spans="1:27" s="573" customFormat="1">
      <c r="A38" s="593" t="s">
        <v>287</v>
      </c>
      <c r="B38" s="594"/>
      <c r="C38" s="594"/>
      <c r="D38" s="594"/>
      <c r="E38" s="594"/>
      <c r="F38" s="594"/>
      <c r="G38" s="594"/>
      <c r="H38" s="594"/>
      <c r="I38" s="594"/>
      <c r="J38" s="594"/>
      <c r="K38" s="594"/>
      <c r="L38" s="595"/>
      <c r="M38" s="595">
        <f>SUMIF($Z$35:$Z$36,"tertiair",M35:M36)</f>
        <v>0</v>
      </c>
      <c r="N38" s="595">
        <f>SUMIF($Z$35:$Z$36,"tertiair",N35:N36)</f>
        <v>0</v>
      </c>
      <c r="O38" s="595">
        <f>SUMIF($Z$35:$Z$36,"tertiair",O35:O36)</f>
        <v>0</v>
      </c>
      <c r="P38" s="595">
        <f>SUMIF($Z$35:$Z$36,"tertiair",P35:P36)</f>
        <v>0</v>
      </c>
      <c r="Q38" s="595">
        <f>SUMIF($Z$35:$Z$36,"tertiair",Q35:Q36)</f>
        <v>0</v>
      </c>
      <c r="R38" s="595">
        <f>SUMIF($Z$35:$Z$36,"tertiair",R35:R36)</f>
        <v>0</v>
      </c>
      <c r="S38" s="595">
        <f>SUMIF($Z$35:$Z$36,"tertiair",S35:S36)</f>
        <v>0</v>
      </c>
      <c r="T38" s="595">
        <f>SUMIF($Z$35:$Z$36,"tertiair",T35:T36)</f>
        <v>0</v>
      </c>
      <c r="U38" s="595">
        <f>SUMIF($Z$35:$Z$36,"tertiair",U35:U36)</f>
        <v>0</v>
      </c>
      <c r="V38" s="595">
        <f>SUMIF($Z$35:$Z$36,"tertiair",V35:V36)</f>
        <v>0</v>
      </c>
      <c r="W38" s="595">
        <f>SUMIF($Z$35:$Z$36,"tertiair",W35:W36)</f>
        <v>0</v>
      </c>
      <c r="X38" s="596"/>
      <c r="Y38" s="596"/>
      <c r="Z38" s="597"/>
    </row>
    <row r="39" spans="1:27" s="573" customFormat="1" ht="15.75" thickBot="1">
      <c r="A39" s="598" t="s">
        <v>288</v>
      </c>
      <c r="B39" s="599"/>
      <c r="C39" s="599"/>
      <c r="D39" s="599"/>
      <c r="E39" s="599"/>
      <c r="F39" s="599"/>
      <c r="G39" s="599"/>
      <c r="H39" s="599"/>
      <c r="I39" s="599"/>
      <c r="J39" s="599"/>
      <c r="K39" s="599"/>
      <c r="L39" s="600"/>
      <c r="M39" s="600">
        <f>SUMIF($Z$35:$Z$37,"landbouw",M35:M37)</f>
        <v>0</v>
      </c>
      <c r="N39" s="600">
        <f>SUMIF($Z$35:$Z$37,"landbouw",N35:N37)</f>
        <v>0</v>
      </c>
      <c r="O39" s="600">
        <f>SUMIF($Z$35:$Z$37,"landbouw",O35:O37)</f>
        <v>0</v>
      </c>
      <c r="P39" s="600">
        <f>SUMIF($Z$35:$Z$37,"landbouw",P35:P37)</f>
        <v>0</v>
      </c>
      <c r="Q39" s="600">
        <f>SUMIF($Z$35:$Z$37,"landbouw",Q35:Q37)</f>
        <v>0</v>
      </c>
      <c r="R39" s="600">
        <f>SUMIF($Z$35:$Z$37,"landbouw",R35:R37)</f>
        <v>0</v>
      </c>
      <c r="S39" s="600">
        <f>SUMIF($Z$35:$Z$37,"landbouw",S35:S37)</f>
        <v>0</v>
      </c>
      <c r="T39" s="600">
        <f>SUMIF($Z$35:$Z$37,"landbouw",T35:T37)</f>
        <v>0</v>
      </c>
      <c r="U39" s="600">
        <f>SUMIF($Z$35:$Z$37,"landbouw",U35:U37)</f>
        <v>0</v>
      </c>
      <c r="V39" s="600">
        <f>SUMIF($Z$35:$Z$37,"landbouw",V35:V37)</f>
        <v>0</v>
      </c>
      <c r="W39" s="600">
        <f>SUMIF($Z$35:$Z$37,"landbouw",W35:W37)</f>
        <v>0</v>
      </c>
      <c r="X39" s="601"/>
      <c r="Y39" s="601"/>
      <c r="Z39" s="602"/>
    </row>
    <row r="40" spans="1:27" s="607" customFormat="1">
      <c r="A40" s="603"/>
      <c r="B40" s="587"/>
      <c r="C40" s="587"/>
      <c r="D40" s="587"/>
      <c r="E40" s="587"/>
      <c r="F40" s="587"/>
      <c r="G40" s="587"/>
      <c r="H40" s="587"/>
      <c r="I40" s="587"/>
      <c r="J40" s="587"/>
      <c r="K40" s="587"/>
      <c r="L40" s="587"/>
      <c r="M40" s="587"/>
      <c r="N40" s="587"/>
      <c r="O40" s="587"/>
      <c r="P40" s="587"/>
      <c r="Q40" s="587"/>
      <c r="R40" s="587"/>
      <c r="S40" s="587"/>
      <c r="T40" s="587"/>
      <c r="U40" s="587"/>
      <c r="V40" s="587"/>
      <c r="W40" s="587"/>
      <c r="X40" s="587"/>
      <c r="Y40" s="587"/>
    </row>
    <row r="41" spans="1:27" s="607" customFormat="1" ht="15.75" thickBot="1">
      <c r="A41" s="603"/>
      <c r="B41" s="587"/>
      <c r="C41" s="587"/>
      <c r="D41" s="587"/>
      <c r="E41" s="587"/>
      <c r="F41" s="587"/>
      <c r="G41" s="587"/>
      <c r="H41" s="587"/>
      <c r="I41" s="587"/>
      <c r="J41" s="587"/>
      <c r="K41" s="587"/>
      <c r="L41" s="587"/>
      <c r="M41" s="587"/>
      <c r="N41" s="587"/>
      <c r="O41" s="587"/>
      <c r="P41" s="587"/>
      <c r="Q41" s="587"/>
      <c r="R41" s="587"/>
      <c r="S41" s="587"/>
      <c r="T41" s="587"/>
      <c r="U41" s="587"/>
      <c r="V41" s="587"/>
      <c r="W41" s="587"/>
      <c r="X41" s="587"/>
      <c r="Y41" s="587"/>
      <c r="Z41" s="587"/>
      <c r="AA41" s="587"/>
    </row>
    <row r="42" spans="1:27">
      <c r="A42" s="608" t="s">
        <v>281</v>
      </c>
      <c r="B42" s="609"/>
      <c r="C42" s="609"/>
      <c r="D42" s="609"/>
      <c r="E42" s="609"/>
      <c r="F42" s="609"/>
      <c r="G42" s="609"/>
      <c r="H42" s="609"/>
      <c r="I42" s="610"/>
      <c r="J42" s="611"/>
      <c r="K42" s="611"/>
      <c r="L42" s="612"/>
      <c r="M42" s="612"/>
      <c r="N42" s="612"/>
      <c r="O42" s="612"/>
      <c r="P42" s="612"/>
    </row>
    <row r="43" spans="1:27">
      <c r="A43" s="614"/>
      <c r="B43" s="604"/>
      <c r="C43" s="604"/>
      <c r="D43" s="604"/>
      <c r="E43" s="604"/>
      <c r="F43" s="604"/>
      <c r="G43" s="604"/>
      <c r="H43" s="604"/>
      <c r="I43" s="615"/>
      <c r="J43" s="604"/>
      <c r="K43" s="604"/>
      <c r="L43" s="612"/>
      <c r="M43" s="612"/>
      <c r="N43" s="612"/>
      <c r="O43" s="612"/>
      <c r="P43" s="612"/>
    </row>
    <row r="44" spans="1:27">
      <c r="A44" s="616"/>
      <c r="B44" s="617" t="s">
        <v>282</v>
      </c>
      <c r="C44" s="617" t="s">
        <v>283</v>
      </c>
      <c r="D44" s="617"/>
      <c r="E44" s="617"/>
      <c r="F44" s="617"/>
      <c r="G44" s="617"/>
      <c r="H44" s="617"/>
      <c r="I44" s="618"/>
      <c r="J44" s="617"/>
      <c r="K44" s="617"/>
      <c r="L44" s="617"/>
      <c r="M44" s="617"/>
      <c r="N44" s="617"/>
      <c r="O44" s="617"/>
      <c r="P44" s="612"/>
    </row>
    <row r="45" spans="1:27">
      <c r="A45" s="614" t="s">
        <v>279</v>
      </c>
      <c r="B45" s="619">
        <f>IF(ISERROR(O29/(O29+N29)),0,O29/(O29+N29))</f>
        <v>0</v>
      </c>
      <c r="C45" s="620">
        <f>IF(ISERROR(N29/(O29+N29)),0,N29/(N29+O29))</f>
        <v>0</v>
      </c>
      <c r="D45" s="587"/>
      <c r="E45" s="587"/>
      <c r="F45" s="587"/>
      <c r="G45" s="587"/>
      <c r="H45" s="587"/>
      <c r="I45" s="621"/>
      <c r="J45" s="587"/>
      <c r="K45" s="587"/>
      <c r="L45" s="622"/>
      <c r="M45" s="622"/>
      <c r="N45" s="622"/>
      <c r="O45" s="622"/>
      <c r="P45" s="612"/>
    </row>
    <row r="46" spans="1:27">
      <c r="A46" s="614"/>
      <c r="B46" s="623"/>
      <c r="C46" s="623"/>
      <c r="D46" s="623"/>
      <c r="E46" s="623"/>
      <c r="F46" s="623"/>
      <c r="G46" s="623"/>
      <c r="H46" s="623"/>
      <c r="I46" s="624"/>
      <c r="J46" s="623"/>
      <c r="K46" s="623"/>
      <c r="L46" s="625"/>
      <c r="M46" s="625"/>
      <c r="N46" s="625"/>
      <c r="O46" s="625"/>
      <c r="P46" s="612"/>
    </row>
    <row r="47" spans="1:27" ht="30">
      <c r="A47" s="626"/>
      <c r="B47" s="627" t="s">
        <v>545</v>
      </c>
      <c r="C47" s="627" t="s">
        <v>102</v>
      </c>
      <c r="D47" s="627" t="s">
        <v>103</v>
      </c>
      <c r="E47" s="627" t="s">
        <v>104</v>
      </c>
      <c r="F47" s="627" t="s">
        <v>105</v>
      </c>
      <c r="G47" s="627" t="s">
        <v>106</v>
      </c>
      <c r="H47" s="627" t="s">
        <v>107</v>
      </c>
      <c r="I47" s="628" t="s">
        <v>108</v>
      </c>
      <c r="J47" s="617"/>
      <c r="K47" s="617"/>
      <c r="L47" s="625"/>
      <c r="M47" s="625"/>
      <c r="N47" s="625"/>
      <c r="O47" s="612"/>
      <c r="P47" s="612"/>
    </row>
    <row r="48" spans="1:27">
      <c r="A48" s="616" t="s">
        <v>284</v>
      </c>
      <c r="B48" s="629">
        <f t="shared" ref="B48:I48" si="2">$C$45*P29</f>
        <v>0</v>
      </c>
      <c r="C48" s="629">
        <f t="shared" si="2"/>
        <v>0</v>
      </c>
      <c r="D48" s="629">
        <f t="shared" si="2"/>
        <v>0</v>
      </c>
      <c r="E48" s="629">
        <f t="shared" si="2"/>
        <v>0</v>
      </c>
      <c r="F48" s="629">
        <f t="shared" si="2"/>
        <v>0</v>
      </c>
      <c r="G48" s="629">
        <f t="shared" si="2"/>
        <v>0</v>
      </c>
      <c r="H48" s="629">
        <f t="shared" si="2"/>
        <v>0</v>
      </c>
      <c r="I48" s="630">
        <f t="shared" si="2"/>
        <v>0</v>
      </c>
      <c r="J48" s="587"/>
      <c r="K48" s="587"/>
      <c r="L48" s="625"/>
      <c r="M48" s="625"/>
      <c r="N48" s="625"/>
      <c r="O48" s="612"/>
      <c r="P48" s="612"/>
    </row>
    <row r="49" spans="1:16" ht="15.75" thickBot="1">
      <c r="A49" s="631" t="s">
        <v>285</v>
      </c>
      <c r="B49" s="632">
        <f t="shared" ref="B49:I49" si="3">$B$45*P29</f>
        <v>0</v>
      </c>
      <c r="C49" s="632">
        <f t="shared" si="3"/>
        <v>0</v>
      </c>
      <c r="D49" s="632">
        <f t="shared" si="3"/>
        <v>0</v>
      </c>
      <c r="E49" s="632">
        <f t="shared" si="3"/>
        <v>0</v>
      </c>
      <c r="F49" s="632">
        <f t="shared" si="3"/>
        <v>0</v>
      </c>
      <c r="G49" s="632">
        <f t="shared" si="3"/>
        <v>0</v>
      </c>
      <c r="H49" s="632">
        <f t="shared" si="3"/>
        <v>0</v>
      </c>
      <c r="I49" s="633">
        <f t="shared" si="3"/>
        <v>0</v>
      </c>
      <c r="J49" s="587"/>
      <c r="K49" s="587"/>
      <c r="L49" s="625"/>
      <c r="M49" s="625"/>
      <c r="N49" s="625"/>
      <c r="O49" s="612"/>
      <c r="P49" s="612"/>
    </row>
    <row r="50" spans="1:16">
      <c r="J50" s="571"/>
      <c r="K50" s="571"/>
      <c r="L50" s="571"/>
      <c r="M50" s="571"/>
      <c r="N50" s="571"/>
    </row>
    <row r="51" spans="1:16">
      <c r="J51" s="571"/>
      <c r="K51" s="571"/>
      <c r="L51" s="571"/>
      <c r="M51" s="571"/>
      <c r="N51" s="571"/>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51.85546875" customWidth="1"/>
    <col min="6" max="6" width="57.7109375" bestFit="1" customWidth="1"/>
    <col min="7" max="7" width="12.5703125" bestFit="1" customWidth="1"/>
    <col min="8" max="8" width="40" bestFit="1" customWidth="1"/>
  </cols>
  <sheetData>
    <row r="1" spans="1:8" s="8" customFormat="1">
      <c r="A1" s="357" t="s">
        <v>418</v>
      </c>
      <c r="B1" s="357" t="s">
        <v>425</v>
      </c>
      <c r="C1" s="357" t="s">
        <v>424</v>
      </c>
      <c r="D1" s="357" t="s">
        <v>423</v>
      </c>
      <c r="E1" s="358" t="s">
        <v>419</v>
      </c>
      <c r="F1" s="359" t="s">
        <v>420</v>
      </c>
      <c r="G1" s="359" t="s">
        <v>421</v>
      </c>
      <c r="H1" s="359" t="s">
        <v>422</v>
      </c>
    </row>
    <row r="2" spans="1:8" s="11" customFormat="1">
      <c r="A2" s="1044" t="s">
        <v>948</v>
      </c>
      <c r="B2" s="1045" t="s">
        <v>949</v>
      </c>
      <c r="C2" s="1044" t="s">
        <v>747</v>
      </c>
      <c r="D2" s="1044" t="s">
        <v>817</v>
      </c>
      <c r="E2" s="897"/>
      <c r="F2" s="904" t="s">
        <v>820</v>
      </c>
      <c r="G2" s="904" t="s">
        <v>821</v>
      </c>
      <c r="H2" s="350" t="s">
        <v>822</v>
      </c>
    </row>
    <row r="3" spans="1:8" s="11" customFormat="1">
      <c r="A3" s="1041" t="s">
        <v>946</v>
      </c>
      <c r="B3" s="1042" t="s">
        <v>945</v>
      </c>
      <c r="C3" s="1041" t="s">
        <v>192</v>
      </c>
      <c r="D3" s="1043" t="s">
        <v>947</v>
      </c>
      <c r="E3" s="897"/>
      <c r="F3" s="898" t="s">
        <v>811</v>
      </c>
      <c r="G3" s="898" t="s">
        <v>812</v>
      </c>
      <c r="H3" s="898" t="s">
        <v>813</v>
      </c>
    </row>
    <row r="4" spans="1:8" s="11" customFormat="1">
      <c r="A4" s="351" t="s">
        <v>411</v>
      </c>
      <c r="B4" s="789">
        <v>2012</v>
      </c>
      <c r="C4" s="351" t="s">
        <v>411</v>
      </c>
      <c r="D4" s="351"/>
      <c r="E4" s="352"/>
      <c r="F4" s="901" t="s">
        <v>814</v>
      </c>
      <c r="G4" s="901" t="s">
        <v>815</v>
      </c>
      <c r="H4" s="901" t="s">
        <v>816</v>
      </c>
    </row>
    <row r="5" spans="1:8">
      <c r="A5" s="346" t="s">
        <v>404</v>
      </c>
      <c r="B5" s="347" t="s">
        <v>405</v>
      </c>
      <c r="C5" s="346" t="s">
        <v>404</v>
      </c>
      <c r="D5" s="346" t="s">
        <v>719</v>
      </c>
      <c r="E5" s="348"/>
      <c r="F5" s="349" t="s">
        <v>406</v>
      </c>
      <c r="G5" s="349" t="s">
        <v>407</v>
      </c>
      <c r="H5" s="350" t="s">
        <v>408</v>
      </c>
    </row>
    <row r="6" spans="1:8">
      <c r="A6" s="346" t="s">
        <v>409</v>
      </c>
      <c r="B6" s="347" t="s">
        <v>405</v>
      </c>
      <c r="C6" s="346" t="s">
        <v>409</v>
      </c>
      <c r="D6" s="346" t="s">
        <v>720</v>
      </c>
      <c r="E6" s="348"/>
      <c r="F6" s="349" t="s">
        <v>799</v>
      </c>
      <c r="G6" s="349" t="s">
        <v>807</v>
      </c>
      <c r="H6" s="350" t="s">
        <v>808</v>
      </c>
    </row>
    <row r="7" spans="1:8">
      <c r="A7" s="351" t="s">
        <v>436</v>
      </c>
      <c r="B7" s="355" t="s">
        <v>437</v>
      </c>
      <c r="C7" s="351" t="s">
        <v>439</v>
      </c>
      <c r="D7" s="351" t="s">
        <v>435</v>
      </c>
      <c r="E7" s="348" t="s">
        <v>438</v>
      </c>
      <c r="F7" s="349"/>
      <c r="G7" s="349"/>
      <c r="H7" s="350"/>
    </row>
    <row r="8" spans="1:8">
      <c r="A8" s="896" t="s">
        <v>823</v>
      </c>
      <c r="B8" s="902">
        <v>2011</v>
      </c>
      <c r="C8" s="896" t="s">
        <v>411</v>
      </c>
      <c r="D8" s="896" t="s">
        <v>824</v>
      </c>
      <c r="E8" s="903" t="s">
        <v>825</v>
      </c>
      <c r="F8" s="904"/>
      <c r="G8" s="904"/>
      <c r="H8" s="350"/>
    </row>
    <row r="9" spans="1:8">
      <c r="A9" s="896" t="s">
        <v>837</v>
      </c>
      <c r="B9" s="902" t="s">
        <v>838</v>
      </c>
      <c r="C9" s="896" t="s">
        <v>841</v>
      </c>
      <c r="D9" s="896" t="s">
        <v>840</v>
      </c>
      <c r="E9" s="903" t="s">
        <v>836</v>
      </c>
      <c r="F9" s="904"/>
      <c r="G9" s="904"/>
      <c r="H9" s="350"/>
    </row>
    <row r="10" spans="1:8">
      <c r="A10" s="351" t="s">
        <v>638</v>
      </c>
      <c r="B10" s="347" t="s">
        <v>639</v>
      </c>
      <c r="C10" s="351" t="s">
        <v>640</v>
      </c>
      <c r="D10" s="351" t="s">
        <v>641</v>
      </c>
      <c r="E10" s="348"/>
      <c r="F10" s="349" t="s">
        <v>800</v>
      </c>
      <c r="G10" s="349" t="s">
        <v>809</v>
      </c>
      <c r="H10" s="350" t="s">
        <v>810</v>
      </c>
    </row>
    <row r="11" spans="1:8">
      <c r="A11" s="346" t="s">
        <v>796</v>
      </c>
      <c r="B11" s="347" t="s">
        <v>797</v>
      </c>
      <c r="C11" s="346" t="s">
        <v>798</v>
      </c>
      <c r="D11" s="346" t="s">
        <v>649</v>
      </c>
      <c r="E11" s="683"/>
      <c r="F11" s="349" t="s">
        <v>804</v>
      </c>
      <c r="G11" s="349" t="s">
        <v>805</v>
      </c>
      <c r="H11" s="350" t="s">
        <v>806</v>
      </c>
    </row>
    <row r="12" spans="1:8">
      <c r="A12" s="896" t="s">
        <v>818</v>
      </c>
      <c r="B12" s="902">
        <v>2017</v>
      </c>
      <c r="C12" s="896" t="s">
        <v>429</v>
      </c>
      <c r="D12" s="896" t="s">
        <v>819</v>
      </c>
      <c r="E12" s="903"/>
      <c r="F12" s="904" t="s">
        <v>820</v>
      </c>
      <c r="G12" s="904" t="s">
        <v>821</v>
      </c>
      <c r="H12" s="350" t="s">
        <v>822</v>
      </c>
    </row>
    <row r="13" spans="1:8" s="10" customFormat="1">
      <c r="A13" s="351" t="s">
        <v>413</v>
      </c>
      <c r="B13" s="347" t="s">
        <v>428</v>
      </c>
      <c r="C13" s="346"/>
      <c r="D13" s="356" t="s">
        <v>427</v>
      </c>
      <c r="E13" s="348"/>
      <c r="F13" s="349"/>
      <c r="G13" s="349"/>
      <c r="H13" s="350"/>
    </row>
    <row r="14" spans="1:8">
      <c r="A14" s="346" t="s">
        <v>396</v>
      </c>
      <c r="B14" s="347" t="s">
        <v>402</v>
      </c>
      <c r="C14" s="346" t="s">
        <v>401</v>
      </c>
      <c r="D14" s="346" t="s">
        <v>403</v>
      </c>
      <c r="E14" s="354" t="s">
        <v>397</v>
      </c>
      <c r="F14" s="349" t="s">
        <v>398</v>
      </c>
      <c r="G14" s="349" t="s">
        <v>399</v>
      </c>
      <c r="H14" s="349" t="s">
        <v>400</v>
      </c>
    </row>
    <row r="15" spans="1:8">
      <c r="A15" s="346" t="s">
        <v>412</v>
      </c>
      <c r="B15" s="347" t="s">
        <v>405</v>
      </c>
      <c r="C15" s="346" t="s">
        <v>412</v>
      </c>
      <c r="D15" s="346" t="s">
        <v>426</v>
      </c>
      <c r="E15" s="348"/>
      <c r="F15" s="349" t="s">
        <v>857</v>
      </c>
      <c r="G15" s="349" t="s">
        <v>858</v>
      </c>
      <c r="H15" s="350" t="s">
        <v>859</v>
      </c>
    </row>
    <row r="16" spans="1:8">
      <c r="A16" s="346" t="s">
        <v>517</v>
      </c>
      <c r="B16" s="347" t="s">
        <v>381</v>
      </c>
      <c r="C16" s="346" t="s">
        <v>379</v>
      </c>
      <c r="D16" s="356" t="s">
        <v>380</v>
      </c>
      <c r="E16" s="348" t="s">
        <v>382</v>
      </c>
      <c r="F16" s="349" t="s">
        <v>801</v>
      </c>
      <c r="G16" s="349" t="s">
        <v>802</v>
      </c>
      <c r="H16" s="350" t="s">
        <v>803</v>
      </c>
    </row>
    <row r="17" spans="1:8">
      <c r="A17" s="346" t="s">
        <v>517</v>
      </c>
      <c r="B17" s="347" t="s">
        <v>845</v>
      </c>
      <c r="C17" s="346" t="s">
        <v>849</v>
      </c>
      <c r="D17" s="356" t="s">
        <v>850</v>
      </c>
      <c r="E17" s="348"/>
      <c r="F17" s="349" t="s">
        <v>801</v>
      </c>
      <c r="G17" s="349" t="s">
        <v>802</v>
      </c>
      <c r="H17" s="350" t="s">
        <v>803</v>
      </c>
    </row>
    <row r="18" spans="1:8">
      <c r="A18" s="351" t="s">
        <v>516</v>
      </c>
      <c r="B18" s="355" t="s">
        <v>405</v>
      </c>
      <c r="C18" s="351" t="s">
        <v>429</v>
      </c>
      <c r="D18" s="351" t="s">
        <v>377</v>
      </c>
      <c r="E18" s="348"/>
      <c r="F18" s="349" t="s">
        <v>801</v>
      </c>
      <c r="G18" s="349" t="s">
        <v>802</v>
      </c>
      <c r="H18" s="350" t="s">
        <v>803</v>
      </c>
    </row>
    <row r="19" spans="1:8" s="10" customFormat="1">
      <c r="A19" s="351" t="s">
        <v>515</v>
      </c>
      <c r="B19" s="355" t="s">
        <v>514</v>
      </c>
      <c r="C19" s="351" t="s">
        <v>513</v>
      </c>
      <c r="D19" s="351" t="s">
        <v>512</v>
      </c>
      <c r="E19" s="344"/>
      <c r="F19" s="345"/>
      <c r="G19" s="345"/>
      <c r="H19" s="353"/>
    </row>
    <row r="20" spans="1:8">
      <c r="A20" s="351" t="s">
        <v>192</v>
      </c>
      <c r="B20" s="789" t="s">
        <v>721</v>
      </c>
      <c r="C20" s="351" t="s">
        <v>430</v>
      </c>
      <c r="D20" s="351" t="s">
        <v>431</v>
      </c>
      <c r="E20" s="348"/>
      <c r="F20" s="349" t="s">
        <v>432</v>
      </c>
      <c r="G20" s="349" t="s">
        <v>433</v>
      </c>
      <c r="H20" s="350" t="s">
        <v>434</v>
      </c>
    </row>
    <row r="21" spans="1:8" s="11" customFormat="1">
      <c r="A21" s="1048" t="s">
        <v>950</v>
      </c>
      <c r="B21" s="1049" t="s">
        <v>945</v>
      </c>
      <c r="C21" s="1048" t="s">
        <v>192</v>
      </c>
      <c r="D21" s="1048" t="s">
        <v>951</v>
      </c>
      <c r="E21" s="897"/>
      <c r="F21" s="898" t="s">
        <v>811</v>
      </c>
      <c r="G21" s="898" t="s">
        <v>812</v>
      </c>
      <c r="H21" s="898" t="s">
        <v>813</v>
      </c>
    </row>
    <row r="22" spans="1:8">
      <c r="A22" s="351" t="s">
        <v>412</v>
      </c>
      <c r="B22" s="347" t="s">
        <v>845</v>
      </c>
      <c r="C22" s="351" t="s">
        <v>412</v>
      </c>
      <c r="D22" s="351" t="s">
        <v>846</v>
      </c>
      <c r="E22" s="348"/>
      <c r="F22" s="349" t="s">
        <v>860</v>
      </c>
      <c r="G22" s="349" t="s">
        <v>861</v>
      </c>
      <c r="H22" s="350" t="s">
        <v>862</v>
      </c>
    </row>
    <row r="23" spans="1:8">
      <c r="A23" s="896" t="s">
        <v>412</v>
      </c>
      <c r="B23" s="900" t="s">
        <v>847</v>
      </c>
      <c r="C23" s="896" t="s">
        <v>412</v>
      </c>
      <c r="D23" s="896" t="s">
        <v>848</v>
      </c>
      <c r="E23" s="897"/>
      <c r="F23" s="898" t="s">
        <v>863</v>
      </c>
      <c r="G23" s="898" t="s">
        <v>864</v>
      </c>
      <c r="H23" s="899" t="s">
        <v>865</v>
      </c>
    </row>
    <row r="24" spans="1:8">
      <c r="A24" s="351" t="s">
        <v>851</v>
      </c>
      <c r="B24" s="907" t="s">
        <v>856</v>
      </c>
      <c r="C24" s="351" t="s">
        <v>851</v>
      </c>
      <c r="D24" s="351" t="s">
        <v>852</v>
      </c>
      <c r="E24" s="348" t="s">
        <v>853</v>
      </c>
      <c r="F24" s="349" t="s">
        <v>866</v>
      </c>
      <c r="G24" s="349" t="s">
        <v>867</v>
      </c>
      <c r="H24" s="350" t="s">
        <v>868</v>
      </c>
    </row>
    <row r="25" spans="1:8">
      <c r="A25" s="346" t="s">
        <v>851</v>
      </c>
      <c r="B25" s="908" t="s">
        <v>856</v>
      </c>
      <c r="C25" s="346" t="s">
        <v>851</v>
      </c>
      <c r="D25" s="356" t="s">
        <v>854</v>
      </c>
      <c r="E25" s="348" t="s">
        <v>855</v>
      </c>
      <c r="F25" s="349" t="s">
        <v>866</v>
      </c>
      <c r="G25" s="349" t="s">
        <v>867</v>
      </c>
      <c r="H25" s="350" t="s">
        <v>868</v>
      </c>
    </row>
  </sheetData>
  <hyperlinks>
    <hyperlink ref="H5" r:id="rId1"/>
    <hyperlink ref="H15" r:id="rId2" display="tine.tanghe@vea.be"/>
    <hyperlink ref="E14" r:id="rId3"/>
    <hyperlink ref="H12" r:id="rId4"/>
    <hyperlink ref="H2" r:id="rId5"/>
  </hyperlinks>
  <pageMargins left="0.7" right="0.7" top="0.75" bottom="0.75" header="0.3" footer="0.3"/>
  <pageSetup paperSize="9" orientation="portrait" r:id="rId6"/>
  <ignoredErrors>
    <ignoredError sqref="B7 B13 B9"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59"/>
  <sheetViews>
    <sheetView topLeftCell="A49" workbookViewId="0">
      <selection activeCell="C71" sqref="C71"/>
    </sheetView>
  </sheetViews>
  <sheetFormatPr defaultRowHeight="15"/>
  <cols>
    <col min="2" max="2" width="12" bestFit="1" customWidth="1"/>
    <col min="3" max="3" width="145" bestFit="1" customWidth="1"/>
    <col min="4" max="4" width="36.28515625" bestFit="1" customWidth="1"/>
    <col min="6" max="6" width="28.5703125" bestFit="1" customWidth="1"/>
  </cols>
  <sheetData>
    <row r="1" spans="1:4">
      <c r="A1" s="766" t="s">
        <v>627</v>
      </c>
      <c r="B1" s="766" t="s">
        <v>628</v>
      </c>
      <c r="C1" s="766" t="s">
        <v>630</v>
      </c>
      <c r="D1" s="766" t="s">
        <v>629</v>
      </c>
    </row>
    <row r="2" spans="1:4">
      <c r="A2" t="s">
        <v>672</v>
      </c>
      <c r="B2" s="764">
        <v>41626</v>
      </c>
      <c r="C2" t="s">
        <v>673</v>
      </c>
      <c r="D2" s="765" t="s">
        <v>674</v>
      </c>
    </row>
    <row r="3" spans="1:4">
      <c r="A3" t="s">
        <v>675</v>
      </c>
      <c r="B3" s="764">
        <v>41646</v>
      </c>
      <c r="C3" t="s">
        <v>676</v>
      </c>
      <c r="D3" s="765" t="s">
        <v>677</v>
      </c>
    </row>
    <row r="4" spans="1:4">
      <c r="A4" t="s">
        <v>678</v>
      </c>
      <c r="B4" s="764">
        <v>41676</v>
      </c>
      <c r="C4" t="s">
        <v>679</v>
      </c>
      <c r="D4" s="765" t="s">
        <v>680</v>
      </c>
    </row>
    <row r="5" spans="1:4">
      <c r="A5" t="s">
        <v>678</v>
      </c>
      <c r="B5" s="764">
        <v>41676</v>
      </c>
      <c r="C5" t="s">
        <v>681</v>
      </c>
      <c r="D5" s="765" t="s">
        <v>682</v>
      </c>
    </row>
    <row r="6" spans="1:4" ht="17.25">
      <c r="A6" t="s">
        <v>678</v>
      </c>
      <c r="B6" s="764">
        <v>41676</v>
      </c>
      <c r="C6" t="s">
        <v>683</v>
      </c>
      <c r="D6" s="765" t="s">
        <v>684</v>
      </c>
    </row>
    <row r="7" spans="1:4">
      <c r="A7" t="s">
        <v>685</v>
      </c>
      <c r="B7" s="764">
        <v>41715</v>
      </c>
      <c r="C7" t="s">
        <v>686</v>
      </c>
      <c r="D7" s="779" t="s">
        <v>687</v>
      </c>
    </row>
    <row r="8" spans="1:4">
      <c r="A8" t="s">
        <v>685</v>
      </c>
      <c r="B8" s="764">
        <v>41715</v>
      </c>
      <c r="C8" t="s">
        <v>688</v>
      </c>
      <c r="D8" s="765" t="s">
        <v>689</v>
      </c>
    </row>
    <row r="9" spans="1:4">
      <c r="A9" t="s">
        <v>685</v>
      </c>
      <c r="B9" s="764">
        <v>41726</v>
      </c>
      <c r="C9" t="s">
        <v>690</v>
      </c>
      <c r="D9" s="779" t="s">
        <v>691</v>
      </c>
    </row>
    <row r="10" spans="1:4">
      <c r="A10" t="s">
        <v>692</v>
      </c>
      <c r="B10" s="764">
        <v>41759</v>
      </c>
      <c r="C10" t="s">
        <v>693</v>
      </c>
      <c r="D10" s="765" t="s">
        <v>694</v>
      </c>
    </row>
    <row r="11" spans="1:4">
      <c r="A11" t="s">
        <v>692</v>
      </c>
      <c r="B11" s="764">
        <v>41759</v>
      </c>
      <c r="C11" t="s">
        <v>695</v>
      </c>
      <c r="D11" s="765" t="s">
        <v>696</v>
      </c>
    </row>
    <row r="12" spans="1:4">
      <c r="A12" t="s">
        <v>697</v>
      </c>
      <c r="B12" s="764">
        <v>41772</v>
      </c>
      <c r="C12" t="s">
        <v>698</v>
      </c>
      <c r="D12" s="765" t="s">
        <v>699</v>
      </c>
    </row>
    <row r="13" spans="1:4">
      <c r="A13" t="s">
        <v>697</v>
      </c>
      <c r="B13" s="764">
        <v>41772</v>
      </c>
      <c r="C13" t="s">
        <v>700</v>
      </c>
      <c r="D13" s="765" t="s">
        <v>701</v>
      </c>
    </row>
    <row r="14" spans="1:4">
      <c r="A14" t="s">
        <v>697</v>
      </c>
      <c r="B14" s="764">
        <v>41772</v>
      </c>
      <c r="C14" t="s">
        <v>702</v>
      </c>
      <c r="D14" s="779" t="s">
        <v>703</v>
      </c>
    </row>
    <row r="15" spans="1:4">
      <c r="A15" t="s">
        <v>704</v>
      </c>
      <c r="B15" s="764">
        <v>41901</v>
      </c>
      <c r="C15" t="s">
        <v>646</v>
      </c>
      <c r="D15" s="779" t="s">
        <v>644</v>
      </c>
    </row>
    <row r="16" spans="1:4">
      <c r="A16" t="s">
        <v>704</v>
      </c>
      <c r="B16" s="764">
        <v>41901</v>
      </c>
      <c r="C16" t="s">
        <v>645</v>
      </c>
      <c r="D16" s="779" t="s">
        <v>647</v>
      </c>
    </row>
    <row r="17" spans="1:4">
      <c r="A17" t="s">
        <v>704</v>
      </c>
      <c r="B17" s="764">
        <v>41901</v>
      </c>
      <c r="C17" t="s">
        <v>652</v>
      </c>
      <c r="D17" s="765" t="s">
        <v>653</v>
      </c>
    </row>
    <row r="18" spans="1:4">
      <c r="A18" t="s">
        <v>704</v>
      </c>
      <c r="B18" s="764">
        <v>41901</v>
      </c>
      <c r="C18" t="s">
        <v>665</v>
      </c>
      <c r="D18" s="765" t="s">
        <v>664</v>
      </c>
    </row>
    <row r="19" spans="1:4">
      <c r="A19" t="s">
        <v>704</v>
      </c>
      <c r="B19" s="764">
        <v>41901</v>
      </c>
      <c r="C19" t="s">
        <v>665</v>
      </c>
      <c r="D19" s="765" t="s">
        <v>666</v>
      </c>
    </row>
    <row r="20" spans="1:4">
      <c r="A20" t="s">
        <v>704</v>
      </c>
      <c r="B20" s="764">
        <v>41901</v>
      </c>
      <c r="C20" t="s">
        <v>671</v>
      </c>
      <c r="D20" s="765" t="s">
        <v>670</v>
      </c>
    </row>
    <row r="21" spans="1:4">
      <c r="A21" t="s">
        <v>704</v>
      </c>
      <c r="B21" s="764">
        <v>41914</v>
      </c>
      <c r="C21" t="s">
        <v>730</v>
      </c>
      <c r="D21" s="779" t="s">
        <v>724</v>
      </c>
    </row>
    <row r="22" spans="1:4">
      <c r="A22" t="s">
        <v>704</v>
      </c>
      <c r="B22" s="764">
        <v>41914</v>
      </c>
      <c r="C22" t="s">
        <v>731</v>
      </c>
      <c r="D22" s="779" t="s">
        <v>725</v>
      </c>
    </row>
    <row r="23" spans="1:4">
      <c r="A23" t="s">
        <v>704</v>
      </c>
      <c r="B23" s="764">
        <v>41914</v>
      </c>
      <c r="C23" t="s">
        <v>732</v>
      </c>
      <c r="D23" s="779" t="s">
        <v>726</v>
      </c>
    </row>
    <row r="24" spans="1:4">
      <c r="A24" t="s">
        <v>704</v>
      </c>
      <c r="B24" s="764">
        <v>41914</v>
      </c>
      <c r="C24" t="s">
        <v>733</v>
      </c>
      <c r="D24" s="779" t="s">
        <v>727</v>
      </c>
    </row>
    <row r="25" spans="1:4">
      <c r="A25" t="s">
        <v>704</v>
      </c>
      <c r="B25" s="764">
        <v>41914</v>
      </c>
      <c r="C25" t="s">
        <v>745</v>
      </c>
      <c r="D25" s="779" t="s">
        <v>728</v>
      </c>
    </row>
    <row r="26" spans="1:4">
      <c r="A26" t="s">
        <v>704</v>
      </c>
      <c r="B26" s="764">
        <v>41914</v>
      </c>
      <c r="C26" t="s">
        <v>741</v>
      </c>
      <c r="D26" s="765" t="s">
        <v>744</v>
      </c>
    </row>
    <row r="27" spans="1:4">
      <c r="A27" t="s">
        <v>704</v>
      </c>
      <c r="B27" s="764">
        <v>41914</v>
      </c>
      <c r="C27" t="s">
        <v>735</v>
      </c>
      <c r="D27" s="779" t="s">
        <v>734</v>
      </c>
    </row>
    <row r="28" spans="1:4">
      <c r="A28" t="s">
        <v>704</v>
      </c>
      <c r="B28" s="764">
        <v>41914</v>
      </c>
      <c r="C28" t="s">
        <v>746</v>
      </c>
      <c r="D28" s="779" t="s">
        <v>736</v>
      </c>
    </row>
    <row r="29" spans="1:4">
      <c r="A29" t="s">
        <v>704</v>
      </c>
      <c r="B29" s="764">
        <v>41914</v>
      </c>
      <c r="C29" t="s">
        <v>739</v>
      </c>
      <c r="D29" s="779" t="s">
        <v>740</v>
      </c>
    </row>
    <row r="30" spans="1:4">
      <c r="A30" t="s">
        <v>704</v>
      </c>
      <c r="B30" s="764">
        <v>41914</v>
      </c>
      <c r="C30" t="s">
        <v>737</v>
      </c>
      <c r="D30" s="779" t="s">
        <v>738</v>
      </c>
    </row>
    <row r="31" spans="1:4">
      <c r="A31" t="s">
        <v>704</v>
      </c>
      <c r="B31" s="764">
        <v>41914</v>
      </c>
      <c r="C31" t="s">
        <v>742</v>
      </c>
      <c r="D31" s="765" t="s">
        <v>743</v>
      </c>
    </row>
    <row r="32" spans="1:4">
      <c r="A32" t="s">
        <v>704</v>
      </c>
      <c r="B32" s="764">
        <v>41925</v>
      </c>
      <c r="C32" t="s">
        <v>748</v>
      </c>
      <c r="D32" s="779" t="s">
        <v>749</v>
      </c>
    </row>
    <row r="33" spans="1:4">
      <c r="A33" t="s">
        <v>704</v>
      </c>
      <c r="B33" s="764">
        <v>41967</v>
      </c>
      <c r="C33" t="s">
        <v>751</v>
      </c>
      <c r="D33" s="765" t="s">
        <v>752</v>
      </c>
    </row>
    <row r="34" spans="1:4">
      <c r="A34" t="s">
        <v>753</v>
      </c>
      <c r="B34" s="764">
        <v>42275</v>
      </c>
      <c r="C34" t="s">
        <v>755</v>
      </c>
      <c r="D34" s="765" t="s">
        <v>760</v>
      </c>
    </row>
    <row r="35" spans="1:4">
      <c r="A35" t="s">
        <v>753</v>
      </c>
      <c r="B35" s="764">
        <v>42275</v>
      </c>
      <c r="C35" t="s">
        <v>756</v>
      </c>
      <c r="D35" s="765" t="s">
        <v>761</v>
      </c>
    </row>
    <row r="36" spans="1:4">
      <c r="A36" t="s">
        <v>753</v>
      </c>
      <c r="B36" s="764">
        <v>42283</v>
      </c>
      <c r="C36" t="s">
        <v>757</v>
      </c>
      <c r="D36" s="765" t="s">
        <v>758</v>
      </c>
    </row>
    <row r="37" spans="1:4">
      <c r="A37" t="s">
        <v>769</v>
      </c>
      <c r="B37" s="884">
        <v>42538</v>
      </c>
      <c r="C37" s="884" t="s">
        <v>762</v>
      </c>
      <c r="D37" s="884"/>
    </row>
    <row r="38" spans="1:4">
      <c r="A38" t="s">
        <v>769</v>
      </c>
      <c r="B38" s="884">
        <v>42538</v>
      </c>
      <c r="C38" s="884" t="s">
        <v>763</v>
      </c>
      <c r="D38" s="885" t="s">
        <v>764</v>
      </c>
    </row>
    <row r="39" spans="1:4">
      <c r="A39" t="s">
        <v>769</v>
      </c>
      <c r="B39" s="884">
        <v>42538</v>
      </c>
      <c r="C39" s="884" t="s">
        <v>765</v>
      </c>
      <c r="D39" s="886" t="s">
        <v>766</v>
      </c>
    </row>
    <row r="40" spans="1:4">
      <c r="A40" t="s">
        <v>769</v>
      </c>
      <c r="B40" s="884">
        <v>42538</v>
      </c>
      <c r="C40" s="884" t="s">
        <v>767</v>
      </c>
      <c r="D40" s="885" t="s">
        <v>768</v>
      </c>
    </row>
    <row r="41" spans="1:4">
      <c r="A41" t="s">
        <v>791</v>
      </c>
      <c r="B41" s="884">
        <v>42585</v>
      </c>
      <c r="C41" t="s">
        <v>754</v>
      </c>
      <c r="D41" s="765" t="s">
        <v>759</v>
      </c>
    </row>
    <row r="42" spans="1:4">
      <c r="A42" t="s">
        <v>793</v>
      </c>
      <c r="B42" s="884">
        <v>42877</v>
      </c>
      <c r="C42" s="884" t="s">
        <v>842</v>
      </c>
      <c r="D42" s="765" t="s">
        <v>743</v>
      </c>
    </row>
    <row r="43" spans="1:4">
      <c r="A43" t="s">
        <v>793</v>
      </c>
      <c r="B43" s="884">
        <v>42877</v>
      </c>
      <c r="C43" s="884" t="s">
        <v>843</v>
      </c>
      <c r="D43" s="779" t="s">
        <v>794</v>
      </c>
    </row>
    <row r="44" spans="1:4">
      <c r="A44" t="s">
        <v>793</v>
      </c>
      <c r="B44" s="884">
        <v>42877</v>
      </c>
      <c r="C44" s="884" t="s">
        <v>844</v>
      </c>
      <c r="D44" s="779" t="s">
        <v>795</v>
      </c>
    </row>
    <row r="45" spans="1:4">
      <c r="A45" t="s">
        <v>826</v>
      </c>
      <c r="B45" s="884">
        <v>43165</v>
      </c>
      <c r="C45" s="884" t="s">
        <v>827</v>
      </c>
      <c r="D45" s="779" t="s">
        <v>828</v>
      </c>
    </row>
    <row r="46" spans="1:4">
      <c r="A46" t="s">
        <v>826</v>
      </c>
      <c r="B46" s="884">
        <v>43165</v>
      </c>
      <c r="C46" s="884" t="s">
        <v>829</v>
      </c>
      <c r="D46" s="765" t="s">
        <v>830</v>
      </c>
    </row>
    <row r="47" spans="1:4">
      <c r="A47" t="s">
        <v>826</v>
      </c>
      <c r="B47" s="884">
        <v>43165</v>
      </c>
      <c r="C47" s="884" t="s">
        <v>831</v>
      </c>
      <c r="D47" s="765" t="s">
        <v>832</v>
      </c>
    </row>
    <row r="48" spans="1:4">
      <c r="A48" t="s">
        <v>826</v>
      </c>
      <c r="B48" s="884">
        <v>43165</v>
      </c>
      <c r="C48" s="884" t="s">
        <v>833</v>
      </c>
      <c r="D48" s="765" t="s">
        <v>834</v>
      </c>
    </row>
    <row r="49" spans="1:4">
      <c r="A49" t="s">
        <v>826</v>
      </c>
      <c r="B49" s="884">
        <v>43278</v>
      </c>
      <c r="C49" s="884" t="s">
        <v>869</v>
      </c>
      <c r="D49" s="779"/>
    </row>
    <row r="50" spans="1:4">
      <c r="A50" t="s">
        <v>904</v>
      </c>
      <c r="B50" s="884">
        <v>43424</v>
      </c>
      <c r="C50" s="884" t="s">
        <v>905</v>
      </c>
    </row>
    <row r="51" spans="1:4">
      <c r="A51" t="s">
        <v>917</v>
      </c>
      <c r="B51" s="884">
        <v>43573</v>
      </c>
      <c r="C51" s="884" t="s">
        <v>918</v>
      </c>
    </row>
    <row r="52" spans="1:4">
      <c r="A52" t="s">
        <v>941</v>
      </c>
      <c r="B52" s="884">
        <v>43678</v>
      </c>
      <c r="C52" s="884" t="s">
        <v>940</v>
      </c>
      <c r="D52" s="765" t="s">
        <v>752</v>
      </c>
    </row>
    <row r="53" spans="1:4">
      <c r="A53" t="s">
        <v>942</v>
      </c>
      <c r="B53" s="1057">
        <v>43930</v>
      </c>
      <c r="C53" s="1054" t="s">
        <v>944</v>
      </c>
      <c r="D53" s="1056" t="s">
        <v>691</v>
      </c>
    </row>
    <row r="54" spans="1:4">
      <c r="A54" t="s">
        <v>942</v>
      </c>
      <c r="B54" s="1057">
        <v>43930</v>
      </c>
      <c r="C54" s="1054" t="s">
        <v>943</v>
      </c>
      <c r="D54" s="1056" t="s">
        <v>691</v>
      </c>
    </row>
    <row r="55" spans="1:4">
      <c r="A55" s="1054" t="s">
        <v>942</v>
      </c>
      <c r="B55" s="1057">
        <v>43943</v>
      </c>
      <c r="C55" s="1054" t="s">
        <v>953</v>
      </c>
      <c r="D55" s="1055" t="s">
        <v>743</v>
      </c>
    </row>
    <row r="56" spans="1:4">
      <c r="A56" s="1054" t="s">
        <v>942</v>
      </c>
      <c r="B56" s="1057">
        <v>43943</v>
      </c>
      <c r="C56" s="1054" t="s">
        <v>954</v>
      </c>
      <c r="D56" s="1056" t="s">
        <v>794</v>
      </c>
    </row>
    <row r="57" spans="1:4">
      <c r="A57" s="1054" t="s">
        <v>942</v>
      </c>
      <c r="B57" s="1057">
        <v>43943</v>
      </c>
      <c r="C57" s="1054" t="s">
        <v>955</v>
      </c>
      <c r="D57" s="1056" t="s">
        <v>795</v>
      </c>
    </row>
    <row r="58" spans="1:4">
      <c r="A58" s="1054" t="s">
        <v>942</v>
      </c>
      <c r="B58" s="1057">
        <v>43943</v>
      </c>
      <c r="C58" s="1054" t="s">
        <v>956</v>
      </c>
      <c r="D58" s="1056" t="s">
        <v>957</v>
      </c>
    </row>
    <row r="59" spans="1:4">
      <c r="A59" t="s">
        <v>942</v>
      </c>
      <c r="B59" s="1057">
        <v>43951</v>
      </c>
      <c r="C59" t="s">
        <v>960</v>
      </c>
      <c r="D59" s="1056" t="s">
        <v>961</v>
      </c>
    </row>
  </sheetData>
  <hyperlinks>
    <hyperlink ref="D15" location="data!A1" display="data!A1"/>
    <hyperlink ref="D16" location="landbouw!A1" display="landbouw!A1"/>
    <hyperlink ref="D17" location="'SEAP template'!A1" display="'SEAP template'!A1"/>
    <hyperlink ref="D18" location="'Inventaris 2012'!A1" display="'Inventaris 2012'!A1"/>
    <hyperlink ref="D19" location="'SEAP template'!A1" display="'SEAP template'!A1"/>
    <hyperlink ref="D20" location="'Eigen gebouwen'!A1" display="'Eigen gebouwen'!A1"/>
    <hyperlink ref="D3" location="'lokale energieproductie'!C97" display="'lokale energieproductie'!C97"/>
    <hyperlink ref="D2" location="'ECF transport '!A1" display="'ECF transport '!A1"/>
    <hyperlink ref="D4:D5" location="'lokale energieproductie'!C97" display="'lokale energieproductie'!C97"/>
    <hyperlink ref="D4" location="huishoudens!B68" display="huishoudens!B68"/>
    <hyperlink ref="D5" location="tertiair!B46" display="tertiair!B46"/>
    <hyperlink ref="D6" location="'are_N2O bodem landbouw'!B5" display="are_N2O bodem landbouw'!B5"/>
    <hyperlink ref="D7" location="huishoudens!A1" display="huishoudens!A1"/>
    <hyperlink ref="D8" location="'Eigen gebouwen'!A1" display="'Eigen gebouwen'!A1"/>
    <hyperlink ref="D9" location="data!A1" display="data!A1"/>
    <hyperlink ref="D10" location="'lokale energieproductie'!A1" display="'lokale energieproductie'!A1"/>
    <hyperlink ref="D11" location="'Eigen gebouwen'!A1" display="'Eigen gebouwen'!A1"/>
    <hyperlink ref="D12" location="'INPUT--&gt;'!A1" display="'INPUT--&gt;'!A1"/>
    <hyperlink ref="D13" location="'Eigen informatie GS &amp; warmtenet'!A1" display="'Eigen informatie GS &amp; warmtenet'!A1"/>
    <hyperlink ref="D14" location="Conversiefactoren!A1" display="Conversiefactoren!A1"/>
    <hyperlink ref="D21" location="transport!C38" display="transport!C38"/>
    <hyperlink ref="D22" location="transport!C81" display="transport!C81"/>
    <hyperlink ref="D23" location="transport!D35" display="transport!D35"/>
    <hyperlink ref="D24" location="transport!D78" display="transport!D78"/>
    <hyperlink ref="D25" location="transport!K26" display="transport!K26"/>
    <hyperlink ref="D27" location="transport!H6" display="transport!H6"/>
    <hyperlink ref="D26" location="'ECF transport '!A67" display="'ECF transport '!A67"/>
    <hyperlink ref="D28" location="transport!B27" display="transport!B27"/>
    <hyperlink ref="D30" location="transport!H8" display="transport!H8"/>
    <hyperlink ref="D29" location="transport!A70" display="transport!A70"/>
    <hyperlink ref="D31" location="'ECF transport '!A1" display="'ECF transport '!A1"/>
    <hyperlink ref="D32" location="Conversiefactoren!E28" display="Conversiefactoren!E28"/>
    <hyperlink ref="D33" location="'EF ele_warmte'!B4" display="EF ele_warmte'!B4"/>
    <hyperlink ref="D36" location="'ECF transport '!F64" display="ECF transport '!F64"/>
    <hyperlink ref="D41" location="'EF N2O_CH4 landbouw'!A1" display="'EF N2O_CH4 landbouw'!A1"/>
    <hyperlink ref="D34" location="'ha_N2O bodem landbouw'!A1" display="'ha_N2O bodem landbouw'!A1"/>
    <hyperlink ref="D35" location="'E Balans VL '!A1" display="'E Balans VL '!A1"/>
    <hyperlink ref="D38" location="data!A73" display="data!A73"/>
    <hyperlink ref="D39" location="'ECF transport '!A2" display="'ECF transport '!A2"/>
    <hyperlink ref="D40" location="transport!A1" display="transport!A1"/>
    <hyperlink ref="D42" location="'ECF transport '!A1" display="'ECF transport '!A1"/>
    <hyperlink ref="D43" location="transport!A21" display="transport!A21"/>
    <hyperlink ref="D44" location="transport!A28" display="transport!A28"/>
    <hyperlink ref="D45" location="industrie!A1" display="industrie!C35"/>
    <hyperlink ref="D46" location="'SEAP template'!A1" display="'SEAP template'!M33"/>
    <hyperlink ref="D47" location="'openbare verlichting'!A1" display="'openbare verlichting'!B8"/>
    <hyperlink ref="D48" location="'EF ele_warmte'!A1" display="'EF ele_warmte'!A1"/>
    <hyperlink ref="D52" location="'EF ele_warmte'!A1" display="'EF ele_warmte'!A1"/>
    <hyperlink ref="D53" location="data!A1" display="data!A1"/>
    <hyperlink ref="D54" location="data!A1" display="data!A1"/>
    <hyperlink ref="D55" location="'ECF transport '!A1" display="'ECF transport '!A1"/>
    <hyperlink ref="D56" location="transport!A21" display="transport!A21"/>
    <hyperlink ref="D57" location="transport!A28" display="transport!A28"/>
    <hyperlink ref="D58" location="Conversiefactoren!A1" display="Conversiefactoren!A24"/>
    <hyperlink ref="D59" location="huishoudens!A1" display="huishoudens!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A32" sqref="A32"/>
    </sheetView>
  </sheetViews>
  <sheetFormatPr defaultColWidth="9.140625" defaultRowHeight="15"/>
  <cols>
    <col min="1" max="1" width="35.7109375" style="455" bestFit="1" customWidth="1"/>
    <col min="2" max="2" width="11.28515625" style="455" bestFit="1" customWidth="1"/>
    <col min="3" max="3" width="15.42578125" style="455" bestFit="1" customWidth="1"/>
    <col min="4" max="4" width="9.140625" style="455"/>
    <col min="5" max="5" width="16.28515625" style="455" customWidth="1"/>
    <col min="6" max="8" width="9.140625" style="455"/>
    <col min="9" max="9" width="14.28515625" style="455" customWidth="1"/>
    <col min="10" max="10" width="18.5703125" style="455" customWidth="1"/>
    <col min="11" max="11" width="15.140625" style="455" customWidth="1"/>
    <col min="12" max="12" width="15.42578125" style="455" customWidth="1"/>
    <col min="13" max="13" width="17" style="455" customWidth="1"/>
    <col min="14" max="14" width="16.42578125" style="455" customWidth="1"/>
    <col min="15" max="15" width="13.42578125" style="455" customWidth="1"/>
    <col min="16" max="16" width="18.28515625" style="455" customWidth="1"/>
    <col min="17" max="17" width="10.5703125" style="455" bestFit="1" customWidth="1"/>
    <col min="18" max="18" width="9.5703125" style="455" bestFit="1" customWidth="1"/>
    <col min="19" max="16384" width="9.140625" style="455"/>
  </cols>
  <sheetData>
    <row r="1" spans="1:17" ht="15.75">
      <c r="A1" s="1153" t="s">
        <v>561</v>
      </c>
      <c r="B1" s="1154" t="s">
        <v>557</v>
      </c>
      <c r="C1" s="1154"/>
      <c r="D1" s="1154"/>
      <c r="E1" s="1154"/>
      <c r="F1" s="1154"/>
      <c r="G1" s="1154"/>
      <c r="H1" s="1154"/>
      <c r="I1" s="1154"/>
      <c r="J1" s="1154"/>
      <c r="K1" s="1154"/>
      <c r="L1" s="1154"/>
      <c r="M1" s="1154"/>
      <c r="N1" s="1154"/>
      <c r="O1" s="1154"/>
      <c r="P1" s="1155"/>
      <c r="Q1" s="1004"/>
    </row>
    <row r="2" spans="1:17">
      <c r="A2" s="1153"/>
      <c r="B2" s="1156" t="s">
        <v>20</v>
      </c>
      <c r="C2" s="1158" t="s">
        <v>195</v>
      </c>
      <c r="D2" s="1160" t="s">
        <v>196</v>
      </c>
      <c r="E2" s="1161"/>
      <c r="F2" s="1161"/>
      <c r="G2" s="1161"/>
      <c r="H2" s="1161"/>
      <c r="I2" s="1161"/>
      <c r="J2" s="1161"/>
      <c r="K2" s="1157"/>
      <c r="L2" s="1160" t="s">
        <v>197</v>
      </c>
      <c r="M2" s="1161"/>
      <c r="N2" s="1161"/>
      <c r="O2" s="1161"/>
      <c r="P2" s="1157"/>
      <c r="Q2" s="1004"/>
    </row>
    <row r="3" spans="1:17" ht="45">
      <c r="A3" s="1153"/>
      <c r="B3" s="1157"/>
      <c r="C3" s="1159"/>
      <c r="D3" s="1004" t="s">
        <v>198</v>
      </c>
      <c r="E3" s="1004" t="s">
        <v>199</v>
      </c>
      <c r="F3" s="1004" t="s">
        <v>200</v>
      </c>
      <c r="G3" s="1004" t="s">
        <v>201</v>
      </c>
      <c r="H3" s="1004" t="s">
        <v>119</v>
      </c>
      <c r="I3" s="1004" t="s">
        <v>202</v>
      </c>
      <c r="J3" s="1004" t="s">
        <v>203</v>
      </c>
      <c r="K3" s="1004" t="s">
        <v>204</v>
      </c>
      <c r="L3" s="1004" t="s">
        <v>205</v>
      </c>
      <c r="M3" s="1004" t="s">
        <v>206</v>
      </c>
      <c r="N3" s="1004" t="s">
        <v>207</v>
      </c>
      <c r="O3" s="1004" t="s">
        <v>208</v>
      </c>
      <c r="P3" s="1004" t="s">
        <v>209</v>
      </c>
      <c r="Q3" s="1004" t="s">
        <v>115</v>
      </c>
    </row>
    <row r="4" spans="1:17">
      <c r="A4" s="456" t="s">
        <v>154</v>
      </c>
      <c r="B4" s="457">
        <f>huishoudens!B8</f>
        <v>84981.27750863877</v>
      </c>
      <c r="C4" s="457">
        <f>huishoudens!C8</f>
        <v>0</v>
      </c>
      <c r="D4" s="457">
        <f>huishoudens!D8</f>
        <v>235912.32841610559</v>
      </c>
      <c r="E4" s="457">
        <f>huishoudens!E8</f>
        <v>0</v>
      </c>
      <c r="F4" s="457">
        <f>huishoudens!F8</f>
        <v>0</v>
      </c>
      <c r="G4" s="457">
        <f>huishoudens!G8</f>
        <v>0</v>
      </c>
      <c r="H4" s="457">
        <f>huishoudens!H8</f>
        <v>0</v>
      </c>
      <c r="I4" s="457">
        <f>huishoudens!I8</f>
        <v>0</v>
      </c>
      <c r="J4" s="457">
        <f>huishoudens!J8</f>
        <v>0</v>
      </c>
      <c r="K4" s="457">
        <f>huishoudens!K8</f>
        <v>0</v>
      </c>
      <c r="L4" s="457">
        <f>huishoudens!L8</f>
        <v>0</v>
      </c>
      <c r="M4" s="457">
        <f>huishoudens!M8</f>
        <v>0</v>
      </c>
      <c r="N4" s="457">
        <f>huishoudens!N8</f>
        <v>0</v>
      </c>
      <c r="O4" s="457">
        <f>huishoudens!O8</f>
        <v>60.970000000000006</v>
      </c>
      <c r="P4" s="458">
        <f>huishoudens!P8</f>
        <v>95.333333333333343</v>
      </c>
      <c r="Q4" s="459">
        <f>SUM(B4:P4)</f>
        <v>321049.90925807768</v>
      </c>
    </row>
    <row r="5" spans="1:17">
      <c r="A5" s="456" t="s">
        <v>155</v>
      </c>
      <c r="B5" s="457">
        <f ca="1">tertiair!B16</f>
        <v>95858.337348806977</v>
      </c>
      <c r="C5" s="457">
        <f ca="1">tertiair!C16</f>
        <v>0</v>
      </c>
      <c r="D5" s="457">
        <f ca="1">tertiair!D16</f>
        <v>109707.02827415845</v>
      </c>
      <c r="E5" s="457">
        <f>tertiair!E16</f>
        <v>2430.158132764826</v>
      </c>
      <c r="F5" s="457">
        <f ca="1">tertiair!F16</f>
        <v>16558.389325863129</v>
      </c>
      <c r="G5" s="457">
        <f>tertiair!G16</f>
        <v>0</v>
      </c>
      <c r="H5" s="457">
        <f>tertiair!H16</f>
        <v>0</v>
      </c>
      <c r="I5" s="457">
        <f>tertiair!I16</f>
        <v>0</v>
      </c>
      <c r="J5" s="457">
        <f>tertiair!J16</f>
        <v>0</v>
      </c>
      <c r="K5" s="457">
        <f>tertiair!K16</f>
        <v>0</v>
      </c>
      <c r="L5" s="457">
        <f ca="1">tertiair!L16</f>
        <v>0</v>
      </c>
      <c r="M5" s="457">
        <f>tertiair!M16</f>
        <v>0</v>
      </c>
      <c r="N5" s="457">
        <f ca="1">tertiair!N16</f>
        <v>1926.2147116337987</v>
      </c>
      <c r="O5" s="457">
        <f>tertiair!O16</f>
        <v>0</v>
      </c>
      <c r="P5" s="458">
        <f>tertiair!P16</f>
        <v>76.266666666666666</v>
      </c>
      <c r="Q5" s="456">
        <f t="shared" ref="Q5:Q14" ca="1" si="0">SUM(B5:P5)</f>
        <v>226556.39445989387</v>
      </c>
    </row>
    <row r="6" spans="1:17">
      <c r="A6" s="456" t="s">
        <v>193</v>
      </c>
      <c r="B6" s="457">
        <f>'openbare verlichting'!B8</f>
        <v>3251.4630000000002</v>
      </c>
      <c r="C6" s="457"/>
      <c r="D6" s="457"/>
      <c r="E6" s="457"/>
      <c r="F6" s="457"/>
      <c r="G6" s="457"/>
      <c r="H6" s="457"/>
      <c r="I6" s="457"/>
      <c r="J6" s="457"/>
      <c r="K6" s="457"/>
      <c r="L6" s="457"/>
      <c r="M6" s="457"/>
      <c r="N6" s="457"/>
      <c r="O6" s="457"/>
      <c r="P6" s="458"/>
      <c r="Q6" s="456">
        <f t="shared" si="0"/>
        <v>3251.4630000000002</v>
      </c>
    </row>
    <row r="7" spans="1:17">
      <c r="A7" s="456" t="s">
        <v>111</v>
      </c>
      <c r="B7" s="457">
        <f>landbouw!B8</f>
        <v>1733.8370693909042</v>
      </c>
      <c r="C7" s="457">
        <f>landbouw!C8</f>
        <v>0</v>
      </c>
      <c r="D7" s="457">
        <f>landbouw!D8</f>
        <v>574.61385008190439</v>
      </c>
      <c r="E7" s="457">
        <f>landbouw!E8</f>
        <v>18.157117151079966</v>
      </c>
      <c r="F7" s="457">
        <f>landbouw!F8</f>
        <v>7422.1400933695877</v>
      </c>
      <c r="G7" s="457">
        <f>landbouw!G8</f>
        <v>0</v>
      </c>
      <c r="H7" s="457">
        <f>landbouw!H8</f>
        <v>0</v>
      </c>
      <c r="I7" s="457">
        <f>landbouw!I8</f>
        <v>0</v>
      </c>
      <c r="J7" s="457">
        <f>landbouw!J8</f>
        <v>154.84719094337888</v>
      </c>
      <c r="K7" s="457">
        <f>landbouw!K8</f>
        <v>0</v>
      </c>
      <c r="L7" s="457">
        <f>landbouw!L8</f>
        <v>0</v>
      </c>
      <c r="M7" s="457">
        <f>landbouw!M8</f>
        <v>0</v>
      </c>
      <c r="N7" s="457">
        <f>landbouw!N8</f>
        <v>0</v>
      </c>
      <c r="O7" s="457">
        <f>landbouw!O8</f>
        <v>0</v>
      </c>
      <c r="P7" s="458">
        <f>landbouw!P8</f>
        <v>0</v>
      </c>
      <c r="Q7" s="456">
        <f t="shared" si="0"/>
        <v>9903.5953209368563</v>
      </c>
    </row>
    <row r="8" spans="1:17">
      <c r="A8" s="456" t="s">
        <v>654</v>
      </c>
      <c r="B8" s="457">
        <f>industrie!B18</f>
        <v>10383.916079709645</v>
      </c>
      <c r="C8" s="457">
        <f>industrie!C18</f>
        <v>0</v>
      </c>
      <c r="D8" s="457">
        <f>industrie!D18</f>
        <v>8912.7201833188901</v>
      </c>
      <c r="E8" s="457">
        <f>industrie!E18</f>
        <v>125.17033393056559</v>
      </c>
      <c r="F8" s="457">
        <f>industrie!F18</f>
        <v>4293.0490877010561</v>
      </c>
      <c r="G8" s="457">
        <f>industrie!G18</f>
        <v>0</v>
      </c>
      <c r="H8" s="457">
        <f>industrie!H18</f>
        <v>0</v>
      </c>
      <c r="I8" s="457">
        <f>industrie!I18</f>
        <v>0</v>
      </c>
      <c r="J8" s="457">
        <f>industrie!J18</f>
        <v>37.793029549045166</v>
      </c>
      <c r="K8" s="457">
        <f>industrie!K18</f>
        <v>0</v>
      </c>
      <c r="L8" s="457">
        <f>industrie!L18</f>
        <v>0</v>
      </c>
      <c r="M8" s="457">
        <f>industrie!M18</f>
        <v>0</v>
      </c>
      <c r="N8" s="457">
        <f>industrie!N18</f>
        <v>400.81518453063927</v>
      </c>
      <c r="O8" s="457">
        <f>industrie!O18</f>
        <v>0</v>
      </c>
      <c r="P8" s="458">
        <f>industrie!P18</f>
        <v>0</v>
      </c>
      <c r="Q8" s="456">
        <f t="shared" si="0"/>
        <v>24153.463898739839</v>
      </c>
    </row>
    <row r="9" spans="1:17" s="462" customFormat="1">
      <c r="A9" s="460" t="s">
        <v>572</v>
      </c>
      <c r="B9" s="461">
        <f>transport!B14</f>
        <v>1.0967677542748624</v>
      </c>
      <c r="C9" s="461">
        <f>transport!C14</f>
        <v>0</v>
      </c>
      <c r="D9" s="461">
        <f>transport!D14</f>
        <v>5.9489713377756717</v>
      </c>
      <c r="E9" s="461">
        <f>transport!E14</f>
        <v>603.68136816685865</v>
      </c>
      <c r="F9" s="461">
        <f>transport!F14</f>
        <v>0</v>
      </c>
      <c r="G9" s="461">
        <f>transport!G14</f>
        <v>117658.81259667786</v>
      </c>
      <c r="H9" s="461">
        <f>transport!H14</f>
        <v>20426.197172803666</v>
      </c>
      <c r="I9" s="461">
        <f>transport!I14</f>
        <v>0</v>
      </c>
      <c r="J9" s="461">
        <f>transport!J14</f>
        <v>0</v>
      </c>
      <c r="K9" s="461">
        <f>transport!K14</f>
        <v>0</v>
      </c>
      <c r="L9" s="461">
        <f>transport!L14</f>
        <v>0</v>
      </c>
      <c r="M9" s="461">
        <f>transport!M14</f>
        <v>6008.7618171192598</v>
      </c>
      <c r="N9" s="461">
        <f>transport!N14</f>
        <v>0</v>
      </c>
      <c r="O9" s="461">
        <f>transport!O14</f>
        <v>0</v>
      </c>
      <c r="P9" s="461">
        <f>transport!P14</f>
        <v>0</v>
      </c>
      <c r="Q9" s="460">
        <f>SUM(B9:P9)</f>
        <v>144704.4986938597</v>
      </c>
    </row>
    <row r="10" spans="1:17">
      <c r="A10" s="456" t="s">
        <v>562</v>
      </c>
      <c r="B10" s="457">
        <f>transport!B54</f>
        <v>615.42825066606656</v>
      </c>
      <c r="C10" s="457">
        <f>transport!C54</f>
        <v>0</v>
      </c>
      <c r="D10" s="457">
        <f>transport!D54</f>
        <v>0</v>
      </c>
      <c r="E10" s="457">
        <f>transport!E54</f>
        <v>0</v>
      </c>
      <c r="F10" s="457">
        <f>transport!F54</f>
        <v>0</v>
      </c>
      <c r="G10" s="457">
        <f>transport!G54</f>
        <v>1785.7590008260804</v>
      </c>
      <c r="H10" s="457">
        <f>transport!H54</f>
        <v>0</v>
      </c>
      <c r="I10" s="457">
        <f>transport!I54</f>
        <v>0</v>
      </c>
      <c r="J10" s="457">
        <f>transport!J54</f>
        <v>0</v>
      </c>
      <c r="K10" s="457">
        <f>transport!K54</f>
        <v>0</v>
      </c>
      <c r="L10" s="457">
        <f>transport!L54</f>
        <v>0</v>
      </c>
      <c r="M10" s="457">
        <f>transport!M54</f>
        <v>75.937038865843306</v>
      </c>
      <c r="N10" s="457">
        <f>transport!N54</f>
        <v>0</v>
      </c>
      <c r="O10" s="457">
        <f>transport!O54</f>
        <v>0</v>
      </c>
      <c r="P10" s="458">
        <f>transport!P54</f>
        <v>0</v>
      </c>
      <c r="Q10" s="456">
        <f t="shared" si="0"/>
        <v>2477.1242903579905</v>
      </c>
    </row>
    <row r="11" spans="1:17">
      <c r="A11" s="456" t="s">
        <v>563</v>
      </c>
      <c r="B11" s="457">
        <f>'Eigen gebouwen'!B15</f>
        <v>0</v>
      </c>
      <c r="C11" s="457">
        <f>'Eigen gebouwen'!C15</f>
        <v>0</v>
      </c>
      <c r="D11" s="457">
        <f>'Eigen gebouwen'!D15</f>
        <v>0</v>
      </c>
      <c r="E11" s="457">
        <f>'Eigen gebouwen'!E15</f>
        <v>0</v>
      </c>
      <c r="F11" s="457">
        <f>'Eigen gebouwen'!F15</f>
        <v>0</v>
      </c>
      <c r="G11" s="457">
        <f>'Eigen gebouwen'!G15</f>
        <v>0</v>
      </c>
      <c r="H11" s="457">
        <f>'Eigen gebouwen'!H15</f>
        <v>0</v>
      </c>
      <c r="I11" s="457">
        <f>'Eigen gebouwen'!I15</f>
        <v>0</v>
      </c>
      <c r="J11" s="457">
        <f>'Eigen gebouwen'!J15</f>
        <v>0</v>
      </c>
      <c r="K11" s="457">
        <f>'Eigen gebouwen'!K15</f>
        <v>0</v>
      </c>
      <c r="L11" s="457">
        <f>'Eigen gebouwen'!L15</f>
        <v>0</v>
      </c>
      <c r="M11" s="457">
        <f>'Eigen gebouwen'!M15</f>
        <v>0</v>
      </c>
      <c r="N11" s="457">
        <f>'Eigen gebouwen'!N15</f>
        <v>0</v>
      </c>
      <c r="O11" s="457">
        <f>'Eigen gebouwen'!O15</f>
        <v>0</v>
      </c>
      <c r="P11" s="458">
        <f>'Eigen gebouwen'!P15</f>
        <v>0</v>
      </c>
      <c r="Q11" s="456">
        <f t="shared" si="0"/>
        <v>0</v>
      </c>
    </row>
    <row r="12" spans="1:17">
      <c r="A12" s="456" t="s">
        <v>564</v>
      </c>
      <c r="B12" s="457">
        <f>'Eigen openbare verlichting'!B15</f>
        <v>0</v>
      </c>
      <c r="C12" s="457"/>
      <c r="D12" s="457"/>
      <c r="E12" s="457"/>
      <c r="F12" s="457"/>
      <c r="G12" s="457"/>
      <c r="H12" s="457"/>
      <c r="I12" s="457"/>
      <c r="J12" s="457"/>
      <c r="K12" s="457"/>
      <c r="L12" s="457"/>
      <c r="M12" s="457"/>
      <c r="N12" s="457"/>
      <c r="O12" s="457"/>
      <c r="P12" s="458"/>
      <c r="Q12" s="456">
        <f t="shared" si="0"/>
        <v>0</v>
      </c>
    </row>
    <row r="13" spans="1:17">
      <c r="A13" s="456" t="s">
        <v>565</v>
      </c>
      <c r="B13" s="457">
        <f>'Eigen vloot'!B27</f>
        <v>0</v>
      </c>
      <c r="C13" s="457">
        <f>'Eigen vloot'!C27</f>
        <v>0</v>
      </c>
      <c r="D13" s="457">
        <f>'Eigen vloot'!D27</f>
        <v>0</v>
      </c>
      <c r="E13" s="457">
        <f>'Eigen vloot'!E27</f>
        <v>0</v>
      </c>
      <c r="F13" s="457">
        <f>'Eigen vloot'!F27</f>
        <v>0</v>
      </c>
      <c r="G13" s="457">
        <f>'Eigen vloot'!G27</f>
        <v>0</v>
      </c>
      <c r="H13" s="457">
        <f>'Eigen vloot'!H27</f>
        <v>0</v>
      </c>
      <c r="I13" s="457">
        <f>'Eigen vloot'!I27</f>
        <v>0</v>
      </c>
      <c r="J13" s="457">
        <f>'Eigen vloot'!J27</f>
        <v>0</v>
      </c>
      <c r="K13" s="457">
        <f>'Eigen vloot'!K27</f>
        <v>0</v>
      </c>
      <c r="L13" s="457">
        <f>'Eigen vloot'!L27</f>
        <v>0</v>
      </c>
      <c r="M13" s="457">
        <f>'Eigen vloot'!M27</f>
        <v>0</v>
      </c>
      <c r="N13" s="457">
        <f>'Eigen vloot'!N27</f>
        <v>0</v>
      </c>
      <c r="O13" s="457">
        <f>'Eigen vloot'!O27</f>
        <v>0</v>
      </c>
      <c r="P13" s="458">
        <f>'Eigen vloot'!P27</f>
        <v>0</v>
      </c>
      <c r="Q13" s="456">
        <f t="shared" si="0"/>
        <v>0</v>
      </c>
    </row>
    <row r="14" spans="1:17">
      <c r="A14" s="463" t="s">
        <v>916</v>
      </c>
      <c r="B14" s="464">
        <f>'SEAP template'!C25</f>
        <v>8140.4150153035798</v>
      </c>
      <c r="C14" s="464"/>
      <c r="D14" s="464">
        <f>'SEAP template'!E25</f>
        <v>14817.5488534664</v>
      </c>
      <c r="E14" s="464"/>
      <c r="F14" s="464"/>
      <c r="G14" s="464"/>
      <c r="H14" s="464"/>
      <c r="I14" s="464"/>
      <c r="J14" s="464"/>
      <c r="K14" s="464"/>
      <c r="L14" s="464"/>
      <c r="M14" s="464"/>
      <c r="N14" s="464"/>
      <c r="O14" s="464"/>
      <c r="P14" s="465"/>
      <c r="Q14" s="456">
        <f t="shared" si="0"/>
        <v>22957.963868769981</v>
      </c>
    </row>
    <row r="15" spans="1:17" s="469" customFormat="1">
      <c r="A15" s="466" t="s">
        <v>566</v>
      </c>
      <c r="B15" s="467">
        <f ca="1">SUM(B4:B14)</f>
        <v>204965.77104027022</v>
      </c>
      <c r="C15" s="467">
        <f t="shared" ref="C15:Q15" ca="1" si="1">SUM(C4:C14)</f>
        <v>0</v>
      </c>
      <c r="D15" s="467">
        <f t="shared" ca="1" si="1"/>
        <v>369930.18854846904</v>
      </c>
      <c r="E15" s="467">
        <f t="shared" si="1"/>
        <v>3177.16695201333</v>
      </c>
      <c r="F15" s="467">
        <f t="shared" ca="1" si="1"/>
        <v>28273.578506933773</v>
      </c>
      <c r="G15" s="467">
        <f t="shared" si="1"/>
        <v>119444.57159750393</v>
      </c>
      <c r="H15" s="467">
        <f t="shared" si="1"/>
        <v>20426.197172803666</v>
      </c>
      <c r="I15" s="467">
        <f t="shared" si="1"/>
        <v>0</v>
      </c>
      <c r="J15" s="467">
        <f t="shared" si="1"/>
        <v>192.64022049242405</v>
      </c>
      <c r="K15" s="467">
        <f t="shared" si="1"/>
        <v>0</v>
      </c>
      <c r="L15" s="467">
        <f t="shared" ca="1" si="1"/>
        <v>0</v>
      </c>
      <c r="M15" s="467">
        <f t="shared" si="1"/>
        <v>6084.6988559851034</v>
      </c>
      <c r="N15" s="467">
        <f t="shared" ca="1" si="1"/>
        <v>2327.029896164438</v>
      </c>
      <c r="O15" s="467">
        <f t="shared" si="1"/>
        <v>60.970000000000006</v>
      </c>
      <c r="P15" s="467">
        <f t="shared" si="1"/>
        <v>171.60000000000002</v>
      </c>
      <c r="Q15" s="467">
        <f t="shared" ca="1" si="1"/>
        <v>755054.41279063595</v>
      </c>
    </row>
    <row r="17" spans="1:17">
      <c r="A17" s="470" t="s">
        <v>567</v>
      </c>
      <c r="B17" s="774">
        <f ca="1">huishoudens!B10</f>
        <v>0.21943332184370506</v>
      </c>
      <c r="C17" s="774">
        <f ca="1">huishoudens!C10</f>
        <v>0</v>
      </c>
      <c r="D17" s="774">
        <f>huishoudens!D10</f>
        <v>0.20200000000000001</v>
      </c>
      <c r="E17" s="774">
        <f>huishoudens!E10</f>
        <v>0.22700000000000001</v>
      </c>
      <c r="F17" s="774">
        <f>huishoudens!F10</f>
        <v>0.26700000000000002</v>
      </c>
      <c r="G17" s="774">
        <f>huishoudens!G10</f>
        <v>0.26700000000000002</v>
      </c>
      <c r="H17" s="774">
        <f>huishoudens!H10</f>
        <v>0.249</v>
      </c>
      <c r="I17" s="774">
        <f>huishoudens!I10</f>
        <v>0.35099999999999998</v>
      </c>
      <c r="J17" s="774">
        <f>huishoudens!J10</f>
        <v>0.35399999999999998</v>
      </c>
      <c r="K17" s="774">
        <f>huishoudens!K10</f>
        <v>0.26400000000000001</v>
      </c>
      <c r="L17" s="774">
        <f>huishoudens!L10</f>
        <v>0</v>
      </c>
      <c r="M17" s="774">
        <f>huishoudens!M10</f>
        <v>0</v>
      </c>
      <c r="N17" s="774">
        <f>huishoudens!N10</f>
        <v>0</v>
      </c>
      <c r="O17" s="774">
        <f>huishoudens!O10</f>
        <v>0</v>
      </c>
      <c r="P17" s="774">
        <f>huishoudens!P10</f>
        <v>0</v>
      </c>
    </row>
    <row r="18" spans="1:17" ht="15.75" customHeight="1"/>
    <row r="19" spans="1:17" ht="15" customHeight="1">
      <c r="A19" s="1153" t="s">
        <v>569</v>
      </c>
      <c r="B19" s="1154" t="s">
        <v>568</v>
      </c>
      <c r="C19" s="1154"/>
      <c r="D19" s="1154"/>
      <c r="E19" s="1154"/>
      <c r="F19" s="1154"/>
      <c r="G19" s="1154"/>
      <c r="H19" s="1154"/>
      <c r="I19" s="1154"/>
      <c r="J19" s="1154"/>
      <c r="K19" s="1154"/>
      <c r="L19" s="1154"/>
      <c r="M19" s="1154"/>
      <c r="N19" s="1154"/>
      <c r="O19" s="1154"/>
      <c r="P19" s="1155"/>
      <c r="Q19" s="1004"/>
    </row>
    <row r="20" spans="1:17" ht="15" customHeight="1">
      <c r="A20" s="1153"/>
      <c r="B20" s="1156" t="s">
        <v>20</v>
      </c>
      <c r="C20" s="1158" t="s">
        <v>195</v>
      </c>
      <c r="D20" s="1160" t="s">
        <v>196</v>
      </c>
      <c r="E20" s="1161"/>
      <c r="F20" s="1161"/>
      <c r="G20" s="1161"/>
      <c r="H20" s="1161"/>
      <c r="I20" s="1161"/>
      <c r="J20" s="1161"/>
      <c r="K20" s="1157"/>
      <c r="L20" s="1160" t="s">
        <v>197</v>
      </c>
      <c r="M20" s="1161"/>
      <c r="N20" s="1161"/>
      <c r="O20" s="1161"/>
      <c r="P20" s="1157"/>
      <c r="Q20" s="1004"/>
    </row>
    <row r="21" spans="1:17" ht="45">
      <c r="A21" s="1153"/>
      <c r="B21" s="1157"/>
      <c r="C21" s="1159"/>
      <c r="D21" s="1004" t="s">
        <v>198</v>
      </c>
      <c r="E21" s="1004" t="s">
        <v>199</v>
      </c>
      <c r="F21" s="1004" t="s">
        <v>200</v>
      </c>
      <c r="G21" s="1004" t="s">
        <v>201</v>
      </c>
      <c r="H21" s="1004" t="s">
        <v>119</v>
      </c>
      <c r="I21" s="1004" t="s">
        <v>202</v>
      </c>
      <c r="J21" s="1004" t="s">
        <v>203</v>
      </c>
      <c r="K21" s="1004" t="s">
        <v>204</v>
      </c>
      <c r="L21" s="1004" t="s">
        <v>205</v>
      </c>
      <c r="M21" s="1004" t="s">
        <v>206</v>
      </c>
      <c r="N21" s="1004" t="s">
        <v>207</v>
      </c>
      <c r="O21" s="1004" t="s">
        <v>208</v>
      </c>
      <c r="P21" s="1004" t="s">
        <v>209</v>
      </c>
      <c r="Q21" s="1004" t="s">
        <v>115</v>
      </c>
    </row>
    <row r="22" spans="1:17">
      <c r="A22" s="456" t="s">
        <v>154</v>
      </c>
      <c r="B22" s="457">
        <f t="shared" ref="B22:B32" ca="1" si="2">B4*$B$17</f>
        <v>18647.724018242345</v>
      </c>
      <c r="C22" s="457">
        <f t="shared" ref="C22:C32" ca="1" si="3">C4*$C$17</f>
        <v>0</v>
      </c>
      <c r="D22" s="457">
        <f t="shared" ref="D22:D32" si="4">D4*$D$17</f>
        <v>47654.290340053332</v>
      </c>
      <c r="E22" s="457">
        <f t="shared" ref="E22:E32" si="5">E4*$E$17</f>
        <v>0</v>
      </c>
      <c r="F22" s="457">
        <f t="shared" ref="F22:F32" si="6">F4*$F$17</f>
        <v>0</v>
      </c>
      <c r="G22" s="457">
        <f t="shared" ref="G22:G32" si="7">G4*$G$17</f>
        <v>0</v>
      </c>
      <c r="H22" s="457">
        <f t="shared" ref="H22:H32" si="8">H4*$H$17</f>
        <v>0</v>
      </c>
      <c r="I22" s="457">
        <f t="shared" ref="I22:I32" si="9">I4*$I$17</f>
        <v>0</v>
      </c>
      <c r="J22" s="457">
        <f t="shared" ref="J22:J32" si="10">J4*$J$17</f>
        <v>0</v>
      </c>
      <c r="K22" s="457">
        <f t="shared" ref="K22:K32" si="11">K4*$K$17</f>
        <v>0</v>
      </c>
      <c r="L22" s="457">
        <f t="shared" ref="L22:L32" si="12">L4*$L$17</f>
        <v>0</v>
      </c>
      <c r="M22" s="457">
        <f t="shared" ref="M22:M32" si="13">M4*$M$17</f>
        <v>0</v>
      </c>
      <c r="N22" s="457">
        <f t="shared" ref="N22:N32" si="14">N4*$N$17</f>
        <v>0</v>
      </c>
      <c r="O22" s="457">
        <f t="shared" ref="O22:O32" si="15">O4*$O$17</f>
        <v>0</v>
      </c>
      <c r="P22" s="1005">
        <f t="shared" ref="P22:P32" si="16">P4*$P$17</f>
        <v>0</v>
      </c>
      <c r="Q22" s="459">
        <f ca="1">SUM(B22:P22)</f>
        <v>66302.014358295681</v>
      </c>
    </row>
    <row r="23" spans="1:17">
      <c r="A23" s="456" t="s">
        <v>155</v>
      </c>
      <c r="B23" s="457">
        <f t="shared" ca="1" si="2"/>
        <v>21034.513390863216</v>
      </c>
      <c r="C23" s="457">
        <f t="shared" ca="1" si="3"/>
        <v>0</v>
      </c>
      <c r="D23" s="457">
        <f t="shared" ca="1" si="4"/>
        <v>22160.819711380009</v>
      </c>
      <c r="E23" s="457">
        <f t="shared" si="5"/>
        <v>551.64589613761552</v>
      </c>
      <c r="F23" s="457">
        <f t="shared" ca="1" si="6"/>
        <v>4421.0899500054556</v>
      </c>
      <c r="G23" s="457">
        <f t="shared" si="7"/>
        <v>0</v>
      </c>
      <c r="H23" s="457">
        <f t="shared" si="8"/>
        <v>0</v>
      </c>
      <c r="I23" s="457">
        <f t="shared" si="9"/>
        <v>0</v>
      </c>
      <c r="J23" s="457">
        <f t="shared" si="10"/>
        <v>0</v>
      </c>
      <c r="K23" s="457">
        <f t="shared" si="11"/>
        <v>0</v>
      </c>
      <c r="L23" s="457">
        <f t="shared" ca="1" si="12"/>
        <v>0</v>
      </c>
      <c r="M23" s="457">
        <f t="shared" si="13"/>
        <v>0</v>
      </c>
      <c r="N23" s="457">
        <f t="shared" ca="1" si="14"/>
        <v>0</v>
      </c>
      <c r="O23" s="457">
        <f t="shared" si="15"/>
        <v>0</v>
      </c>
      <c r="P23" s="458">
        <f t="shared" si="16"/>
        <v>0</v>
      </c>
      <c r="Q23" s="456">
        <f t="shared" ref="Q23:Q31" ca="1" si="17">SUM(B23:P23)</f>
        <v>48168.068948386295</v>
      </c>
    </row>
    <row r="24" spans="1:17">
      <c r="A24" s="456" t="s">
        <v>193</v>
      </c>
      <c r="B24" s="457">
        <f t="shared" ca="1" si="2"/>
        <v>713.47932694189888</v>
      </c>
      <c r="C24" s="457">
        <f t="shared" ca="1" si="3"/>
        <v>0</v>
      </c>
      <c r="D24" s="457">
        <f t="shared" si="4"/>
        <v>0</v>
      </c>
      <c r="E24" s="457">
        <f t="shared" si="5"/>
        <v>0</v>
      </c>
      <c r="F24" s="457">
        <f t="shared" si="6"/>
        <v>0</v>
      </c>
      <c r="G24" s="457">
        <f t="shared" si="7"/>
        <v>0</v>
      </c>
      <c r="H24" s="457">
        <f t="shared" si="8"/>
        <v>0</v>
      </c>
      <c r="I24" s="457">
        <f t="shared" si="9"/>
        <v>0</v>
      </c>
      <c r="J24" s="457">
        <f t="shared" si="10"/>
        <v>0</v>
      </c>
      <c r="K24" s="457">
        <f t="shared" si="11"/>
        <v>0</v>
      </c>
      <c r="L24" s="457">
        <f t="shared" si="12"/>
        <v>0</v>
      </c>
      <c r="M24" s="457">
        <f t="shared" si="13"/>
        <v>0</v>
      </c>
      <c r="N24" s="457">
        <f t="shared" si="14"/>
        <v>0</v>
      </c>
      <c r="O24" s="457">
        <f t="shared" si="15"/>
        <v>0</v>
      </c>
      <c r="P24" s="458">
        <f t="shared" si="16"/>
        <v>0</v>
      </c>
      <c r="Q24" s="456">
        <f t="shared" ca="1" si="17"/>
        <v>713.47932694189888</v>
      </c>
    </row>
    <row r="25" spans="1:17">
      <c r="A25" s="456" t="s">
        <v>111</v>
      </c>
      <c r="B25" s="457">
        <f t="shared" ca="1" si="2"/>
        <v>380.46162767220068</v>
      </c>
      <c r="C25" s="457">
        <f t="shared" ca="1" si="3"/>
        <v>0</v>
      </c>
      <c r="D25" s="457">
        <f t="shared" si="4"/>
        <v>116.0719977165447</v>
      </c>
      <c r="E25" s="457">
        <f t="shared" si="5"/>
        <v>4.1216655932951527</v>
      </c>
      <c r="F25" s="457">
        <f t="shared" si="6"/>
        <v>1981.7114049296799</v>
      </c>
      <c r="G25" s="457">
        <f t="shared" si="7"/>
        <v>0</v>
      </c>
      <c r="H25" s="457">
        <f t="shared" si="8"/>
        <v>0</v>
      </c>
      <c r="I25" s="457">
        <f t="shared" si="9"/>
        <v>0</v>
      </c>
      <c r="J25" s="457">
        <f t="shared" si="10"/>
        <v>54.815905593956117</v>
      </c>
      <c r="K25" s="457">
        <f t="shared" si="11"/>
        <v>0</v>
      </c>
      <c r="L25" s="457">
        <f t="shared" si="12"/>
        <v>0</v>
      </c>
      <c r="M25" s="457">
        <f t="shared" si="13"/>
        <v>0</v>
      </c>
      <c r="N25" s="457">
        <f t="shared" si="14"/>
        <v>0</v>
      </c>
      <c r="O25" s="457">
        <f t="shared" si="15"/>
        <v>0</v>
      </c>
      <c r="P25" s="458">
        <f t="shared" si="16"/>
        <v>0</v>
      </c>
      <c r="Q25" s="456">
        <f t="shared" ca="1" si="17"/>
        <v>2537.1826015056763</v>
      </c>
    </row>
    <row r="26" spans="1:17">
      <c r="A26" s="456" t="s">
        <v>654</v>
      </c>
      <c r="B26" s="457">
        <f t="shared" ca="1" si="2"/>
        <v>2278.5771991169509</v>
      </c>
      <c r="C26" s="457">
        <f t="shared" ca="1" si="3"/>
        <v>0</v>
      </c>
      <c r="D26" s="457">
        <f t="shared" si="4"/>
        <v>1800.369477030416</v>
      </c>
      <c r="E26" s="457">
        <f t="shared" si="5"/>
        <v>28.413665802238391</v>
      </c>
      <c r="F26" s="457">
        <f t="shared" si="6"/>
        <v>1146.2441064161821</v>
      </c>
      <c r="G26" s="457">
        <f t="shared" si="7"/>
        <v>0</v>
      </c>
      <c r="H26" s="457">
        <f t="shared" si="8"/>
        <v>0</v>
      </c>
      <c r="I26" s="457">
        <f t="shared" si="9"/>
        <v>0</v>
      </c>
      <c r="J26" s="457">
        <f t="shared" si="10"/>
        <v>13.378732460361988</v>
      </c>
      <c r="K26" s="457">
        <f t="shared" si="11"/>
        <v>0</v>
      </c>
      <c r="L26" s="457">
        <f t="shared" si="12"/>
        <v>0</v>
      </c>
      <c r="M26" s="457">
        <f t="shared" si="13"/>
        <v>0</v>
      </c>
      <c r="N26" s="457">
        <f t="shared" si="14"/>
        <v>0</v>
      </c>
      <c r="O26" s="457">
        <f t="shared" si="15"/>
        <v>0</v>
      </c>
      <c r="P26" s="458">
        <f t="shared" si="16"/>
        <v>0</v>
      </c>
      <c r="Q26" s="456">
        <f t="shared" ca="1" si="17"/>
        <v>5266.9831808261488</v>
      </c>
    </row>
    <row r="27" spans="1:17" s="462" customFormat="1">
      <c r="A27" s="460" t="s">
        <v>572</v>
      </c>
      <c r="B27" s="768">
        <f t="shared" ca="1" si="2"/>
        <v>0.24066739161159351</v>
      </c>
      <c r="C27" s="461">
        <f t="shared" ca="1" si="3"/>
        <v>0</v>
      </c>
      <c r="D27" s="461">
        <f t="shared" si="4"/>
        <v>1.2016922102306857</v>
      </c>
      <c r="E27" s="461">
        <f t="shared" si="5"/>
        <v>137.03567057387693</v>
      </c>
      <c r="F27" s="461">
        <f t="shared" si="6"/>
        <v>0</v>
      </c>
      <c r="G27" s="461">
        <f t="shared" si="7"/>
        <v>31414.90296331299</v>
      </c>
      <c r="H27" s="461">
        <f t="shared" si="8"/>
        <v>5086.1230960281127</v>
      </c>
      <c r="I27" s="461">
        <f t="shared" si="9"/>
        <v>0</v>
      </c>
      <c r="J27" s="461">
        <f t="shared" si="10"/>
        <v>0</v>
      </c>
      <c r="K27" s="461">
        <f t="shared" si="11"/>
        <v>0</v>
      </c>
      <c r="L27" s="461">
        <f t="shared" si="12"/>
        <v>0</v>
      </c>
      <c r="M27" s="461">
        <f t="shared" si="13"/>
        <v>0</v>
      </c>
      <c r="N27" s="461">
        <f t="shared" si="14"/>
        <v>0</v>
      </c>
      <c r="O27" s="461">
        <f t="shared" si="15"/>
        <v>0</v>
      </c>
      <c r="P27" s="471">
        <f t="shared" si="16"/>
        <v>0</v>
      </c>
      <c r="Q27" s="460">
        <f t="shared" ca="1" si="17"/>
        <v>36639.50408951682</v>
      </c>
    </row>
    <row r="28" spans="1:17">
      <c r="A28" s="456" t="s">
        <v>562</v>
      </c>
      <c r="B28" s="457">
        <f t="shared" ca="1" si="2"/>
        <v>135.04546540011538</v>
      </c>
      <c r="C28" s="457">
        <f t="shared" ca="1" si="3"/>
        <v>0</v>
      </c>
      <c r="D28" s="457">
        <f t="shared" si="4"/>
        <v>0</v>
      </c>
      <c r="E28" s="457">
        <f t="shared" si="5"/>
        <v>0</v>
      </c>
      <c r="F28" s="457">
        <f t="shared" si="6"/>
        <v>0</v>
      </c>
      <c r="G28" s="457">
        <f t="shared" si="7"/>
        <v>476.79765322056352</v>
      </c>
      <c r="H28" s="457">
        <f t="shared" si="8"/>
        <v>0</v>
      </c>
      <c r="I28" s="457">
        <f t="shared" si="9"/>
        <v>0</v>
      </c>
      <c r="J28" s="457">
        <f t="shared" si="10"/>
        <v>0</v>
      </c>
      <c r="K28" s="457">
        <f t="shared" si="11"/>
        <v>0</v>
      </c>
      <c r="L28" s="457">
        <f t="shared" si="12"/>
        <v>0</v>
      </c>
      <c r="M28" s="457">
        <f t="shared" si="13"/>
        <v>0</v>
      </c>
      <c r="N28" s="457">
        <f t="shared" si="14"/>
        <v>0</v>
      </c>
      <c r="O28" s="457">
        <f t="shared" si="15"/>
        <v>0</v>
      </c>
      <c r="P28" s="458">
        <f t="shared" si="16"/>
        <v>0</v>
      </c>
      <c r="Q28" s="456">
        <f t="shared" ca="1" si="17"/>
        <v>611.84311862067887</v>
      </c>
    </row>
    <row r="29" spans="1:17">
      <c r="A29" s="456" t="s">
        <v>563</v>
      </c>
      <c r="B29" s="457">
        <f t="shared" ca="1" si="2"/>
        <v>0</v>
      </c>
      <c r="C29" s="457">
        <f t="shared" ca="1" si="3"/>
        <v>0</v>
      </c>
      <c r="D29" s="457">
        <f t="shared" si="4"/>
        <v>0</v>
      </c>
      <c r="E29" s="457">
        <f t="shared" si="5"/>
        <v>0</v>
      </c>
      <c r="F29" s="457">
        <f t="shared" si="6"/>
        <v>0</v>
      </c>
      <c r="G29" s="457">
        <f t="shared" si="7"/>
        <v>0</v>
      </c>
      <c r="H29" s="457">
        <f t="shared" si="8"/>
        <v>0</v>
      </c>
      <c r="I29" s="457">
        <f t="shared" si="9"/>
        <v>0</v>
      </c>
      <c r="J29" s="457">
        <f t="shared" si="10"/>
        <v>0</v>
      </c>
      <c r="K29" s="457">
        <f t="shared" si="11"/>
        <v>0</v>
      </c>
      <c r="L29" s="457">
        <f t="shared" si="12"/>
        <v>0</v>
      </c>
      <c r="M29" s="457">
        <f t="shared" si="13"/>
        <v>0</v>
      </c>
      <c r="N29" s="457">
        <f t="shared" si="14"/>
        <v>0</v>
      </c>
      <c r="O29" s="457">
        <f t="shared" si="15"/>
        <v>0</v>
      </c>
      <c r="P29" s="458">
        <f t="shared" si="16"/>
        <v>0</v>
      </c>
      <c r="Q29" s="456">
        <f t="shared" ca="1" si="17"/>
        <v>0</v>
      </c>
    </row>
    <row r="30" spans="1:17">
      <c r="A30" s="456" t="s">
        <v>564</v>
      </c>
      <c r="B30" s="457">
        <f t="shared" ca="1" si="2"/>
        <v>0</v>
      </c>
      <c r="C30" s="457">
        <f t="shared" ca="1" si="3"/>
        <v>0</v>
      </c>
      <c r="D30" s="457">
        <f t="shared" si="4"/>
        <v>0</v>
      </c>
      <c r="E30" s="457">
        <f t="shared" si="5"/>
        <v>0</v>
      </c>
      <c r="F30" s="457">
        <f t="shared" si="6"/>
        <v>0</v>
      </c>
      <c r="G30" s="457">
        <f t="shared" si="7"/>
        <v>0</v>
      </c>
      <c r="H30" s="457">
        <f t="shared" si="8"/>
        <v>0</v>
      </c>
      <c r="I30" s="457">
        <f t="shared" si="9"/>
        <v>0</v>
      </c>
      <c r="J30" s="457">
        <f t="shared" si="10"/>
        <v>0</v>
      </c>
      <c r="K30" s="457">
        <f t="shared" si="11"/>
        <v>0</v>
      </c>
      <c r="L30" s="457">
        <f t="shared" si="12"/>
        <v>0</v>
      </c>
      <c r="M30" s="457">
        <f t="shared" si="13"/>
        <v>0</v>
      </c>
      <c r="N30" s="457">
        <f t="shared" si="14"/>
        <v>0</v>
      </c>
      <c r="O30" s="457">
        <f t="shared" si="15"/>
        <v>0</v>
      </c>
      <c r="P30" s="458">
        <f t="shared" si="16"/>
        <v>0</v>
      </c>
      <c r="Q30" s="456">
        <f t="shared" ca="1" si="17"/>
        <v>0</v>
      </c>
    </row>
    <row r="31" spans="1:17">
      <c r="A31" s="456" t="s">
        <v>565</v>
      </c>
      <c r="B31" s="457">
        <f t="shared" ca="1" si="2"/>
        <v>0</v>
      </c>
      <c r="C31" s="457">
        <f t="shared" ca="1" si="3"/>
        <v>0</v>
      </c>
      <c r="D31" s="457">
        <f t="shared" si="4"/>
        <v>0</v>
      </c>
      <c r="E31" s="457">
        <f t="shared" si="5"/>
        <v>0</v>
      </c>
      <c r="F31" s="457">
        <f t="shared" si="6"/>
        <v>0</v>
      </c>
      <c r="G31" s="457">
        <f t="shared" si="7"/>
        <v>0</v>
      </c>
      <c r="H31" s="457">
        <f t="shared" si="8"/>
        <v>0</v>
      </c>
      <c r="I31" s="457">
        <f t="shared" si="9"/>
        <v>0</v>
      </c>
      <c r="J31" s="457">
        <f t="shared" si="10"/>
        <v>0</v>
      </c>
      <c r="K31" s="457">
        <f t="shared" si="11"/>
        <v>0</v>
      </c>
      <c r="L31" s="457">
        <f t="shared" si="12"/>
        <v>0</v>
      </c>
      <c r="M31" s="457">
        <f t="shared" si="13"/>
        <v>0</v>
      </c>
      <c r="N31" s="457">
        <f t="shared" si="14"/>
        <v>0</v>
      </c>
      <c r="O31" s="457">
        <f t="shared" si="15"/>
        <v>0</v>
      </c>
      <c r="P31" s="458">
        <f t="shared" si="16"/>
        <v>0</v>
      </c>
      <c r="Q31" s="456">
        <f t="shared" ca="1" si="17"/>
        <v>0</v>
      </c>
    </row>
    <row r="32" spans="1:17">
      <c r="A32" s="456" t="s">
        <v>916</v>
      </c>
      <c r="B32" s="457">
        <f t="shared" ca="1" si="2"/>
        <v>1786.2783079944397</v>
      </c>
      <c r="C32" s="457">
        <f t="shared" ca="1" si="3"/>
        <v>0</v>
      </c>
      <c r="D32" s="457">
        <f t="shared" si="4"/>
        <v>2993.144868400213</v>
      </c>
      <c r="E32" s="457">
        <f t="shared" si="5"/>
        <v>0</v>
      </c>
      <c r="F32" s="457">
        <f t="shared" si="6"/>
        <v>0</v>
      </c>
      <c r="G32" s="457">
        <f t="shared" si="7"/>
        <v>0</v>
      </c>
      <c r="H32" s="457">
        <f t="shared" si="8"/>
        <v>0</v>
      </c>
      <c r="I32" s="457">
        <f t="shared" si="9"/>
        <v>0</v>
      </c>
      <c r="J32" s="457">
        <f t="shared" si="10"/>
        <v>0</v>
      </c>
      <c r="K32" s="457">
        <f t="shared" si="11"/>
        <v>0</v>
      </c>
      <c r="L32" s="457">
        <f t="shared" si="12"/>
        <v>0</v>
      </c>
      <c r="M32" s="457">
        <f t="shared" si="13"/>
        <v>0</v>
      </c>
      <c r="N32" s="457">
        <f t="shared" si="14"/>
        <v>0</v>
      </c>
      <c r="O32" s="457">
        <f t="shared" si="15"/>
        <v>0</v>
      </c>
      <c r="P32" s="458">
        <f t="shared" si="16"/>
        <v>0</v>
      </c>
      <c r="Q32" s="456">
        <f t="shared" ref="Q32" ca="1" si="18">SUM(B32:P32)</f>
        <v>4779.4231763946527</v>
      </c>
    </row>
    <row r="33" spans="1:17" s="469" customFormat="1">
      <c r="A33" s="466" t="s">
        <v>566</v>
      </c>
      <c r="B33" s="467">
        <f ca="1">SUM(B22:B32)</f>
        <v>44976.320003622786</v>
      </c>
      <c r="C33" s="467">
        <f t="shared" ref="C33:Q33" ca="1" si="19">SUM(C22:C32)</f>
        <v>0</v>
      </c>
      <c r="D33" s="467">
        <f t="shared" ca="1" si="19"/>
        <v>74725.898086790738</v>
      </c>
      <c r="E33" s="467">
        <f t="shared" si="19"/>
        <v>721.21689810702594</v>
      </c>
      <c r="F33" s="467">
        <f t="shared" ca="1" si="19"/>
        <v>7549.0454613513175</v>
      </c>
      <c r="G33" s="467">
        <f t="shared" si="19"/>
        <v>31891.700616533555</v>
      </c>
      <c r="H33" s="467">
        <f t="shared" si="19"/>
        <v>5086.1230960281127</v>
      </c>
      <c r="I33" s="467">
        <f t="shared" si="19"/>
        <v>0</v>
      </c>
      <c r="J33" s="467">
        <f t="shared" si="19"/>
        <v>68.194638054318105</v>
      </c>
      <c r="K33" s="467">
        <f t="shared" si="19"/>
        <v>0</v>
      </c>
      <c r="L33" s="467">
        <f t="shared" ca="1" si="19"/>
        <v>0</v>
      </c>
      <c r="M33" s="467">
        <f t="shared" si="19"/>
        <v>0</v>
      </c>
      <c r="N33" s="467">
        <f t="shared" ca="1" si="19"/>
        <v>0</v>
      </c>
      <c r="O33" s="467">
        <f t="shared" si="19"/>
        <v>0</v>
      </c>
      <c r="P33" s="467">
        <f t="shared" si="19"/>
        <v>0</v>
      </c>
      <c r="Q33" s="467">
        <f t="shared" ca="1" si="19"/>
        <v>165018.49880048787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7" zoomScale="55" zoomScaleNormal="55" workbookViewId="0">
      <selection activeCell="A18" sqref="A18"/>
    </sheetView>
  </sheetViews>
  <sheetFormatPr defaultColWidth="9.140625" defaultRowHeight="15"/>
  <cols>
    <col min="1" max="1" width="51.42578125" style="455" customWidth="1"/>
    <col min="2" max="8" width="26.28515625" style="455" customWidth="1"/>
    <col min="9" max="9" width="32" style="455" customWidth="1"/>
    <col min="10" max="11" width="26.28515625" style="455" customWidth="1"/>
    <col min="12" max="12" width="23.7109375" style="455" customWidth="1"/>
    <col min="13" max="15" width="26.28515625" style="455" customWidth="1"/>
    <col min="16" max="16" width="42" style="455" customWidth="1"/>
    <col min="17" max="17" width="26.28515625" style="455" customWidth="1"/>
    <col min="18" max="18" width="9.5703125" style="455" bestFit="1" customWidth="1"/>
    <col min="19" max="16384" width="9.140625" style="455"/>
  </cols>
  <sheetData>
    <row r="1" spans="1:17" s="909" customFormat="1" ht="21">
      <c r="A1" s="1162" t="s">
        <v>561</v>
      </c>
      <c r="B1" s="1163" t="s">
        <v>870</v>
      </c>
      <c r="C1" s="1163"/>
      <c r="D1" s="1163"/>
      <c r="E1" s="1163"/>
      <c r="F1" s="1163"/>
      <c r="G1" s="1163"/>
      <c r="H1" s="1163"/>
      <c r="I1" s="1163"/>
      <c r="J1" s="1163"/>
      <c r="K1" s="1163"/>
      <c r="L1" s="1163"/>
      <c r="M1" s="1163"/>
      <c r="N1" s="1163"/>
      <c r="O1" s="1163"/>
      <c r="P1" s="1164"/>
      <c r="Q1" s="939"/>
    </row>
    <row r="2" spans="1:17" s="909" customFormat="1" ht="21">
      <c r="A2" s="1162"/>
      <c r="B2" s="1165" t="s">
        <v>20</v>
      </c>
      <c r="C2" s="1167" t="s">
        <v>195</v>
      </c>
      <c r="D2" s="1169" t="s">
        <v>196</v>
      </c>
      <c r="E2" s="1170"/>
      <c r="F2" s="1170"/>
      <c r="G2" s="1170"/>
      <c r="H2" s="1170"/>
      <c r="I2" s="1170"/>
      <c r="J2" s="1170"/>
      <c r="K2" s="1166"/>
      <c r="L2" s="1169" t="s">
        <v>197</v>
      </c>
      <c r="M2" s="1170"/>
      <c r="N2" s="1170"/>
      <c r="O2" s="1170"/>
      <c r="P2" s="1166"/>
      <c r="Q2" s="939"/>
    </row>
    <row r="3" spans="1:17" s="909" customFormat="1" ht="42">
      <c r="A3" s="1162"/>
      <c r="B3" s="1166"/>
      <c r="C3" s="1168"/>
      <c r="D3" s="922" t="s">
        <v>198</v>
      </c>
      <c r="E3" s="922" t="s">
        <v>199</v>
      </c>
      <c r="F3" s="922" t="s">
        <v>200</v>
      </c>
      <c r="G3" s="922" t="s">
        <v>201</v>
      </c>
      <c r="H3" s="922" t="s">
        <v>119</v>
      </c>
      <c r="I3" s="922" t="s">
        <v>202</v>
      </c>
      <c r="J3" s="922" t="s">
        <v>203</v>
      </c>
      <c r="K3" s="922" t="s">
        <v>204</v>
      </c>
      <c r="L3" s="922" t="s">
        <v>205</v>
      </c>
      <c r="M3" s="922" t="s">
        <v>206</v>
      </c>
      <c r="N3" s="922" t="s">
        <v>207</v>
      </c>
      <c r="O3" s="922" t="s">
        <v>208</v>
      </c>
      <c r="P3" s="922" t="s">
        <v>209</v>
      </c>
      <c r="Q3" s="939" t="s">
        <v>115</v>
      </c>
    </row>
    <row r="4" spans="1:17" ht="124.35" customHeight="1">
      <c r="A4" s="926" t="s">
        <v>154</v>
      </c>
      <c r="B4" s="945" t="s">
        <v>871</v>
      </c>
      <c r="C4" s="946" t="s">
        <v>872</v>
      </c>
      <c r="D4" s="947" t="s">
        <v>873</v>
      </c>
      <c r="E4" s="948" t="s">
        <v>874</v>
      </c>
      <c r="F4" s="948" t="s">
        <v>875</v>
      </c>
      <c r="G4" s="949" t="s">
        <v>878</v>
      </c>
      <c r="H4" s="949" t="s">
        <v>878</v>
      </c>
      <c r="I4" s="949" t="s">
        <v>878</v>
      </c>
      <c r="J4" s="948" t="s">
        <v>877</v>
      </c>
      <c r="K4" s="949" t="s">
        <v>878</v>
      </c>
      <c r="L4" s="949" t="s">
        <v>878</v>
      </c>
      <c r="M4" s="949" t="s">
        <v>878</v>
      </c>
      <c r="N4" s="948" t="s">
        <v>879</v>
      </c>
      <c r="O4" s="950" t="s">
        <v>880</v>
      </c>
      <c r="P4" s="951" t="s">
        <v>881</v>
      </c>
      <c r="Q4" s="952"/>
    </row>
    <row r="5" spans="1:17" ht="124.35" customHeight="1">
      <c r="A5" s="927" t="s">
        <v>155</v>
      </c>
      <c r="B5" s="928" t="s">
        <v>882</v>
      </c>
      <c r="C5" s="929" t="s">
        <v>883</v>
      </c>
      <c r="D5" s="929" t="s">
        <v>884</v>
      </c>
      <c r="E5" s="930" t="s">
        <v>885</v>
      </c>
      <c r="F5" s="930" t="s">
        <v>886</v>
      </c>
      <c r="G5" s="931" t="s">
        <v>878</v>
      </c>
      <c r="H5" s="931" t="s">
        <v>878</v>
      </c>
      <c r="I5" s="931" t="s">
        <v>878</v>
      </c>
      <c r="J5" s="930" t="s">
        <v>887</v>
      </c>
      <c r="K5" s="928" t="s">
        <v>888</v>
      </c>
      <c r="L5" s="931" t="s">
        <v>878</v>
      </c>
      <c r="M5" s="931" t="s">
        <v>878</v>
      </c>
      <c r="N5" s="930" t="s">
        <v>889</v>
      </c>
      <c r="O5" s="932" t="s">
        <v>880</v>
      </c>
      <c r="P5" s="940" t="s">
        <v>881</v>
      </c>
      <c r="Q5" s="923"/>
    </row>
    <row r="6" spans="1:17" ht="124.35" customHeight="1">
      <c r="A6" s="927" t="s">
        <v>193</v>
      </c>
      <c r="B6" s="933" t="s">
        <v>890</v>
      </c>
      <c r="C6" s="934" t="s">
        <v>876</v>
      </c>
      <c r="D6" s="931" t="s">
        <v>876</v>
      </c>
      <c r="E6" s="931" t="s">
        <v>876</v>
      </c>
      <c r="F6" s="931" t="s">
        <v>876</v>
      </c>
      <c r="G6" s="931" t="s">
        <v>876</v>
      </c>
      <c r="H6" s="931" t="s">
        <v>876</v>
      </c>
      <c r="I6" s="931" t="s">
        <v>876</v>
      </c>
      <c r="J6" s="931" t="s">
        <v>876</v>
      </c>
      <c r="K6" s="931" t="s">
        <v>876</v>
      </c>
      <c r="L6" s="931" t="s">
        <v>876</v>
      </c>
      <c r="M6" s="931" t="s">
        <v>876</v>
      </c>
      <c r="N6" s="931" t="s">
        <v>876</v>
      </c>
      <c r="O6" s="935" t="s">
        <v>876</v>
      </c>
      <c r="P6" s="941" t="s">
        <v>876</v>
      </c>
      <c r="Q6" s="924"/>
    </row>
    <row r="7" spans="1:17" ht="124.35" customHeight="1">
      <c r="A7" s="927" t="s">
        <v>111</v>
      </c>
      <c r="B7" s="933" t="s">
        <v>890</v>
      </c>
      <c r="C7" s="929" t="s">
        <v>883</v>
      </c>
      <c r="D7" s="929" t="s">
        <v>884</v>
      </c>
      <c r="E7" s="930" t="s">
        <v>885</v>
      </c>
      <c r="F7" s="930" t="s">
        <v>886</v>
      </c>
      <c r="G7" s="931" t="s">
        <v>878</v>
      </c>
      <c r="H7" s="931" t="s">
        <v>878</v>
      </c>
      <c r="I7" s="931" t="s">
        <v>878</v>
      </c>
      <c r="J7" s="930" t="s">
        <v>887</v>
      </c>
      <c r="K7" s="931" t="s">
        <v>878</v>
      </c>
      <c r="L7" s="931" t="s">
        <v>878</v>
      </c>
      <c r="M7" s="931" t="s">
        <v>878</v>
      </c>
      <c r="N7" s="936" t="s">
        <v>878</v>
      </c>
      <c r="O7" s="934" t="s">
        <v>878</v>
      </c>
      <c r="P7" s="942" t="s">
        <v>878</v>
      </c>
      <c r="Q7" s="923"/>
    </row>
    <row r="8" spans="1:17" ht="124.35" customHeight="1">
      <c r="A8" s="927" t="s">
        <v>654</v>
      </c>
      <c r="B8" s="928" t="s">
        <v>891</v>
      </c>
      <c r="C8" s="929" t="s">
        <v>883</v>
      </c>
      <c r="D8" s="929" t="s">
        <v>884</v>
      </c>
      <c r="E8" s="930" t="s">
        <v>885</v>
      </c>
      <c r="F8" s="930" t="s">
        <v>886</v>
      </c>
      <c r="G8" s="931" t="s">
        <v>878</v>
      </c>
      <c r="H8" s="931" t="s">
        <v>878</v>
      </c>
      <c r="I8" s="931" t="s">
        <v>878</v>
      </c>
      <c r="J8" s="930" t="s">
        <v>887</v>
      </c>
      <c r="K8" s="928" t="s">
        <v>888</v>
      </c>
      <c r="L8" s="931" t="s">
        <v>878</v>
      </c>
      <c r="M8" s="931" t="s">
        <v>878</v>
      </c>
      <c r="N8" s="930" t="s">
        <v>889</v>
      </c>
      <c r="O8" s="932" t="s">
        <v>880</v>
      </c>
      <c r="P8" s="940" t="s">
        <v>881</v>
      </c>
      <c r="Q8" s="923"/>
    </row>
    <row r="9" spans="1:17" s="462" customFormat="1" ht="124.35" customHeight="1">
      <c r="A9" s="937" t="s">
        <v>572</v>
      </c>
      <c r="B9" s="930" t="s">
        <v>892</v>
      </c>
      <c r="C9" s="935" t="s">
        <v>876</v>
      </c>
      <c r="D9" s="930" t="s">
        <v>893</v>
      </c>
      <c r="E9" s="930" t="s">
        <v>894</v>
      </c>
      <c r="F9" s="931" t="s">
        <v>876</v>
      </c>
      <c r="G9" s="930" t="s">
        <v>895</v>
      </c>
      <c r="H9" s="930" t="s">
        <v>896</v>
      </c>
      <c r="I9" s="931" t="s">
        <v>876</v>
      </c>
      <c r="J9" s="931" t="s">
        <v>876</v>
      </c>
      <c r="K9" s="931" t="s">
        <v>876</v>
      </c>
      <c r="L9" s="931" t="s">
        <v>876</v>
      </c>
      <c r="M9" s="930" t="s">
        <v>892</v>
      </c>
      <c r="N9" s="931" t="s">
        <v>876</v>
      </c>
      <c r="O9" s="931" t="s">
        <v>876</v>
      </c>
      <c r="P9" s="943" t="s">
        <v>876</v>
      </c>
      <c r="Q9" s="925"/>
    </row>
    <row r="10" spans="1:17" ht="124.35" customHeight="1">
      <c r="A10" s="927" t="s">
        <v>562</v>
      </c>
      <c r="B10" s="928" t="s">
        <v>906</v>
      </c>
      <c r="C10" s="935" t="s">
        <v>876</v>
      </c>
      <c r="D10" s="935" t="s">
        <v>876</v>
      </c>
      <c r="E10" s="935" t="s">
        <v>876</v>
      </c>
      <c r="F10" s="931" t="s">
        <v>876</v>
      </c>
      <c r="G10" s="928" t="s">
        <v>897</v>
      </c>
      <c r="H10" s="931" t="s">
        <v>876</v>
      </c>
      <c r="I10" s="931" t="s">
        <v>876</v>
      </c>
      <c r="J10" s="931" t="s">
        <v>876</v>
      </c>
      <c r="K10" s="931" t="s">
        <v>876</v>
      </c>
      <c r="L10" s="931" t="s">
        <v>876</v>
      </c>
      <c r="M10" s="928" t="s">
        <v>898</v>
      </c>
      <c r="N10" s="931" t="s">
        <v>876</v>
      </c>
      <c r="O10" s="931" t="s">
        <v>876</v>
      </c>
      <c r="P10" s="943" t="s">
        <v>876</v>
      </c>
      <c r="Q10" s="923"/>
    </row>
    <row r="11" spans="1:17" ht="21">
      <c r="A11" s="927" t="s">
        <v>563</v>
      </c>
      <c r="B11" s="938" t="s">
        <v>899</v>
      </c>
      <c r="C11" s="938" t="s">
        <v>899</v>
      </c>
      <c r="D11" s="938" t="s">
        <v>899</v>
      </c>
      <c r="E11" s="938" t="s">
        <v>899</v>
      </c>
      <c r="F11" s="938" t="s">
        <v>899</v>
      </c>
      <c r="G11" s="938" t="s">
        <v>899</v>
      </c>
      <c r="H11" s="938" t="s">
        <v>899</v>
      </c>
      <c r="I11" s="938" t="s">
        <v>899</v>
      </c>
      <c r="J11" s="938" t="s">
        <v>899</v>
      </c>
      <c r="K11" s="938" t="s">
        <v>899</v>
      </c>
      <c r="L11" s="938" t="s">
        <v>899</v>
      </c>
      <c r="M11" s="938" t="s">
        <v>899</v>
      </c>
      <c r="N11" s="938" t="s">
        <v>899</v>
      </c>
      <c r="O11" s="938" t="s">
        <v>899</v>
      </c>
      <c r="P11" s="953" t="s">
        <v>899</v>
      </c>
      <c r="Q11" s="954"/>
    </row>
    <row r="12" spans="1:17" ht="21">
      <c r="A12" s="927" t="s">
        <v>564</v>
      </c>
      <c r="B12" s="938" t="s">
        <v>899</v>
      </c>
      <c r="C12" s="938" t="s">
        <v>876</v>
      </c>
      <c r="D12" s="938" t="s">
        <v>876</v>
      </c>
      <c r="E12" s="938" t="s">
        <v>876</v>
      </c>
      <c r="F12" s="938" t="s">
        <v>876</v>
      </c>
      <c r="G12" s="938" t="s">
        <v>876</v>
      </c>
      <c r="H12" s="938" t="s">
        <v>876</v>
      </c>
      <c r="I12" s="938" t="s">
        <v>876</v>
      </c>
      <c r="J12" s="938" t="s">
        <v>876</v>
      </c>
      <c r="K12" s="938" t="s">
        <v>876</v>
      </c>
      <c r="L12" s="938" t="s">
        <v>876</v>
      </c>
      <c r="M12" s="938" t="s">
        <v>876</v>
      </c>
      <c r="N12" s="938" t="s">
        <v>876</v>
      </c>
      <c r="O12" s="938" t="s">
        <v>876</v>
      </c>
      <c r="P12" s="944" t="s">
        <v>876</v>
      </c>
      <c r="Q12" s="458"/>
    </row>
    <row r="13" spans="1:17" ht="21">
      <c r="A13" s="927" t="s">
        <v>565</v>
      </c>
      <c r="B13" s="938" t="s">
        <v>899</v>
      </c>
      <c r="C13" s="938" t="s">
        <v>876</v>
      </c>
      <c r="D13" s="938" t="s">
        <v>899</v>
      </c>
      <c r="E13" s="938" t="s">
        <v>899</v>
      </c>
      <c r="F13" s="938" t="s">
        <v>876</v>
      </c>
      <c r="G13" s="938" t="s">
        <v>899</v>
      </c>
      <c r="H13" s="938" t="s">
        <v>899</v>
      </c>
      <c r="I13" s="938" t="s">
        <v>876</v>
      </c>
      <c r="J13" s="938" t="s">
        <v>876</v>
      </c>
      <c r="K13" s="938" t="s">
        <v>876</v>
      </c>
      <c r="L13" s="938" t="s">
        <v>876</v>
      </c>
      <c r="M13" s="938" t="s">
        <v>899</v>
      </c>
      <c r="N13" s="938" t="s">
        <v>876</v>
      </c>
      <c r="O13" s="938" t="s">
        <v>876</v>
      </c>
      <c r="P13" s="953" t="s">
        <v>876</v>
      </c>
      <c r="Q13" s="954"/>
    </row>
    <row r="14" spans="1:17" ht="30">
      <c r="A14" s="910" t="s">
        <v>916</v>
      </c>
      <c r="B14" s="933" t="s">
        <v>915</v>
      </c>
      <c r="C14" s="938" t="s">
        <v>876</v>
      </c>
      <c r="D14" s="933" t="s">
        <v>915</v>
      </c>
      <c r="E14" s="938" t="s">
        <v>876</v>
      </c>
      <c r="F14" s="938" t="s">
        <v>876</v>
      </c>
      <c r="G14" s="938" t="s">
        <v>876</v>
      </c>
      <c r="H14" s="938" t="s">
        <v>876</v>
      </c>
      <c r="I14" s="938" t="s">
        <v>876</v>
      </c>
      <c r="J14" s="938" t="s">
        <v>876</v>
      </c>
      <c r="K14" s="938" t="s">
        <v>876</v>
      </c>
      <c r="L14" s="938" t="s">
        <v>876</v>
      </c>
      <c r="M14" s="938" t="s">
        <v>876</v>
      </c>
      <c r="N14" s="938" t="s">
        <v>876</v>
      </c>
      <c r="O14" s="938" t="s">
        <v>876</v>
      </c>
      <c r="P14" s="953" t="s">
        <v>876</v>
      </c>
      <c r="Q14" s="1015"/>
    </row>
    <row r="15" spans="1:17" s="469" customFormat="1" ht="21">
      <c r="A15" s="911" t="s">
        <v>566</v>
      </c>
      <c r="B15" s="467"/>
      <c r="C15" s="467"/>
      <c r="D15" s="467"/>
      <c r="E15" s="467"/>
      <c r="F15" s="467"/>
      <c r="G15" s="467"/>
      <c r="H15" s="467"/>
      <c r="I15" s="467"/>
      <c r="J15" s="467"/>
      <c r="K15" s="467"/>
      <c r="L15" s="467"/>
      <c r="M15" s="912"/>
      <c r="N15" s="467"/>
      <c r="O15" s="467"/>
      <c r="P15" s="468"/>
      <c r="Q15" s="913"/>
    </row>
    <row r="16" spans="1:17">
      <c r="M16" s="914"/>
    </row>
    <row r="17" spans="1:4">
      <c r="B17" s="915">
        <v>1</v>
      </c>
      <c r="C17" s="916">
        <v>2</v>
      </c>
      <c r="D17" s="917">
        <v>3</v>
      </c>
    </row>
    <row r="18" spans="1:4" ht="252">
      <c r="A18" s="918" t="s">
        <v>900</v>
      </c>
      <c r="B18" s="919" t="s">
        <v>901</v>
      </c>
      <c r="C18" s="920" t="s">
        <v>902</v>
      </c>
      <c r="D18" s="921" t="s">
        <v>903</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60">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c r="A4" s="1017" t="s">
        <v>248</v>
      </c>
      <c r="B4" s="1018">
        <f>'SEAP template'!B72</f>
        <v>0</v>
      </c>
      <c r="C4" s="1018"/>
      <c r="D4" s="1018"/>
      <c r="E4" s="1018"/>
      <c r="F4" s="1018"/>
      <c r="G4" s="1018"/>
      <c r="H4" s="1018"/>
      <c r="I4" s="1018"/>
      <c r="J4" s="1018"/>
      <c r="K4" s="1018"/>
      <c r="L4" s="1018"/>
      <c r="M4" s="1018"/>
      <c r="N4" s="1018"/>
      <c r="O4" s="1018"/>
      <c r="P4" s="1019">
        <f>'SEAP template'!Q72</f>
        <v>0</v>
      </c>
    </row>
    <row r="5" spans="1:16">
      <c r="A5" s="1020" t="s">
        <v>249</v>
      </c>
      <c r="B5" s="1018">
        <f>'SEAP template'!B73</f>
        <v>0</v>
      </c>
      <c r="C5" s="1018"/>
      <c r="D5" s="1018"/>
      <c r="E5" s="1018"/>
      <c r="F5" s="1018"/>
      <c r="G5" s="1018"/>
      <c r="H5" s="1018"/>
      <c r="I5" s="1018"/>
      <c r="J5" s="1018"/>
      <c r="K5" s="1018"/>
      <c r="L5" s="1018"/>
      <c r="M5" s="1018"/>
      <c r="N5" s="1018"/>
      <c r="O5" s="1018"/>
      <c r="P5" s="1019">
        <f>'SEAP template'!Q73</f>
        <v>0</v>
      </c>
    </row>
    <row r="6" spans="1:16">
      <c r="A6" s="1020" t="s">
        <v>250</v>
      </c>
      <c r="B6" s="1018">
        <f>'SEAP template'!B74</f>
        <v>1453.0108428820563</v>
      </c>
      <c r="C6" s="1018"/>
      <c r="D6" s="1018"/>
      <c r="E6" s="1018"/>
      <c r="F6" s="1018"/>
      <c r="G6" s="1018"/>
      <c r="H6" s="1018"/>
      <c r="I6" s="1018"/>
      <c r="J6" s="1018"/>
      <c r="K6" s="1018"/>
      <c r="L6" s="1018"/>
      <c r="M6" s="1018"/>
      <c r="N6" s="1018"/>
      <c r="O6" s="1018"/>
      <c r="P6" s="1019">
        <f>'SEAP template'!Q74</f>
        <v>0</v>
      </c>
    </row>
    <row r="7" spans="1:16">
      <c r="A7" s="1020" t="s">
        <v>907</v>
      </c>
      <c r="B7" s="1018">
        <f>'SEAP template'!B75</f>
        <v>0</v>
      </c>
      <c r="C7" s="1018"/>
      <c r="D7" s="1018"/>
      <c r="E7" s="1018"/>
      <c r="F7" s="1018"/>
      <c r="G7" s="1018"/>
      <c r="H7" s="1018"/>
      <c r="I7" s="1018"/>
      <c r="J7" s="1018"/>
      <c r="K7" s="1018"/>
      <c r="L7" s="1018"/>
      <c r="M7" s="1018"/>
      <c r="N7" s="1018"/>
      <c r="O7" s="1018"/>
      <c r="P7" s="1019">
        <f>'SEAP template'!Q75</f>
        <v>0</v>
      </c>
    </row>
    <row r="8" spans="1:16">
      <c r="A8" s="1017" t="s">
        <v>251</v>
      </c>
      <c r="B8" s="1018">
        <f>'SEAP template'!B76</f>
        <v>0</v>
      </c>
      <c r="C8" s="1018">
        <f>'SEAP template'!C76</f>
        <v>0</v>
      </c>
      <c r="D8" s="1018">
        <f>'SEAP template'!D76</f>
        <v>0</v>
      </c>
      <c r="E8" s="1018">
        <f>'SEAP template'!E76</f>
        <v>0</v>
      </c>
      <c r="F8" s="1018">
        <f>'SEAP template'!F76</f>
        <v>0</v>
      </c>
      <c r="G8" s="1018">
        <f>'SEAP template'!G76</f>
        <v>0</v>
      </c>
      <c r="H8" s="1018">
        <f>'SEAP template'!H76</f>
        <v>0</v>
      </c>
      <c r="I8" s="1018">
        <f>'SEAP template'!I76</f>
        <v>0</v>
      </c>
      <c r="J8" s="1018">
        <f>'SEAP template'!J76</f>
        <v>0</v>
      </c>
      <c r="K8" s="1018">
        <f>'SEAP template'!K76</f>
        <v>0</v>
      </c>
      <c r="L8" s="1018">
        <f>'SEAP template'!L76</f>
        <v>0</v>
      </c>
      <c r="M8" s="1018">
        <f>'SEAP template'!M76</f>
        <v>0</v>
      </c>
      <c r="N8" s="1018">
        <f>'SEAP template'!N76</f>
        <v>0</v>
      </c>
      <c r="O8" s="1018">
        <f>'SEAP template'!O76</f>
        <v>0</v>
      </c>
      <c r="P8" s="1019">
        <f>'SEAP template'!Q76</f>
        <v>0</v>
      </c>
    </row>
    <row r="9" spans="1:16">
      <c r="A9" s="1021" t="s">
        <v>925</v>
      </c>
      <c r="B9" s="1018">
        <f>'SEAP template'!B77</f>
        <v>0</v>
      </c>
      <c r="C9" s="1018">
        <f>'SEAP template'!C77</f>
        <v>0</v>
      </c>
      <c r="D9" s="1018">
        <f>'SEAP template'!D77</f>
        <v>0</v>
      </c>
      <c r="E9" s="1018">
        <f>'SEAP template'!E77</f>
        <v>0</v>
      </c>
      <c r="F9" s="1018">
        <f>'SEAP template'!F77</f>
        <v>0</v>
      </c>
      <c r="G9" s="1018">
        <f>'SEAP template'!G77</f>
        <v>0</v>
      </c>
      <c r="H9" s="1018">
        <f>'SEAP template'!H77</f>
        <v>0</v>
      </c>
      <c r="I9" s="1018">
        <f>'SEAP template'!I77</f>
        <v>0</v>
      </c>
      <c r="J9" s="1018">
        <f>'SEAP template'!J77</f>
        <v>0</v>
      </c>
      <c r="K9" s="1018">
        <f>'SEAP template'!K77</f>
        <v>0</v>
      </c>
      <c r="L9" s="1018">
        <f>'SEAP template'!L77</f>
        <v>0</v>
      </c>
      <c r="M9" s="1018">
        <f>'SEAP template'!M77</f>
        <v>0</v>
      </c>
      <c r="N9" s="1018">
        <f>'SEAP template'!N77</f>
        <v>0</v>
      </c>
      <c r="O9" s="1018">
        <f>'SEAP template'!O77</f>
        <v>0</v>
      </c>
      <c r="P9" s="1019">
        <f>'SEAP template'!Q77</f>
        <v>0</v>
      </c>
    </row>
    <row r="10" spans="1:16">
      <c r="A10" s="1020" t="s">
        <v>115</v>
      </c>
      <c r="B10" s="1022">
        <f>SUM(B4:B9)</f>
        <v>1453.0108428820563</v>
      </c>
      <c r="C10" s="1022">
        <f>SUM(C4:C9)</f>
        <v>0</v>
      </c>
      <c r="D10" s="1022">
        <f t="shared" ref="D10:H10" si="0">SUM(D8:D9)</f>
        <v>0</v>
      </c>
      <c r="E10" s="1022">
        <f t="shared" si="0"/>
        <v>0</v>
      </c>
      <c r="F10" s="1022">
        <f t="shared" si="0"/>
        <v>0</v>
      </c>
      <c r="G10" s="1022">
        <f t="shared" si="0"/>
        <v>0</v>
      </c>
      <c r="H10" s="1022">
        <f t="shared" si="0"/>
        <v>0</v>
      </c>
      <c r="I10" s="1022">
        <f>SUM(I8:I9)</f>
        <v>0</v>
      </c>
      <c r="J10" s="1022">
        <f>SUM(J8:J9)</f>
        <v>0</v>
      </c>
      <c r="K10" s="1022">
        <f t="shared" ref="K10:L10" si="1">SUM(K8:K9)</f>
        <v>0</v>
      </c>
      <c r="L10" s="1022">
        <f t="shared" si="1"/>
        <v>0</v>
      </c>
      <c r="M10" s="1022">
        <f>SUM(M8:M9)</f>
        <v>0</v>
      </c>
      <c r="N10" s="1022">
        <f>SUM(N8:N9)</f>
        <v>0</v>
      </c>
      <c r="O10" s="1022">
        <f>SUM(O8:O9)</f>
        <v>0</v>
      </c>
      <c r="P10" s="1022">
        <f>SUM(P8:P9)</f>
        <v>0</v>
      </c>
    </row>
    <row r="11" spans="1:16">
      <c r="A11" s="1023"/>
      <c r="B11" s="1023"/>
      <c r="C11" s="1023"/>
      <c r="D11" s="1023"/>
      <c r="E11" s="1023"/>
      <c r="F11" s="1023"/>
      <c r="G11" s="1023"/>
      <c r="H11" s="1023"/>
      <c r="I11" s="1023"/>
      <c r="J11" s="1023"/>
      <c r="K11" s="1023"/>
      <c r="L11" s="1023"/>
      <c r="M11" s="1023"/>
      <c r="N11" s="1023"/>
      <c r="O11" s="1023"/>
      <c r="P11" s="1023"/>
    </row>
    <row r="12" spans="1:16">
      <c r="A12" s="470" t="s">
        <v>926</v>
      </c>
      <c r="B12" s="774" t="s">
        <v>927</v>
      </c>
      <c r="C12" s="774">
        <f ca="1">'EF ele_warmte'!B12</f>
        <v>0.21943332184370506</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c r="A17" s="1024" t="s">
        <v>251</v>
      </c>
      <c r="B17" s="1025">
        <f>'SEAP template'!B87</f>
        <v>0</v>
      </c>
      <c r="C17" s="1025">
        <f>'SEAP template'!C87</f>
        <v>0</v>
      </c>
      <c r="D17" s="1019">
        <f>'SEAP template'!D87</f>
        <v>0</v>
      </c>
      <c r="E17" s="1019">
        <f>'SEAP template'!E87</f>
        <v>0</v>
      </c>
      <c r="F17" s="1019">
        <f>'SEAP template'!F87</f>
        <v>0</v>
      </c>
      <c r="G17" s="1019">
        <f>'SEAP template'!G87</f>
        <v>0</v>
      </c>
      <c r="H17" s="1019">
        <f>'SEAP template'!H87</f>
        <v>0</v>
      </c>
      <c r="I17" s="1019">
        <f>'SEAP template'!I87</f>
        <v>0</v>
      </c>
      <c r="J17" s="1019">
        <f>'SEAP template'!J87</f>
        <v>0</v>
      </c>
      <c r="K17" s="1019">
        <f>'SEAP template'!K87</f>
        <v>0</v>
      </c>
      <c r="L17" s="1019">
        <f>'SEAP template'!L87</f>
        <v>0</v>
      </c>
      <c r="M17" s="1019">
        <f>'SEAP template'!M87</f>
        <v>0</v>
      </c>
      <c r="N17" s="1019">
        <f>'SEAP template'!N87</f>
        <v>0</v>
      </c>
      <c r="O17" s="1019">
        <f>'SEAP template'!O87</f>
        <v>0</v>
      </c>
      <c r="P17" s="1019">
        <f>'SEAP template'!Q87</f>
        <v>0</v>
      </c>
    </row>
    <row r="18" spans="1:16">
      <c r="A18" s="1026" t="s">
        <v>257</v>
      </c>
      <c r="B18" s="1025">
        <f>'SEAP template'!B88</f>
        <v>0</v>
      </c>
      <c r="C18" s="1025">
        <f>'SEAP template'!C88</f>
        <v>0</v>
      </c>
      <c r="D18" s="1019">
        <f>'SEAP template'!D88</f>
        <v>0</v>
      </c>
      <c r="E18" s="1019">
        <f>'SEAP template'!E88</f>
        <v>0</v>
      </c>
      <c r="F18" s="1019">
        <f>'SEAP template'!F88</f>
        <v>0</v>
      </c>
      <c r="G18" s="1019">
        <f>'SEAP template'!G88</f>
        <v>0</v>
      </c>
      <c r="H18" s="1019">
        <f>'SEAP template'!H88</f>
        <v>0</v>
      </c>
      <c r="I18" s="1019">
        <f>'SEAP template'!I88</f>
        <v>0</v>
      </c>
      <c r="J18" s="1019">
        <f>'SEAP template'!J88</f>
        <v>0</v>
      </c>
      <c r="K18" s="1019">
        <f>'SEAP template'!K88</f>
        <v>0</v>
      </c>
      <c r="L18" s="1019">
        <f>'SEAP template'!L88</f>
        <v>0</v>
      </c>
      <c r="M18" s="1019">
        <f>'SEAP template'!M88</f>
        <v>0</v>
      </c>
      <c r="N18" s="1019">
        <f>'SEAP template'!N88</f>
        <v>0</v>
      </c>
      <c r="O18" s="1019">
        <f>'SEAP template'!O88</f>
        <v>0</v>
      </c>
      <c r="P18" s="1019">
        <f>'SEAP template'!Q88</f>
        <v>0</v>
      </c>
    </row>
    <row r="19" spans="1:16">
      <c r="A19" s="1021" t="s">
        <v>932</v>
      </c>
      <c r="B19" s="1025">
        <f>'SEAP template'!B89</f>
        <v>0</v>
      </c>
      <c r="C19" s="1025">
        <f>'SEAP template'!C89</f>
        <v>0</v>
      </c>
      <c r="D19" s="1019">
        <f>'SEAP template'!D89</f>
        <v>0</v>
      </c>
      <c r="E19" s="1019">
        <f>'SEAP template'!E89</f>
        <v>0</v>
      </c>
      <c r="F19" s="1019">
        <f>'SEAP template'!F89</f>
        <v>0</v>
      </c>
      <c r="G19" s="1019">
        <f>'SEAP template'!G89</f>
        <v>0</v>
      </c>
      <c r="H19" s="1019">
        <f>'SEAP template'!H89</f>
        <v>0</v>
      </c>
      <c r="I19" s="1019">
        <f>'SEAP template'!I89</f>
        <v>0</v>
      </c>
      <c r="J19" s="1019">
        <f>'SEAP template'!J89</f>
        <v>0</v>
      </c>
      <c r="K19" s="1019">
        <f>'SEAP template'!K89</f>
        <v>0</v>
      </c>
      <c r="L19" s="1019">
        <f>'SEAP template'!L89</f>
        <v>0</v>
      </c>
      <c r="M19" s="1019">
        <f>'SEAP template'!M89</f>
        <v>0</v>
      </c>
      <c r="N19" s="1019">
        <f>'SEAP template'!N89</f>
        <v>0</v>
      </c>
      <c r="O19" s="1019">
        <f>'SEAP template'!O89</f>
        <v>0</v>
      </c>
      <c r="P19" s="1019">
        <f>'SEAP template'!Q89</f>
        <v>0</v>
      </c>
    </row>
    <row r="20" spans="1:16">
      <c r="A20" s="1027" t="s">
        <v>115</v>
      </c>
      <c r="B20" s="1022">
        <f>SUM(B17:B19)</f>
        <v>0</v>
      </c>
      <c r="C20" s="1022">
        <f>SUM(C17:C19)</f>
        <v>0</v>
      </c>
      <c r="D20" s="1022">
        <f t="shared" ref="D20:H20" si="2">SUM(D17:D19)</f>
        <v>0</v>
      </c>
      <c r="E20" s="1022">
        <f t="shared" si="2"/>
        <v>0</v>
      </c>
      <c r="F20" s="1022">
        <f t="shared" si="2"/>
        <v>0</v>
      </c>
      <c r="G20" s="1022">
        <f t="shared" si="2"/>
        <v>0</v>
      </c>
      <c r="H20" s="1022">
        <f t="shared" si="2"/>
        <v>0</v>
      </c>
      <c r="I20" s="1022">
        <f>SUM(I17:I19)</f>
        <v>0</v>
      </c>
      <c r="J20" s="1022">
        <f>SUM(J17:J19)</f>
        <v>0</v>
      </c>
      <c r="K20" s="1022">
        <f t="shared" ref="K20:L20" si="3">SUM(K17:K19)</f>
        <v>0</v>
      </c>
      <c r="L20" s="1022">
        <f t="shared" si="3"/>
        <v>0</v>
      </c>
      <c r="M20" s="1022">
        <f>SUM(M17:M19)</f>
        <v>0</v>
      </c>
      <c r="N20" s="1022">
        <f>SUM(N17:N19)</f>
        <v>0</v>
      </c>
      <c r="O20" s="1022">
        <f>SUM(O17:O19)</f>
        <v>0</v>
      </c>
      <c r="P20" s="1022">
        <f>SUM(P17:P19)</f>
        <v>0</v>
      </c>
    </row>
    <row r="22" spans="1:16">
      <c r="A22" s="470" t="s">
        <v>933</v>
      </c>
      <c r="B22" s="774" t="s">
        <v>927</v>
      </c>
      <c r="C22" s="774">
        <f ca="1">'EF ele_warmte'!B22</f>
        <v>0</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71" t="s">
        <v>240</v>
      </c>
      <c r="B1" s="1172" t="s">
        <v>350</v>
      </c>
      <c r="C1" s="1172"/>
      <c r="D1" s="1173" t="s">
        <v>351</v>
      </c>
      <c r="E1" s="1173"/>
      <c r="F1" s="1173"/>
      <c r="G1" s="1173"/>
      <c r="H1" s="1173"/>
      <c r="I1" s="1173"/>
      <c r="J1" s="1173"/>
      <c r="K1" s="1173"/>
      <c r="L1" s="1173"/>
      <c r="M1" s="1173"/>
      <c r="N1" s="1173"/>
      <c r="O1" s="1173"/>
      <c r="P1" s="1172" t="s">
        <v>919</v>
      </c>
    </row>
    <row r="2" spans="1:16" ht="15.75">
      <c r="A2" s="1171"/>
      <c r="B2" s="1172"/>
      <c r="C2" s="1172"/>
      <c r="D2" s="1173" t="s">
        <v>196</v>
      </c>
      <c r="E2" s="1173"/>
      <c r="F2" s="1173"/>
      <c r="G2" s="1173"/>
      <c r="H2" s="1173"/>
      <c r="I2" s="1016" t="s">
        <v>920</v>
      </c>
      <c r="J2" s="1016" t="s">
        <v>233</v>
      </c>
      <c r="K2" s="1016" t="s">
        <v>921</v>
      </c>
      <c r="L2" s="1016" t="s">
        <v>907</v>
      </c>
      <c r="M2" s="1016" t="s">
        <v>244</v>
      </c>
      <c r="N2" s="1016" t="s">
        <v>922</v>
      </c>
      <c r="O2" s="1016" t="s">
        <v>126</v>
      </c>
      <c r="P2" s="1172"/>
    </row>
    <row r="3" spans="1:16" ht="30">
      <c r="A3" s="1171"/>
      <c r="B3" s="1016" t="s">
        <v>923</v>
      </c>
      <c r="C3" s="1016" t="s">
        <v>924</v>
      </c>
      <c r="D3" s="1016" t="s">
        <v>198</v>
      </c>
      <c r="E3" s="1016" t="s">
        <v>199</v>
      </c>
      <c r="F3" s="1016" t="s">
        <v>200</v>
      </c>
      <c r="G3" s="1016" t="s">
        <v>202</v>
      </c>
      <c r="H3" s="1016" t="s">
        <v>203</v>
      </c>
      <c r="I3" s="1016"/>
      <c r="J3" s="1016"/>
      <c r="K3" s="1016"/>
      <c r="L3" s="1016"/>
      <c r="M3" s="1016"/>
      <c r="N3" s="1016"/>
      <c r="O3" s="1016"/>
      <c r="P3" s="1172"/>
    </row>
    <row r="4" spans="1:16" ht="135">
      <c r="A4" s="1028" t="s">
        <v>248</v>
      </c>
      <c r="B4" s="1029" t="s">
        <v>934</v>
      </c>
      <c r="C4" s="1030" t="s">
        <v>876</v>
      </c>
      <c r="D4" s="1030" t="s">
        <v>876</v>
      </c>
      <c r="E4" s="1030" t="s">
        <v>876</v>
      </c>
      <c r="F4" s="1030" t="s">
        <v>876</v>
      </c>
      <c r="G4" s="1030" t="s">
        <v>876</v>
      </c>
      <c r="H4" s="1030" t="s">
        <v>876</v>
      </c>
      <c r="I4" s="1030" t="s">
        <v>876</v>
      </c>
      <c r="J4" s="1030" t="s">
        <v>876</v>
      </c>
      <c r="K4" s="1030" t="s">
        <v>876</v>
      </c>
      <c r="L4" s="1030" t="s">
        <v>876</v>
      </c>
      <c r="M4" s="1030" t="s">
        <v>876</v>
      </c>
      <c r="N4" s="1030" t="s">
        <v>876</v>
      </c>
      <c r="O4" s="1030" t="s">
        <v>876</v>
      </c>
      <c r="P4" s="1031" t="s">
        <v>935</v>
      </c>
    </row>
    <row r="5" spans="1:16" ht="135">
      <c r="A5" s="1032" t="s">
        <v>249</v>
      </c>
      <c r="B5" s="1029" t="s">
        <v>934</v>
      </c>
      <c r="C5" s="1030" t="s">
        <v>876</v>
      </c>
      <c r="D5" s="1030" t="s">
        <v>876</v>
      </c>
      <c r="E5" s="1030" t="s">
        <v>876</v>
      </c>
      <c r="F5" s="1030" t="s">
        <v>876</v>
      </c>
      <c r="G5" s="1030" t="s">
        <v>876</v>
      </c>
      <c r="H5" s="1030" t="s">
        <v>876</v>
      </c>
      <c r="I5" s="1030" t="s">
        <v>876</v>
      </c>
      <c r="J5" s="1030" t="s">
        <v>876</v>
      </c>
      <c r="K5" s="1030" t="s">
        <v>876</v>
      </c>
      <c r="L5" s="1030" t="s">
        <v>876</v>
      </c>
      <c r="M5" s="1030" t="s">
        <v>876</v>
      </c>
      <c r="N5" s="1030" t="s">
        <v>876</v>
      </c>
      <c r="O5" s="1030" t="s">
        <v>876</v>
      </c>
      <c r="P5" s="1031" t="s">
        <v>935</v>
      </c>
    </row>
    <row r="6" spans="1:16" ht="135">
      <c r="A6" s="1032" t="s">
        <v>250</v>
      </c>
      <c r="B6" s="1029" t="s">
        <v>934</v>
      </c>
      <c r="C6" s="1030" t="s">
        <v>876</v>
      </c>
      <c r="D6" s="1030" t="s">
        <v>876</v>
      </c>
      <c r="E6" s="1030" t="s">
        <v>876</v>
      </c>
      <c r="F6" s="1030" t="s">
        <v>876</v>
      </c>
      <c r="G6" s="1030" t="s">
        <v>876</v>
      </c>
      <c r="H6" s="1030" t="s">
        <v>876</v>
      </c>
      <c r="I6" s="1030" t="s">
        <v>876</v>
      </c>
      <c r="J6" s="1030" t="s">
        <v>876</v>
      </c>
      <c r="K6" s="1030" t="s">
        <v>876</v>
      </c>
      <c r="L6" s="1030" t="s">
        <v>876</v>
      </c>
      <c r="M6" s="1030" t="s">
        <v>876</v>
      </c>
      <c r="N6" s="1030" t="s">
        <v>876</v>
      </c>
      <c r="O6" s="1030" t="s">
        <v>876</v>
      </c>
      <c r="P6" s="1031" t="s">
        <v>935</v>
      </c>
    </row>
    <row r="7" spans="1:16" ht="135">
      <c r="A7" s="1032" t="s">
        <v>907</v>
      </c>
      <c r="B7" s="1030" t="s">
        <v>876</v>
      </c>
      <c r="C7" s="1030" t="s">
        <v>876</v>
      </c>
      <c r="D7" s="1030" t="s">
        <v>876</v>
      </c>
      <c r="E7" s="1030" t="s">
        <v>876</v>
      </c>
      <c r="F7" s="1030" t="s">
        <v>876</v>
      </c>
      <c r="G7" s="1030" t="s">
        <v>876</v>
      </c>
      <c r="H7" s="1030" t="s">
        <v>876</v>
      </c>
      <c r="I7" s="1030" t="s">
        <v>876</v>
      </c>
      <c r="J7" s="1030" t="s">
        <v>876</v>
      </c>
      <c r="K7" s="1030" t="s">
        <v>876</v>
      </c>
      <c r="L7" s="1030" t="s">
        <v>876</v>
      </c>
      <c r="M7" s="1030" t="s">
        <v>876</v>
      </c>
      <c r="N7" s="1030" t="s">
        <v>876</v>
      </c>
      <c r="O7" s="1030" t="s">
        <v>876</v>
      </c>
      <c r="P7" s="1031" t="s">
        <v>935</v>
      </c>
    </row>
    <row r="8" spans="1:16" ht="210">
      <c r="A8" s="1028" t="s">
        <v>251</v>
      </c>
      <c r="B8" s="1029" t="s">
        <v>936</v>
      </c>
      <c r="C8" s="1029" t="s">
        <v>936</v>
      </c>
      <c r="D8" s="1029" t="s">
        <v>936</v>
      </c>
      <c r="E8" s="1029" t="s">
        <v>936</v>
      </c>
      <c r="F8" s="1029" t="s">
        <v>936</v>
      </c>
      <c r="G8" s="1029" t="s">
        <v>936</v>
      </c>
      <c r="H8" s="1029" t="s">
        <v>936</v>
      </c>
      <c r="I8" s="1029" t="s">
        <v>936</v>
      </c>
      <c r="J8" s="1029" t="s">
        <v>936</v>
      </c>
      <c r="K8" s="1030" t="s">
        <v>876</v>
      </c>
      <c r="L8" s="1030" t="s">
        <v>876</v>
      </c>
      <c r="M8" s="1030" t="s">
        <v>876</v>
      </c>
      <c r="N8" s="1029" t="s">
        <v>937</v>
      </c>
      <c r="O8" s="1029" t="s">
        <v>937</v>
      </c>
      <c r="P8" s="1033"/>
    </row>
    <row r="9" spans="1:16" ht="210">
      <c r="A9" s="1034" t="s">
        <v>925</v>
      </c>
      <c r="B9" s="1029" t="s">
        <v>937</v>
      </c>
      <c r="C9" s="1029" t="s">
        <v>937</v>
      </c>
      <c r="D9" s="1029" t="s">
        <v>937</v>
      </c>
      <c r="E9" s="1029" t="s">
        <v>937</v>
      </c>
      <c r="F9" s="1029" t="s">
        <v>937</v>
      </c>
      <c r="G9" s="1029" t="s">
        <v>937</v>
      </c>
      <c r="H9" s="1029" t="s">
        <v>937</v>
      </c>
      <c r="I9" s="1029" t="s">
        <v>937</v>
      </c>
      <c r="J9" s="1029" t="s">
        <v>937</v>
      </c>
      <c r="K9" s="1030" t="s">
        <v>876</v>
      </c>
      <c r="L9" s="1029" t="s">
        <v>937</v>
      </c>
      <c r="M9" s="1029" t="s">
        <v>937</v>
      </c>
      <c r="N9" s="1029" t="s">
        <v>937</v>
      </c>
      <c r="O9" s="1029" t="s">
        <v>937</v>
      </c>
      <c r="P9" s="1033"/>
    </row>
    <row r="10" spans="1:16">
      <c r="A10" s="1032" t="s">
        <v>115</v>
      </c>
      <c r="B10" s="1035"/>
      <c r="C10" s="1035"/>
      <c r="D10" s="1035"/>
      <c r="E10" s="1035"/>
      <c r="F10" s="1035"/>
      <c r="G10" s="1035"/>
      <c r="H10" s="1035"/>
      <c r="I10" s="1035"/>
      <c r="J10" s="1035"/>
      <c r="K10" s="1035"/>
      <c r="L10" s="1035"/>
      <c r="M10" s="1035"/>
      <c r="N10" s="1035"/>
      <c r="O10" s="1035"/>
      <c r="P10" s="1035"/>
    </row>
    <row r="11" spans="1:16">
      <c r="A11" s="1023"/>
      <c r="B11" s="1023"/>
      <c r="C11" s="1023"/>
      <c r="D11" s="1023"/>
      <c r="E11" s="1023"/>
      <c r="F11" s="1023"/>
      <c r="G11" s="1023"/>
      <c r="H11" s="1023"/>
      <c r="I11" s="1023"/>
      <c r="J11" s="1023"/>
      <c r="K11" s="1023"/>
      <c r="L11" s="1023"/>
      <c r="M11" s="1023"/>
      <c r="N11" s="1023"/>
      <c r="O11" s="1023"/>
      <c r="P11" s="1023"/>
    </row>
    <row r="12" spans="1:16" ht="150">
      <c r="A12" s="470" t="s">
        <v>926</v>
      </c>
      <c r="B12" s="774" t="s">
        <v>927</v>
      </c>
      <c r="C12" s="1036" t="s">
        <v>938</v>
      </c>
      <c r="D12" s="1023"/>
      <c r="E12" s="1023"/>
      <c r="F12" s="1023"/>
      <c r="G12" s="1023"/>
      <c r="H12" s="1023"/>
      <c r="I12" s="1023"/>
      <c r="J12" s="1023"/>
      <c r="K12" s="1023"/>
      <c r="L12" s="1023"/>
      <c r="M12" s="1023"/>
      <c r="N12" s="1023"/>
      <c r="O12" s="1023"/>
      <c r="P12" s="1023"/>
    </row>
    <row r="13" spans="1:16">
      <c r="A13" s="1023"/>
      <c r="B13" s="1023"/>
      <c r="C13" s="1023"/>
      <c r="D13" s="1023"/>
      <c r="E13" s="1023"/>
      <c r="F13" s="1023"/>
      <c r="G13" s="1023"/>
      <c r="H13" s="1023"/>
      <c r="I13" s="1023"/>
      <c r="J13" s="1023"/>
      <c r="K13" s="1023"/>
      <c r="L13" s="1023"/>
      <c r="M13" s="1023"/>
      <c r="N13" s="1023"/>
      <c r="O13" s="1023"/>
      <c r="P13" s="1023"/>
    </row>
    <row r="14" spans="1:16" ht="15.75">
      <c r="A14" s="1171" t="s">
        <v>252</v>
      </c>
      <c r="B14" s="1172" t="s">
        <v>354</v>
      </c>
      <c r="C14" s="1172"/>
      <c r="D14" s="1173" t="s">
        <v>355</v>
      </c>
      <c r="E14" s="1173"/>
      <c r="F14" s="1173"/>
      <c r="G14" s="1173"/>
      <c r="H14" s="1173"/>
      <c r="I14" s="1173"/>
      <c r="J14" s="1173"/>
      <c r="K14" s="1173"/>
      <c r="L14" s="1173"/>
      <c r="M14" s="1173"/>
      <c r="N14" s="1173"/>
      <c r="O14" s="1173"/>
      <c r="P14" s="1172" t="s">
        <v>928</v>
      </c>
    </row>
    <row r="15" spans="1:16">
      <c r="A15" s="1171"/>
      <c r="B15" s="1172"/>
      <c r="C15" s="1172"/>
      <c r="D15" s="1174" t="s">
        <v>196</v>
      </c>
      <c r="E15" s="1174"/>
      <c r="F15" s="1174"/>
      <c r="G15" s="1174"/>
      <c r="H15" s="1174"/>
      <c r="I15" s="1172" t="s">
        <v>920</v>
      </c>
      <c r="J15" s="1172" t="s">
        <v>233</v>
      </c>
      <c r="K15" s="1172" t="s">
        <v>921</v>
      </c>
      <c r="L15" s="1172" t="s">
        <v>907</v>
      </c>
      <c r="M15" s="1172" t="s">
        <v>244</v>
      </c>
      <c r="N15" s="1172" t="s">
        <v>929</v>
      </c>
      <c r="O15" s="1172" t="s">
        <v>126</v>
      </c>
      <c r="P15" s="1172"/>
    </row>
    <row r="16" spans="1:16" ht="30">
      <c r="A16" s="1171"/>
      <c r="B16" s="1016" t="s">
        <v>930</v>
      </c>
      <c r="C16" s="1016" t="s">
        <v>931</v>
      </c>
      <c r="D16" s="1016" t="s">
        <v>198</v>
      </c>
      <c r="E16" s="1016" t="s">
        <v>199</v>
      </c>
      <c r="F16" s="1016" t="s">
        <v>200</v>
      </c>
      <c r="G16" s="1016" t="s">
        <v>202</v>
      </c>
      <c r="H16" s="1016" t="s">
        <v>203</v>
      </c>
      <c r="I16" s="1172"/>
      <c r="J16" s="1172"/>
      <c r="K16" s="1172"/>
      <c r="L16" s="1172"/>
      <c r="M16" s="1172"/>
      <c r="N16" s="1172"/>
      <c r="O16" s="1175"/>
      <c r="P16" s="1172"/>
    </row>
    <row r="17" spans="1:16" ht="210">
      <c r="A17" s="1024" t="s">
        <v>251</v>
      </c>
      <c r="B17" s="1029" t="s">
        <v>937</v>
      </c>
      <c r="C17" s="1029" t="s">
        <v>937</v>
      </c>
      <c r="D17" s="1029" t="s">
        <v>937</v>
      </c>
      <c r="E17" s="1029" t="s">
        <v>937</v>
      </c>
      <c r="F17" s="1029" t="s">
        <v>937</v>
      </c>
      <c r="G17" s="1029" t="s">
        <v>937</v>
      </c>
      <c r="H17" s="1029" t="s">
        <v>937</v>
      </c>
      <c r="I17" s="1029" t="s">
        <v>937</v>
      </c>
      <c r="J17" s="1029" t="s">
        <v>937</v>
      </c>
      <c r="K17" s="1030" t="s">
        <v>876</v>
      </c>
      <c r="L17" s="1030" t="s">
        <v>876</v>
      </c>
      <c r="M17" s="1030" t="s">
        <v>876</v>
      </c>
      <c r="N17" s="1029" t="s">
        <v>937</v>
      </c>
      <c r="O17" s="1029" t="s">
        <v>937</v>
      </c>
      <c r="P17" s="1037"/>
    </row>
    <row r="18" spans="1:16" ht="45">
      <c r="A18" s="1026" t="s">
        <v>257</v>
      </c>
      <c r="B18" s="1031" t="s">
        <v>899</v>
      </c>
      <c r="C18" s="1031" t="s">
        <v>899</v>
      </c>
      <c r="D18" s="1031" t="s">
        <v>899</v>
      </c>
      <c r="E18" s="1031" t="s">
        <v>899</v>
      </c>
      <c r="F18" s="1031" t="s">
        <v>899</v>
      </c>
      <c r="G18" s="1031" t="s">
        <v>899</v>
      </c>
      <c r="H18" s="1031" t="s">
        <v>899</v>
      </c>
      <c r="I18" s="1031" t="s">
        <v>899</v>
      </c>
      <c r="J18" s="1031" t="s">
        <v>899</v>
      </c>
      <c r="K18" s="1031" t="s">
        <v>899</v>
      </c>
      <c r="L18" s="1031" t="s">
        <v>899</v>
      </c>
      <c r="M18" s="1031" t="s">
        <v>899</v>
      </c>
      <c r="N18" s="1031" t="s">
        <v>899</v>
      </c>
      <c r="O18" s="1031" t="s">
        <v>899</v>
      </c>
      <c r="P18" s="1031" t="s">
        <v>899</v>
      </c>
    </row>
    <row r="19" spans="1:16" ht="45">
      <c r="A19" s="1021" t="s">
        <v>932</v>
      </c>
      <c r="B19" s="1031" t="s">
        <v>899</v>
      </c>
      <c r="C19" s="1031" t="s">
        <v>899</v>
      </c>
      <c r="D19" s="1031" t="s">
        <v>899</v>
      </c>
      <c r="E19" s="1031" t="s">
        <v>899</v>
      </c>
      <c r="F19" s="1031" t="s">
        <v>899</v>
      </c>
      <c r="G19" s="1031" t="s">
        <v>899</v>
      </c>
      <c r="H19" s="1031" t="s">
        <v>899</v>
      </c>
      <c r="I19" s="1031" t="s">
        <v>899</v>
      </c>
      <c r="J19" s="1031" t="s">
        <v>899</v>
      </c>
      <c r="K19" s="1031" t="s">
        <v>899</v>
      </c>
      <c r="L19" s="1031" t="s">
        <v>899</v>
      </c>
      <c r="M19" s="1031" t="s">
        <v>899</v>
      </c>
      <c r="N19" s="1031" t="s">
        <v>899</v>
      </c>
      <c r="O19" s="1031" t="s">
        <v>899</v>
      </c>
      <c r="P19" s="1031" t="s">
        <v>899</v>
      </c>
    </row>
    <row r="20" spans="1:16">
      <c r="A20" s="1027" t="s">
        <v>115</v>
      </c>
      <c r="B20" s="1022"/>
      <c r="C20" s="1022"/>
      <c r="D20" s="1022"/>
      <c r="E20" s="1022"/>
      <c r="F20" s="1022"/>
      <c r="G20" s="1022"/>
      <c r="H20" s="1022"/>
      <c r="I20" s="1022"/>
      <c r="J20" s="1022"/>
      <c r="K20" s="1022"/>
      <c r="L20" s="1022"/>
      <c r="M20" s="1022"/>
      <c r="N20" s="1022"/>
      <c r="O20" s="1022"/>
      <c r="P20" s="1022"/>
    </row>
    <row r="22" spans="1:16" ht="90">
      <c r="A22" s="470" t="s">
        <v>933</v>
      </c>
      <c r="B22" s="774" t="s">
        <v>927</v>
      </c>
      <c r="C22" s="1036" t="s">
        <v>939</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topLeftCell="B1" workbookViewId="0">
      <selection activeCell="C26" sqref="C26"/>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384</v>
      </c>
      <c r="B2" s="110"/>
      <c r="C2" s="111"/>
    </row>
    <row r="3" spans="1:3" s="15" customFormat="1" ht="15.75">
      <c r="A3" s="98"/>
      <c r="B3" s="70"/>
      <c r="C3" s="99"/>
    </row>
    <row r="4" spans="1:3">
      <c r="A4" s="95" t="s">
        <v>363</v>
      </c>
      <c r="B4" s="69" t="s">
        <v>375</v>
      </c>
      <c r="C4" s="100" t="s">
        <v>374</v>
      </c>
    </row>
    <row r="5" spans="1:3">
      <c r="A5" s="112"/>
      <c r="B5" s="43"/>
      <c r="C5" s="96"/>
    </row>
    <row r="6" spans="1:3" ht="30">
      <c r="A6" s="113" t="s">
        <v>588</v>
      </c>
      <c r="B6" s="75" t="s">
        <v>589</v>
      </c>
      <c r="C6" s="440" t="s">
        <v>750</v>
      </c>
    </row>
    <row r="7" spans="1:3">
      <c r="A7" s="125"/>
      <c r="B7" s="129"/>
      <c r="C7" s="122"/>
    </row>
    <row r="8" spans="1:3">
      <c r="A8" s="113" t="s">
        <v>591</v>
      </c>
      <c r="B8" s="75" t="s">
        <v>590</v>
      </c>
      <c r="C8" s="440" t="s">
        <v>388</v>
      </c>
    </row>
    <row r="9" spans="1:3">
      <c r="A9" s="125"/>
      <c r="B9" s="129"/>
      <c r="C9" s="122"/>
    </row>
    <row r="10" spans="1:3">
      <c r="A10" s="113" t="s">
        <v>327</v>
      </c>
      <c r="B10" s="75" t="s">
        <v>386</v>
      </c>
      <c r="C10" s="114" t="s">
        <v>388</v>
      </c>
    </row>
    <row r="11" spans="1:3">
      <c r="A11" s="125"/>
      <c r="B11" s="129"/>
      <c r="C11" s="122"/>
    </row>
    <row r="12" spans="1:3" ht="30">
      <c r="A12" s="113" t="s">
        <v>414</v>
      </c>
      <c r="B12" s="75" t="s">
        <v>532</v>
      </c>
      <c r="C12" s="313" t="s">
        <v>625</v>
      </c>
    </row>
    <row r="13" spans="1:3">
      <c r="A13" s="141"/>
      <c r="B13" s="124"/>
      <c r="C13" s="301"/>
    </row>
    <row r="14" spans="1:3" s="11" customFormat="1">
      <c r="A14" s="113" t="s">
        <v>608</v>
      </c>
      <c r="B14" s="130" t="s">
        <v>609</v>
      </c>
      <c r="C14" s="131" t="s">
        <v>610</v>
      </c>
    </row>
    <row r="15" spans="1:3" s="11" customFormat="1">
      <c r="A15" s="141"/>
      <c r="B15" s="159"/>
      <c r="C15" s="160"/>
    </row>
    <row r="16" spans="1:3" ht="21">
      <c r="A16" s="126" t="s">
        <v>477</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7" sqref="B17"/>
    </sheetView>
  </sheetViews>
  <sheetFormatPr defaultColWidth="9.140625" defaultRowHeight="15" outlineLevelRow="1"/>
  <cols>
    <col min="1" max="1" width="51.7109375" style="455" customWidth="1"/>
    <col min="2" max="2" width="15" style="455" customWidth="1"/>
    <col min="3" max="3" width="25.140625" style="455" customWidth="1"/>
    <col min="4" max="4" width="15" style="455" customWidth="1"/>
    <col min="5" max="5" width="40.5703125" style="455" customWidth="1"/>
    <col min="6" max="6" width="14.85546875" style="455" customWidth="1"/>
    <col min="7" max="7" width="8.5703125" style="455" bestFit="1" customWidth="1"/>
    <col min="8" max="8" width="10.85546875" style="455" bestFit="1" customWidth="1"/>
    <col min="9" max="9" width="15.7109375" style="455" customWidth="1"/>
    <col min="10" max="10" width="15.42578125" style="455" customWidth="1"/>
    <col min="11" max="11" width="17.42578125" style="455" customWidth="1"/>
    <col min="12" max="12" width="14.5703125" style="455" customWidth="1"/>
    <col min="13" max="13" width="15.5703125" style="455" customWidth="1"/>
    <col min="14" max="14" width="17.85546875" style="455" customWidth="1"/>
    <col min="15" max="15" width="35.7109375" style="455" customWidth="1"/>
    <col min="16" max="16" width="43.5703125" style="455" customWidth="1"/>
    <col min="17" max="17" width="9.140625" style="455"/>
    <col min="18" max="18" width="20.42578125" style="455" customWidth="1"/>
    <col min="19" max="16384" width="9.140625" style="455"/>
  </cols>
  <sheetData>
    <row r="1" spans="1:16" ht="15.75" customHeight="1" outlineLevel="1" thickTop="1" thickBot="1">
      <c r="A1" s="1176" t="s">
        <v>387</v>
      </c>
      <c r="B1" s="1177" t="s">
        <v>194</v>
      </c>
      <c r="C1" s="1178"/>
      <c r="D1" s="1178"/>
      <c r="E1" s="1178"/>
      <c r="F1" s="1178"/>
      <c r="G1" s="1178"/>
      <c r="H1" s="1178"/>
      <c r="I1" s="1178"/>
      <c r="J1" s="1178"/>
      <c r="K1" s="1178"/>
      <c r="L1" s="1178"/>
      <c r="M1" s="1178"/>
      <c r="N1" s="1178"/>
      <c r="O1" s="1178"/>
      <c r="P1" s="1178"/>
    </row>
    <row r="2" spans="1:16" ht="15" customHeight="1" outlineLevel="1" thickTop="1">
      <c r="A2" s="1176"/>
      <c r="B2" s="1179" t="s">
        <v>20</v>
      </c>
      <c r="C2" s="1179" t="s">
        <v>195</v>
      </c>
      <c r="D2" s="1180" t="s">
        <v>196</v>
      </c>
      <c r="E2" s="1181"/>
      <c r="F2" s="1181"/>
      <c r="G2" s="1181"/>
      <c r="H2" s="1181"/>
      <c r="I2" s="1181"/>
      <c r="J2" s="1181"/>
      <c r="K2" s="1182"/>
      <c r="L2" s="1180" t="s">
        <v>197</v>
      </c>
      <c r="M2" s="1181"/>
      <c r="N2" s="1181"/>
      <c r="O2" s="1181"/>
      <c r="P2" s="1182"/>
    </row>
    <row r="3" spans="1:16" ht="56.25" customHeight="1" outlineLevel="1">
      <c r="A3" s="1176"/>
      <c r="B3" s="1159"/>
      <c r="C3" s="1159"/>
      <c r="D3" s="454" t="s">
        <v>198</v>
      </c>
      <c r="E3" s="454" t="s">
        <v>199</v>
      </c>
      <c r="F3" s="454" t="s">
        <v>200</v>
      </c>
      <c r="G3" s="454" t="s">
        <v>201</v>
      </c>
      <c r="H3" s="454" t="s">
        <v>119</v>
      </c>
      <c r="I3" s="454" t="s">
        <v>202</v>
      </c>
      <c r="J3" s="454" t="s">
        <v>203</v>
      </c>
      <c r="K3" s="454" t="s">
        <v>204</v>
      </c>
      <c r="L3" s="454" t="s">
        <v>205</v>
      </c>
      <c r="M3" s="454" t="s">
        <v>206</v>
      </c>
      <c r="N3" s="454" t="s">
        <v>207</v>
      </c>
      <c r="O3" s="454" t="s">
        <v>208</v>
      </c>
      <c r="P3" s="454" t="s">
        <v>209</v>
      </c>
    </row>
    <row r="4" spans="1:16" outlineLevel="1">
      <c r="A4" s="679" t="s">
        <v>620</v>
      </c>
      <c r="B4" s="472"/>
      <c r="C4" s="472"/>
      <c r="D4" s="472"/>
      <c r="E4" s="472"/>
      <c r="F4" s="472"/>
      <c r="G4" s="504"/>
      <c r="H4" s="504"/>
      <c r="I4" s="472"/>
      <c r="J4" s="472"/>
      <c r="K4" s="472"/>
      <c r="L4" s="472"/>
      <c r="M4" s="472"/>
      <c r="N4" s="472"/>
      <c r="O4" s="472"/>
      <c r="P4" s="472"/>
    </row>
    <row r="5" spans="1:16" outlineLevel="1">
      <c r="A5" s="679" t="s">
        <v>621</v>
      </c>
      <c r="B5" s="472"/>
      <c r="C5" s="472"/>
      <c r="D5" s="472"/>
      <c r="E5" s="472"/>
      <c r="F5" s="472"/>
      <c r="G5" s="504"/>
      <c r="H5" s="504"/>
      <c r="I5" s="472"/>
      <c r="J5" s="472"/>
      <c r="K5" s="472"/>
      <c r="L5" s="472"/>
      <c r="M5" s="472"/>
      <c r="N5" s="472"/>
      <c r="O5" s="472"/>
      <c r="P5" s="472"/>
    </row>
    <row r="6" spans="1:16" outlineLevel="1">
      <c r="A6" s="679" t="s">
        <v>622</v>
      </c>
      <c r="B6" s="472"/>
      <c r="C6" s="472"/>
      <c r="D6" s="472"/>
      <c r="E6" s="472"/>
      <c r="F6" s="472"/>
      <c r="G6" s="504"/>
      <c r="H6" s="504"/>
      <c r="I6" s="472"/>
      <c r="J6" s="472"/>
      <c r="K6" s="472"/>
      <c r="L6" s="472"/>
      <c r="M6" s="472"/>
      <c r="N6" s="472"/>
      <c r="O6" s="472"/>
      <c r="P6" s="472"/>
    </row>
    <row r="7" spans="1:16" outlineLevel="1">
      <c r="A7" s="474"/>
      <c r="B7" s="472"/>
      <c r="C7" s="472"/>
      <c r="D7" s="472"/>
      <c r="E7" s="472"/>
      <c r="F7" s="472"/>
      <c r="G7" s="504"/>
      <c r="H7" s="504"/>
      <c r="I7" s="472"/>
      <c r="J7" s="472"/>
      <c r="K7" s="472"/>
      <c r="L7" s="472"/>
      <c r="M7" s="472"/>
      <c r="N7" s="472"/>
      <c r="O7" s="472"/>
      <c r="P7" s="472"/>
    </row>
    <row r="8" spans="1:16" outlineLevel="1">
      <c r="A8" s="680" t="s">
        <v>623</v>
      </c>
      <c r="B8" s="472"/>
      <c r="C8" s="472"/>
      <c r="D8" s="472"/>
      <c r="E8" s="472"/>
      <c r="F8" s="472"/>
      <c r="G8" s="504"/>
      <c r="H8" s="504"/>
      <c r="I8" s="472"/>
      <c r="J8" s="472"/>
      <c r="K8" s="472"/>
      <c r="L8" s="472"/>
      <c r="M8" s="472"/>
      <c r="N8" s="472"/>
      <c r="O8" s="472"/>
      <c r="P8" s="472"/>
    </row>
    <row r="9" spans="1:16" outlineLevel="1">
      <c r="A9" s="474"/>
      <c r="B9" s="472"/>
      <c r="C9" s="472"/>
      <c r="D9" s="472"/>
      <c r="E9" s="472"/>
      <c r="F9" s="472"/>
      <c r="G9" s="504"/>
      <c r="H9" s="504"/>
      <c r="I9" s="472"/>
      <c r="J9" s="472"/>
      <c r="K9" s="472"/>
      <c r="L9" s="472"/>
      <c r="M9" s="472"/>
      <c r="N9" s="472"/>
      <c r="O9" s="472"/>
      <c r="P9" s="472"/>
    </row>
    <row r="10" spans="1:16" outlineLevel="1">
      <c r="A10" s="474" t="s">
        <v>624</v>
      </c>
      <c r="B10" s="472"/>
      <c r="C10" s="472"/>
      <c r="D10" s="472"/>
      <c r="E10" s="472"/>
      <c r="F10" s="472"/>
      <c r="G10" s="504"/>
      <c r="H10" s="504"/>
      <c r="I10" s="472"/>
      <c r="J10" s="472"/>
      <c r="K10" s="472"/>
      <c r="L10" s="472"/>
      <c r="M10" s="472"/>
      <c r="N10" s="472"/>
      <c r="O10" s="883" t="s">
        <v>643</v>
      </c>
      <c r="P10" s="883" t="s">
        <v>642</v>
      </c>
    </row>
    <row r="11" spans="1:16" outlineLevel="1">
      <c r="A11" s="474"/>
      <c r="B11" s="472"/>
      <c r="C11" s="472"/>
      <c r="D11" s="472"/>
      <c r="E11" s="472"/>
      <c r="F11" s="472"/>
      <c r="G11" s="504"/>
      <c r="H11" s="504"/>
      <c r="I11" s="472"/>
      <c r="J11" s="472"/>
      <c r="K11" s="472"/>
      <c r="L11" s="472"/>
      <c r="M11" s="472"/>
      <c r="N11" s="472"/>
      <c r="O11" s="472"/>
      <c r="P11" s="472"/>
    </row>
    <row r="12" spans="1:16" ht="15.75" outlineLevel="1" thickBot="1">
      <c r="B12" s="472"/>
      <c r="C12" s="472"/>
      <c r="D12" s="472"/>
      <c r="E12" s="472"/>
      <c r="F12" s="472"/>
      <c r="G12" s="504"/>
      <c r="H12" s="504"/>
      <c r="I12" s="472"/>
      <c r="J12" s="472"/>
      <c r="K12" s="472"/>
      <c r="L12" s="472"/>
      <c r="M12" s="472"/>
      <c r="N12" s="472"/>
      <c r="O12" s="472"/>
      <c r="P12" s="472"/>
    </row>
    <row r="13" spans="1:16" ht="25.5" customHeight="1" outlineLevel="1" thickBot="1">
      <c r="A13" s="475" t="s">
        <v>586</v>
      </c>
      <c r="B13" s="457"/>
      <c r="C13" s="476"/>
      <c r="D13" s="476"/>
      <c r="E13" s="476"/>
      <c r="F13" s="476"/>
      <c r="G13" s="476"/>
      <c r="H13" s="476"/>
      <c r="I13" s="476"/>
      <c r="J13" s="476"/>
      <c r="K13" s="476"/>
      <c r="L13" s="476"/>
      <c r="M13" s="476"/>
      <c r="N13" s="476"/>
      <c r="O13" s="775"/>
      <c r="P13" s="775"/>
    </row>
    <row r="14" spans="1:16" outlineLevel="1"/>
    <row r="15" spans="1:16" s="469" customFormat="1" outlineLevel="1">
      <c r="A15" s="477" t="s">
        <v>304</v>
      </c>
      <c r="B15" s="478">
        <f>SUM(B4:B12)</f>
        <v>0</v>
      </c>
      <c r="C15" s="478">
        <f t="shared" ref="C15:P15" si="0">SUM(C4:C13)</f>
        <v>0</v>
      </c>
      <c r="D15" s="478">
        <f t="shared" si="0"/>
        <v>0</v>
      </c>
      <c r="E15" s="478">
        <f t="shared" si="0"/>
        <v>0</v>
      </c>
      <c r="F15" s="478">
        <f t="shared" si="0"/>
        <v>0</v>
      </c>
      <c r="G15" s="478"/>
      <c r="H15" s="478"/>
      <c r="I15" s="478">
        <f t="shared" si="0"/>
        <v>0</v>
      </c>
      <c r="J15" s="478">
        <f t="shared" si="0"/>
        <v>0</v>
      </c>
      <c r="K15" s="478">
        <f t="shared" si="0"/>
        <v>0</v>
      </c>
      <c r="L15" s="478">
        <f t="shared" si="0"/>
        <v>0</v>
      </c>
      <c r="M15" s="478">
        <f t="shared" si="0"/>
        <v>0</v>
      </c>
      <c r="N15" s="478">
        <f t="shared" si="0"/>
        <v>0</v>
      </c>
      <c r="O15" s="478">
        <f>SUM(O4:O13)</f>
        <v>0</v>
      </c>
      <c r="P15" s="478">
        <f t="shared" si="0"/>
        <v>0</v>
      </c>
    </row>
    <row r="16" spans="1:16" outlineLevel="1">
      <c r="B16" s="481"/>
      <c r="C16" s="481"/>
      <c r="D16" s="481"/>
      <c r="E16" s="481"/>
      <c r="F16" s="481"/>
      <c r="G16" s="481"/>
      <c r="H16" s="481"/>
      <c r="I16" s="481"/>
      <c r="J16" s="481"/>
      <c r="K16" s="481"/>
      <c r="L16" s="481"/>
      <c r="M16" s="481"/>
      <c r="N16" s="481"/>
      <c r="O16" s="481"/>
      <c r="P16" s="481"/>
    </row>
    <row r="17" spans="1:16" outlineLevel="1">
      <c r="A17" s="482" t="s">
        <v>613</v>
      </c>
      <c r="B17" s="506">
        <f ca="1">'EF ele_warmte'!B12</f>
        <v>0.21943332184370506</v>
      </c>
      <c r="C17" s="506">
        <f ca="1">'EF ele_warmte'!B22</f>
        <v>0</v>
      </c>
      <c r="D17" s="506">
        <f>EF_CO2_aardgas</f>
        <v>0.20200000000000001</v>
      </c>
      <c r="E17" s="506">
        <f>EF_VLgas_CO2</f>
        <v>0.22700000000000001</v>
      </c>
      <c r="F17" s="506">
        <f>EF_stookolie_CO2</f>
        <v>0.26700000000000002</v>
      </c>
      <c r="G17" s="506"/>
      <c r="H17" s="506"/>
      <c r="I17" s="506">
        <f>EF_bruinkool_CO2</f>
        <v>0.35099999999999998</v>
      </c>
      <c r="J17" s="506">
        <f>EF_steenkool_CO2</f>
        <v>0.35399999999999998</v>
      </c>
      <c r="K17" s="506">
        <f>EF_anderfossiel_CO2</f>
        <v>0.26400000000000001</v>
      </c>
      <c r="L17" s="506">
        <f>'EF brandstof'!J4</f>
        <v>0</v>
      </c>
      <c r="M17" s="506">
        <f>'EF brandstof'!K4</f>
        <v>0</v>
      </c>
      <c r="N17" s="506">
        <f>'EF brandstof'!L4</f>
        <v>0</v>
      </c>
      <c r="O17" s="506">
        <v>0</v>
      </c>
      <c r="P17" s="506">
        <v>0</v>
      </c>
    </row>
    <row r="18" spans="1:16" outlineLevel="1">
      <c r="B18" s="481"/>
      <c r="C18" s="481"/>
      <c r="D18" s="481"/>
      <c r="E18" s="481"/>
      <c r="F18" s="481"/>
      <c r="G18" s="481"/>
      <c r="H18" s="481"/>
      <c r="I18" s="481"/>
      <c r="J18" s="481"/>
      <c r="K18" s="481"/>
      <c r="L18" s="481"/>
      <c r="M18" s="481"/>
      <c r="N18" s="481"/>
      <c r="O18" s="481"/>
      <c r="P18" s="481"/>
    </row>
    <row r="19" spans="1:16" outlineLevel="1">
      <c r="A19" s="477" t="s">
        <v>212</v>
      </c>
      <c r="B19" s="483">
        <f ca="1">B15*B17</f>
        <v>0</v>
      </c>
      <c r="C19" s="483">
        <f ca="1">C15*C17</f>
        <v>0</v>
      </c>
      <c r="D19" s="483">
        <f>D15*D17</f>
        <v>0</v>
      </c>
      <c r="E19" s="483">
        <f>E15*E17</f>
        <v>0</v>
      </c>
      <c r="F19" s="483">
        <f>F15*F17</f>
        <v>0</v>
      </c>
      <c r="G19" s="483"/>
      <c r="H19" s="483"/>
      <c r="I19" s="483">
        <f t="shared" ref="I19:P19" si="1">I15*I17</f>
        <v>0</v>
      </c>
      <c r="J19" s="483">
        <f t="shared" si="1"/>
        <v>0</v>
      </c>
      <c r="K19" s="483">
        <f t="shared" si="1"/>
        <v>0</v>
      </c>
      <c r="L19" s="483">
        <f t="shared" si="1"/>
        <v>0</v>
      </c>
      <c r="M19" s="483">
        <f t="shared" si="1"/>
        <v>0</v>
      </c>
      <c r="N19" s="483">
        <f t="shared" si="1"/>
        <v>0</v>
      </c>
      <c r="O19" s="483">
        <f>O15*O17</f>
        <v>0</v>
      </c>
      <c r="P19" s="483">
        <f t="shared" si="1"/>
        <v>0</v>
      </c>
    </row>
    <row r="22" spans="1:16" s="457" customFormat="1" ht="15" customHeight="1" outlineLevel="1">
      <c r="A22" s="484" t="s">
        <v>490</v>
      </c>
      <c r="B22" s="485"/>
      <c r="C22" s="486"/>
      <c r="D22" s="487"/>
      <c r="E22" s="488"/>
    </row>
    <row r="23" spans="1:16" s="48" customFormat="1" ht="15" customHeight="1" outlineLevel="1">
      <c r="A23" s="489"/>
      <c r="B23" s="490"/>
      <c r="C23" s="491" t="s">
        <v>378</v>
      </c>
      <c r="D23" s="491" t="s">
        <v>181</v>
      </c>
      <c r="E23" s="492"/>
    </row>
    <row r="24" spans="1:16" s="457" customFormat="1" ht="15" customHeight="1" outlineLevel="1">
      <c r="A24" s="493" t="s">
        <v>265</v>
      </c>
      <c r="B24" s="47">
        <f>EigenZB</f>
        <v>0</v>
      </c>
      <c r="C24" s="494"/>
      <c r="D24" s="882" t="s">
        <v>410</v>
      </c>
      <c r="E24" s="458"/>
    </row>
    <row r="25" spans="1:16" s="457" customFormat="1" outlineLevel="1">
      <c r="A25" s="493" t="s">
        <v>457</v>
      </c>
      <c r="B25" s="48">
        <v>4.2</v>
      </c>
      <c r="C25" s="494"/>
      <c r="D25" s="495" t="s">
        <v>518</v>
      </c>
      <c r="E25" s="471"/>
    </row>
    <row r="26" spans="1:16" s="457" customFormat="1" outlineLevel="1">
      <c r="A26" s="780" t="s">
        <v>458</v>
      </c>
      <c r="B26" s="781">
        <f>1.34/3.6</f>
        <v>0.37222222222222223</v>
      </c>
      <c r="C26" s="494" t="s">
        <v>217</v>
      </c>
      <c r="D26" s="495" t="s">
        <v>518</v>
      </c>
      <c r="E26" s="471"/>
    </row>
    <row r="27" spans="1:16" s="457" customFormat="1" outlineLevel="1">
      <c r="A27" s="496" t="s">
        <v>632</v>
      </c>
      <c r="B27" s="783">
        <f>B24*B25*B26</f>
        <v>0</v>
      </c>
      <c r="C27" s="497" t="s">
        <v>633</v>
      </c>
      <c r="D27" s="498"/>
      <c r="E27" s="499"/>
    </row>
    <row r="28" spans="1:16" s="457" customFormat="1" outlineLevel="1">
      <c r="A28" s="48"/>
      <c r="B28" s="48"/>
      <c r="C28" s="500"/>
      <c r="D28" s="494"/>
    </row>
    <row r="29" spans="1:16" s="457" customFormat="1" outlineLevel="1">
      <c r="A29" s="501" t="s">
        <v>491</v>
      </c>
      <c r="B29" s="485"/>
      <c r="C29" s="486"/>
      <c r="D29" s="487"/>
      <c r="E29" s="488"/>
    </row>
    <row r="30" spans="1:16" s="48" customFormat="1" outlineLevel="1">
      <c r="A30" s="502"/>
      <c r="B30" s="490"/>
      <c r="C30" s="491" t="s">
        <v>378</v>
      </c>
      <c r="D30" s="491" t="s">
        <v>181</v>
      </c>
      <c r="E30" s="492"/>
    </row>
    <row r="31" spans="1:16" s="457" customFormat="1" outlineLevel="1">
      <c r="A31" s="493" t="s">
        <v>456</v>
      </c>
      <c r="B31" s="47">
        <f>EigenWP</f>
        <v>0</v>
      </c>
      <c r="C31" s="494"/>
      <c r="D31" s="882" t="s">
        <v>410</v>
      </c>
      <c r="E31" s="458"/>
    </row>
    <row r="32" spans="1:16" s="457" customFormat="1" outlineLevel="1">
      <c r="A32" s="493" t="s">
        <v>454</v>
      </c>
      <c r="B32" s="48">
        <v>13</v>
      </c>
      <c r="C32" s="500" t="s">
        <v>262</v>
      </c>
      <c r="D32" s="495" t="s">
        <v>518</v>
      </c>
      <c r="E32" s="458"/>
    </row>
    <row r="33" spans="1:5" s="457" customFormat="1" outlineLevel="1">
      <c r="A33" s="493" t="s">
        <v>455</v>
      </c>
      <c r="B33" s="48">
        <v>2000</v>
      </c>
      <c r="C33" s="500" t="s">
        <v>264</v>
      </c>
      <c r="D33" s="495" t="s">
        <v>518</v>
      </c>
      <c r="E33" s="458"/>
    </row>
    <row r="34" spans="1:5" s="457" customFormat="1" outlineLevel="1">
      <c r="A34" s="780" t="s">
        <v>383</v>
      </c>
      <c r="B34" s="48">
        <v>3.75</v>
      </c>
      <c r="C34" s="500"/>
      <c r="D34" s="495" t="s">
        <v>518</v>
      </c>
      <c r="E34" s="458"/>
    </row>
    <row r="35" spans="1:5" s="457" customFormat="1" outlineLevel="1">
      <c r="A35" s="496" t="s">
        <v>632</v>
      </c>
      <c r="B35" s="782">
        <f>B31*B32*B33/1000-B31*B32*B33/1000/B34</f>
        <v>0</v>
      </c>
      <c r="C35" s="503" t="s">
        <v>633</v>
      </c>
      <c r="D35" s="498"/>
      <c r="E35" s="46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212</vt:i4>
      </vt:variant>
    </vt:vector>
  </HeadingPairs>
  <TitlesOfParts>
    <vt:vector size="244" baseType="lpstr">
      <vt:lpstr>LEGENDE</vt:lpstr>
      <vt:lpstr>OUTPUT--&gt;</vt:lpstr>
      <vt:lpstr>SEAP template</vt:lpstr>
      <vt:lpstr>Nulmeting 2011</vt:lpstr>
      <vt:lpstr>betrouwbaarheid inventaris</vt:lpstr>
      <vt:lpstr>Lokale energieproductie 2011</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2020-06-20T16:40:00Z</dcterms:modified>
</cp:coreProperties>
</file>