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D20" i="18" s="1"/>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D15" i="16"/>
  <c r="D14" i="16"/>
  <c r="D13" i="16"/>
  <c r="D12" i="16"/>
  <c r="D11" i="16"/>
  <c r="B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O4" i="48" l="1"/>
  <c r="O22" i="48" s="1"/>
  <c r="P11" i="14"/>
  <c r="C24" i="14"/>
  <c r="C26" i="14" s="1"/>
  <c r="B7" i="48"/>
  <c r="B4" i="48"/>
  <c r="C11" i="14"/>
  <c r="C18" i="16"/>
  <c r="C8" i="48" s="1"/>
  <c r="J15" i="16"/>
  <c r="D4" i="48"/>
  <c r="D22" i="48" s="1"/>
  <c r="E11" i="14"/>
  <c r="B8" i="9"/>
  <c r="B6" i="48" s="1"/>
  <c r="Q6" i="48" s="1"/>
  <c r="Q11" i="14"/>
  <c r="P4" i="48"/>
  <c r="P22" i="48" s="1"/>
  <c r="Q10" i="14"/>
  <c r="P5" i="48"/>
  <c r="C19" i="14"/>
  <c r="B10" i="48"/>
  <c r="H12" i="22"/>
  <c r="I18" i="14"/>
  <c r="H13" i="48"/>
  <c r="H31" i="48" s="1"/>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D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46" i="14"/>
  <c r="P61" i="14" s="1"/>
  <c r="C15" i="48"/>
  <c r="P16" i="14"/>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P63" i="14"/>
  <c r="H22" i="14"/>
  <c r="H27" i="14" s="1"/>
  <c r="E22" i="48"/>
  <c r="Q4" i="48"/>
  <c r="H52" i="14"/>
  <c r="H61" i="14" s="1"/>
  <c r="H63" i="14" s="1"/>
  <c r="G28" i="48"/>
  <c r="Q10" i="48"/>
  <c r="M18" i="22"/>
  <c r="N50" i="14" s="1"/>
  <c r="N52" i="14" s="1"/>
  <c r="N61" i="14" s="1"/>
  <c r="M9" i="48"/>
  <c r="Q9" i="48" s="1"/>
  <c r="N20" i="14"/>
  <c r="N22" i="14" s="1"/>
  <c r="N27" i="14" s="1"/>
  <c r="C22" i="14"/>
  <c r="G27" i="48"/>
  <c r="G33" i="48" s="1"/>
  <c r="G15" i="48"/>
  <c r="B15" i="48"/>
  <c r="D15" i="48"/>
  <c r="J5" i="48"/>
  <c r="K10" i="14"/>
  <c r="E20" i="15"/>
  <c r="F40" i="14" s="1"/>
  <c r="E5" i="48"/>
  <c r="F10" i="14"/>
  <c r="L15" i="48"/>
  <c r="Q7" i="48"/>
  <c r="R24" i="14"/>
  <c r="R26" i="14" s="1"/>
  <c r="J18" i="16"/>
  <c r="N18" i="16"/>
  <c r="E18" i="16"/>
  <c r="F18" i="16"/>
  <c r="F22" i="16" s="1"/>
  <c r="G43" i="14" s="1"/>
  <c r="N63" i="14" l="1"/>
  <c r="M27" i="48"/>
  <c r="M33" i="48" s="1"/>
  <c r="M15" i="48"/>
  <c r="R20" i="14"/>
  <c r="R22" i="14" s="1"/>
  <c r="E22" i="16"/>
  <c r="F43" i="14" s="1"/>
  <c r="E8" i="48"/>
  <c r="E26" i="48" s="1"/>
  <c r="F13" i="14"/>
  <c r="F16" i="14" s="1"/>
  <c r="F27" i="14" s="1"/>
  <c r="F46" i="14"/>
  <c r="F61"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<sst xmlns="http://schemas.openxmlformats.org/spreadsheetml/2006/main" count="2513" uniqueCount="971">
  <si>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</si>
  <si>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</si>
  <si>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</si>
  <si>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</si>
  <si>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</si>
  <si>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</si>
  <si>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</si>
  <si>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</si>
  <si>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</si>
  <si>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</si>
  <si>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</si>
  <si>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</si>
  <si>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</si>
  <si>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</si>
  <si>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</si>
  <si>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</si>
  <si>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</si>
  <si>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</si>
  <si>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</si>
  <si>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</si>
  <si>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</si>
  <si>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</si>
  <si>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</si>
  <si>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</si>
  <si>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</si>
  <si>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</si>
  <si>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</si>
  <si>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</si>
  <si>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</si>
  <si>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</si>
  <si>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</si>
  <si>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</si>
  <si>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</si>
  <si>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</si>
  <si>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</si>
  <si>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</si>
  <si>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</si>
  <si>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</si>
  <si>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</si>
  <si>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</si>
  <si>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</si>
  <si>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</si>
  <si>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</si>
  <si>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</si>
  <si>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</si>
  <si>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</si>
  <si>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</si>
  <si>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</si>
  <si>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</si>
  <si>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</si>
  <si>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</si>
  <si>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</si>
  <si>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</si>
  <si>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</si>
  <si>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</si>
  <si>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</si>
  <si>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</si>
  <si>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</si>
  <si>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</si>
  <si>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</si>
  <si>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</si>
  <si>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</si>
  <si>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</si>
  <si>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</si>
  <si>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</si>
  <si>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</si>
  <si>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</si>
  <si>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</si>
  <si>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</si>
  <si>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</si>
  <si>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</si>
  <si>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</si>
  <si>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</si>
  <si>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</si>
  <si>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</si>
  <si>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</si>
  <si>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</si>
  <si>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</si>
  <si>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</si>
  <si>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</si>
  <si>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</si>
  <si>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</si>
  <si>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</si>
  <si>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</si>
  <si>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</si>
  <si>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</si>
  <si>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</si>
  <si>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</si>
  <si>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</si>
  <si>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</si>
  <si>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</si>
  <si>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</si>
  <si>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</si>
  <si>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</si>
  <si>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</si>
  <si>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</si>
  <si>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</si>
  <si>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</si>
  <si>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</si>
  <si>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</si>
  <si>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</si>
  <si>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</si>
  <si>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</si>
  <si>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</si>
  <si>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</si>
  <si>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</si>
  <si>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</si>
  <si>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</si>
  <si>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</si>
  <si>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</si>
  <si>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</si>
  <si>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</si>
  <si>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</si>
  <si>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</si>
  <si>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</si>
  <si>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</si>
  <si>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</si>
  <si>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</si>
  <si>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</si>
  <si>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</si>
  <si>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</si>
  <si>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</si>
  <si>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</si>
  <si>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</si>
  <si>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</si>
  <si>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</si>
  <si>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</si>
  <si>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</si>
  <si>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</si>
  <si>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</si>
  <si>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</si>
  <si>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</si>
  <si>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</si>
  <si>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</si>
  <si>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</si>
  <si>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</si>
  <si>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</si>
  <si>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</si>
  <si>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</si>
  <si>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</si>
  <si>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</si>
  <si>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</si>
  <si>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</si>
  <si>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</si>
  <si>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</si>
  <si>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</si>
  <si>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</si>
  <si>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</si>
  <si>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</si>
  <si>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</si>
  <si>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</si>
  <si>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</si>
  <si>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</si>
  <si>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</si>
  <si>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</si>
  <si>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</si>
  <si>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</si>
  <si>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</si>
  <si>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</si>
  <si>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</si>
  <si>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</si>
  <si>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</si>
  <si>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</si>
  <si>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</si>
  <si>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</si>
  <si>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</si>
  <si>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</si>
  <si>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</si>
  <si>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</si>
  <si>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</si>
  <si>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</si>
  <si>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</si>
  <si>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</si>
  <si>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</si>
  <si>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</si>
  <si>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</si>
  <si>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</si>
  <si>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</si>
  <si>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</si>
  <si>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</si>
  <si>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</si>
  <si>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</si>
  <si>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</si>
  <si>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</si>
  <si>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</si>
  <si>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</si>
  <si>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</si>
  <si>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</si>
  <si>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</si>
  <si>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</si>
  <si>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</si>
  <si>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</si>
  <si>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</si>
  <si>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</si>
  <si>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</si>
  <si>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</si>
  <si>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</si>
  <si>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</si>
  <si>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</si>
  <si>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</si>
  <si>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</si>
  <si>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</si>
  <si>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</si>
  <si>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</si>
  <si>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</si>
  <si>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</si>
  <si>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</si>
  <si>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</si>
  <si>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</si>
  <si>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</si>
  <si>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</si>
  <si>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</si>
  <si>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</si>
  <si>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</si>
  <si>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</si>
  <si>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</si>
  <si>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</si>
  <si>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</si>
  <si>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</si>
  <si>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</si>
  <si>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</si>
  <si>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</si>
  <si>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</si>
  <si>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</si>
  <si>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</si>
  <si>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</si>
  <si>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</si>
  <si>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</si>
  <si>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</si>
  <si>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</si>
  <si>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</si>
  <si>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</si>
  <si>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</si>
  <si>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</si>
  <si>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</si>
  <si>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</si>
  <si>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</si>
  <si>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</si>
  <si>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</si>
  <si>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</si>
  <si>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</si>
  <si>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</si>
  <si>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</si>
  <si>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</si>
  <si>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</si>
  <si>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</si>
  <si>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</si>
  <si>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</si>
  <si>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</si>
  <si>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</si>
  <si>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</si>
  <si>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</si>
  <si>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</si>
  <si>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</si>
  <si>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</si>
  <si>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</si>
  <si>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</si>
  <si>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</si>
  <si>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</si>
  <si>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</si>
  <si>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</si>
  <si>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</si>
  <si>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</si>
  <si>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</si>
  <si>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</si>
  <si>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</si>
  <si>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</si>
  <si>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</si>
  <si>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</si>
  <si>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</si>
  <si>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</si>
  <si>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</si>
  <si>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</si>
  <si>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</si>
  <si>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</si>
  <si>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</si>
  <si>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</si>
  <si>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</si>
  <si>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</si>
  <si>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</si>
  <si>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</si>
  <si>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</si>
  <si>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</si>
  <si>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</si>
  <si>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</si>
  <si>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</si>
  <si>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</si>
  <si>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</si>
  <si>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</si>
  <si>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</si>
  <si>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</si>
  <si>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</si>
  <si>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</si>
  <si>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</si>
  <si>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</si>
  <si>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</si>
  <si>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</si>
  <si>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</si>
  <si>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</si>
  <si>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</si>
  <si>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</si>
  <si>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</si>
  <si>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</si>
  <si>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</si>
  <si>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</si>
  <si>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</si>
  <si>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</si>
  <si>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</si>
  <si>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</si>
  <si>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</si>
  <si>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</si>
  <si>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</si>
  <si>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</si>
  <si>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</si>
  <si>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</si>
  <si>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</si>
  <si>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</si>
  <si>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</si>
  <si>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</si>
  <si>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</si>
  <si>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</si>
  <si>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</si>
  <si>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</si>
  <si>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</si>
  <si>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</si>
  <si>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</si>
  <si>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</si>
  <si>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</si>
  <si>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</si>
  <si>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</si>
  <si>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</si>
  <si>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</si>
  <si>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</si>
  <si>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</si>
  <si>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</si>
  <si>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</si>
  <si>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</si>
  <si>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</si>
  <si>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</si>
  <si>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</si>
  <si>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</si>
  <si>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</si>
  <si>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</si>
  <si>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</si>
  <si>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</si>
  <si>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</si>
  <si>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</si>
  <si>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</si>
  <si>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</si>
  <si>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</si>
  <si>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</si>
  <si>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</si>
  <si>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</si>
  <si>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</si>
  <si>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</si>
  <si>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</si>
  <si>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</si>
  <si>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</si>
  <si>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</si>
  <si>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</si>
  <si>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</si>
  <si>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</si>
  <si>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</si>
  <si>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</si>
  <si>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</si>
  <si>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</si>
  <si>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</si>
  <si>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</si>
  <si>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</si>
  <si>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</si>
  <si>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</si>
  <si>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</si>
  <si>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</si>
  <si>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</si>
  <si>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</si>
  <si>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</si>
  <si>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</si>
  <si>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</si>
  <si>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</si>
  <si>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</si>
  <si>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</si>
  <si>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</si>
  <si>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</si>
  <si>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</si>
  <si>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</si>
  <si>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</si>
  <si>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</si>
  <si>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</si>
  <si>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</si>
  <si>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</si>
  <si>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</si>
  <si>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</si>
  <si>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</si>
  <si>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</si>
  <si>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</si>
  <si>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</si>
  <si>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</si>
  <si>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</si>
  <si>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</si>
  <si>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</si>
  <si>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</si>
  <si>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</si>
  <si>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</si>
  <si>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</si>
  <si>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</si>
  <si>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</si>
  <si>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</si>
  <si>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</si>
  <si>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</si>
  <si>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</si>
  <si>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</si>
  <si>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</si>
  <si>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</si>
  <si>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</si>
  <si>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</si>
  <si>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</si>
  <si>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</si>
  <si>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</si>
  <si>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</si>
  <si>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</si>
  <si>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</si>
  <si>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</si>
  <si>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</si>
  <si>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</si>
  <si>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</si>
  <si>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</si>
  <si>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</si>
  <si>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</si>
  <si>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</si>
  <si>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</si>
  <si>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</si>
  <si>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</si>
  <si>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</si>
  <si>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</si>
  <si>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</si>
  <si>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</si>
  <si>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</si>
  <si>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</si>
  <si>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</si>
  <si>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</si>
  <si>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</si>
  <si>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</si>
  <si>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</si>
  <si>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</si>
  <si>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</si>
  <si>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</si>
  <si>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</si>
  <si>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</si>
  <si>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</si>
  <si>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</si>
  <si>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</si>
  <si>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</si>
  <si>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</si>
  <si>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</si>
  <si>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</si>
  <si>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</si>
  <si>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</si>
  <si>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</si>
  <si>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</si>
  <si>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</si>
  <si>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</si>
  <si>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</si>
  <si>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</si>
  <si>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</si>
  <si>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</si>
  <si>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</si>
  <si>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</si>
  <si>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</si>
  <si>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</si>
  <si>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</si>
  <si>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</si>
  <si>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</si>
  <si>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</si>
  <si>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</si>
  <si>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</si>
  <si>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</si>
  <si>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</si>
  <si>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</si>
  <si>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</si>
  <si>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</si>
  <si>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</si>
  <si>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</si>
  <si>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</si>
  <si>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</si>
  <si>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</si>
  <si>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</si>
  <si>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</si>
  <si>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</si>
  <si>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</si>
  <si>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</si>
  <si>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</si>
  <si>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</si>
  <si>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</si>
  <si>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</si>
  <si>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</si>
  <si>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</si>
  <si>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</si>
  <si>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</si>
  <si>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</si>
  <si>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</si>
  <si>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</si>
  <si>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</si>
  <si>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</si>
  <si>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</si>
  <si>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</si>
  <si>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</si>
  <si>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</si>
  <si>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</si>
  <si>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</si>
  <si>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</si>
  <si>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</si>
  <si>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</si>
  <si>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</si>
  <si>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</si>
  <si>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</si>
  <si>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</si>
  <si>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</si>
  <si>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</si>
  <si>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</si>
  <si>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</si>
  <si>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</si>
  <si>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</si>
  <si>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</si>
  <si>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</si>
  <si>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</si>
  <si>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</si>
  <si>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</si>
  <si>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</si>
  <si>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</si>
  <si>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</si>
  <si>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</si>
  <si>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</si>
  <si>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</si>
  <si>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</si>
  <si>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</si>
  <si>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</si>
  <si>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</si>
  <si>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</si>
  <si>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</si>
  <si>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</si>
  <si>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</si>
  <si>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</si>
  <si>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</si>
  <si>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</si>
  <si>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</si>
  <si>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</si>
  <si>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</si>
  <si>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</si>
  <si>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</si>
  <si>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</si>
  <si>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</si>
  <si>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</si>
  <si>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</si>
  <si>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</si>
  <si>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</si>
  <si>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</si>
  <si>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</si>
  <si>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</si>
  <si>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</si>
  <si>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</si>
  <si>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</si>
  <si>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</si>
  <si>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</si>
  <si>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</si>
  <si>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</si>
  <si>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</si>
  <si>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</si>
  <si>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</si>
  <si>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</si>
  <si>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</si>
  <si>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</si>
  <si>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</si>
  <si>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</si>
  <si>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</si>
  <si>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</si>
  <si>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</si>
  <si>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</si>
  <si>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</si>
  <si>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</si>
  <si>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</si>
  <si>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</si>
  <si>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</si>
  <si>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</si>
  <si>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</si>
  <si>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</si>
  <si>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</si>
  <si>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</si>
  <si>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</si>
  <si>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</si>
  <si>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</si>
  <si>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</si>
  <si>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</si>
  <si>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</si>
  <si>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</si>
  <si>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</si>
  <si>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</si>
  <si>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</si>
  <si>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</si>
  <si>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</si>
  <si>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</si>
  <si>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</si>
  <si>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</si>
  <si>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</si>
  <si>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</si>
  <si>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</si>
  <si>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</si>
  <si>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</si>
  <si>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</si>
  <si>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</si>
  <si>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</si>
  <si>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</si>
  <si>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</si>
  <si>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</si>
  <si>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</si>
  <si>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</si>
  <si>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</si>
  <si>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</si>
  <si>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</si>
  <si>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</si>
  <si>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</si>
  <si>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</si>
  <si>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</si>
  <si>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</si>
  <si>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</si>
  <si>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</si>
  <si>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</si>
  <si>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</si>
  <si>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</si>
  <si>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</si>
  <si>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</si>
  <si>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</si>
  <si>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</si>
  <si>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</si>
  <si>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</si>
  <si>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</si>
  <si>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</si>
  <si>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</si>
  <si>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</si>
  <si>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</si>
  <si>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</si>
  <si>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</si>
  <si>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</si>
  <si>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</si>
  <si>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</si>
  <si>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</si>
  <si>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</si>
  <si>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</si>
  <si>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</si>
  <si>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</si>
  <si>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</si>
  <si>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</si>
  <si>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</si>
  <si>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</si>
  <si>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</si>
  <si>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</si>
  <si>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</si>
  <si>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</si>
  <si>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</si>
  <si>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</si>
  <si>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</si>
  <si>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</si>
  <si>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</si>
  <si>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</si>
  <si>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</si>
  <si>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</si>
  <si>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</si>
  <si>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</si>
  <si>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</si>
  <si>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</si>
  <si>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</si>
  <si>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</si>
  <si>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</si>
  <si>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</si>
  <si>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</si>
  <si>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</si>
  <si>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</si>
  <si>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</si>
  <si>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</si>
  <si>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</si>
  <si>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</si>
  <si>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</si>
  <si>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</si>
  <si>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</si>
  <si>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</si>
  <si>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</si>
  <si>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</si>
  <si>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</si>
  <si>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</si>
  <si>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</si>
  <si>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</si>
  <si>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</si>
  <si>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</si>
  <si>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</si>
  <si>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</si>
  <si>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</si>
  <si>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</si>
  <si>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</si>
  <si>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</si>
  <si>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</si>
  <si>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</si>
  <si>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</si>
  <si>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</si>
  <si>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</si>
  <si>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</si>
  <si>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</si>
  <si>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</si>
  <si>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</si>
  <si>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</si>
  <si>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</si>
  <si>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</si>
  <si>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</si>
  <si>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</si>
  <si>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</si>
  <si>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</si>
  <si>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</si>
  <si>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</si>
  <si>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</si>
  <si>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</si>
  <si>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</si>
  <si>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</si>
  <si>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</si>
  <si>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</si>
  <si>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</si>
  <si>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</si>
  <si>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</si>
  <si>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</si>
  <si>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</si>
  <si>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</si>
  <si>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</si>
  <si>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</si>
  <si>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</si>
  <si>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</si>
  <si>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</si>
  <si>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</si>
  <si>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</si>
  <si>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</si>
  <si>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</si>
  <si>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</si>
  <si>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</si>
  <si>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</si>
  <si>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</si>
  <si>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</si>
  <si>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</si>
  <si>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</si>
  <si>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</si>
  <si>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</si>
  <si>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</si>
  <si>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</si>
  <si>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</si>
  <si>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</si>
  <si>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</si>
  <si>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</si>
  <si>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</si>
  <si>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</si>
  <si>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</si>
  <si>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</si>
  <si>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</si>
  <si>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</si>
  <si>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</si>
  <si>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</si>
  <si>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</si>
  <si>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</si>
  <si>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</si>
  <si>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</si>
  <si>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</si>
  <si>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</si>
  <si>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</si>
  <si>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</si>
  <si>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</si>
  <si>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</si>
  <si>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</si>
  <si>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</si>
  <si>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</si>
  <si>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</si>
  <si>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</si>
  <si>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</si>
  <si>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</si>
  <si>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</si>
  <si>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</si>
  <si>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</si>
  <si>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</si>
  <si>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</si>
  <si>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</si>
  <si>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</si>
  <si>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</si>
  <si>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</si>
  <si>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</si>
  <si>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</si>
  <si>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</si>
  <si>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</si>
  <si>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</si>
  <si>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</si>
  <si>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</si>
  <si>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</si>
  <si>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</si>
  <si>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</si>
  <si>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</si>
  <si>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</si>
  <si>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</si>
  <si>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</si>
  <si>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</si>
  <si>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</si>
  <si>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</si>
  <si>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</si>
  <si>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</si>
  <si>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</si>
  <si>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</si>
  <si>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</si>
  <si>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</si>
  <si>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</si>
  <si>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</si>
  <si>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</si>
  <si>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</si>
  <si>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</si>
  <si>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</si>
  <si>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</si>
  <si>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</si>
  <si>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</si>
  <si>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</si>
  <si>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</si>
  <si>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</si>
  <si>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</si>
  <si>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</si>
  <si>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</si>
  <si>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</si>
  <si>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</si>
  <si>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</si>
  <si>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</si>
  <si>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</si>
  <si>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</si>
  <si>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</si>
  <si>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</si>
  <si>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</si>
  <si>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</si>
  <si>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</si>
  <si>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</si>
  <si>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</si>
  <si>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</si>
  <si>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</si>
  <si>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</si>
  <si>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</si>
  <si>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</si>
  <si>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</si>
  <si>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</si>
  <si>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</si>
  <si>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</si>
  <si>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</si>
  <si>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</si>
  <si>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</si>
  <si>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</si>
  <si>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</si>
  <si>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</si>
  <si>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</si>
  <si>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</si>
  <si>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</si>
  <si>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</si>
  <si>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</si>
  <si>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</si>
  <si>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</si>
  <si>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</si>
  <si>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</si>
  <si>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</si>
  <si>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</si>
  <si>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</si>
  <si>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</si>
  <si>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</si>
  <si>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</si>
  <si>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</si>
  <si>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</si>
  <si>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</si>
  <si>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</si>
  <si>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</si>
  <si>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</si>
  <si>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</si>
  <si>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</si>
  <si>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</si>
  <si>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</si>
  <si>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</si>
  <si>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</si>
  <si>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</si>
  <si>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</si>
  <si>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</si>
  <si>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</si>
  <si>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</si>
  <si>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</si>
  <si>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</si>
  <si>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</si>
  <si>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</si>
  <si>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</si>
  <si>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</si>
  <si>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</si>
  <si>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</si>
  <si>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</si>
  <si>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</si>
  <si>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</si>
  <si>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</si>
  <si>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</si>
  <si>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</si>
  <si>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</si>
  <si>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</si>
  <si>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</si>
  <si>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</si>
  <si>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</si>
  <si>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</si>
  <si>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</si>
  <si>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</si>
  <si>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</si>
  <si>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</si>
  <si>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</si>
  <si>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</si>
  <si>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</si>
  <si>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</si>
  <si>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</si>
  <si>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</si>
  <si>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</si>
  <si>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</si>
  <si>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</si>
  <si>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</si>
  <si>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</si>
  <si>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</si>
  <si>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</si>
  <si>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</si>
  <si>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</si>
  <si>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</si>
  <si>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</si>
  <si>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</si>
  <si>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</si>
  <si>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</si>
  <si>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</si>
  <si>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</si>
  <si>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</si>
  <si>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</si>
  <si>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</si>
  <si>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</si>
  <si>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</si>
  <si>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</si>
  <si>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</si>
  <si>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</si>
  <si>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</si>
  <si>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</si>
  <si>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</si>
  <si>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</si>
  <si>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</si>
  <si>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</si>
  <si>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</si>
  <si>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</si>
  <si>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</si>
  <si>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</si>
  <si>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</si>
  <si>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</si>
  <si>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</si>
  <si>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</si>
  <si>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</si>
  <si>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</si>
  <si>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</si>
  <si>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</si>
  <si>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</si>
  <si>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</si>
  <si>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</si>
  <si>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</si>
  <si>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</si>
  <si>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</si>
  <si>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</si>
  <si>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</si>
  <si>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24134</t>
  </si>
  <si>
    <t>SCHERPENHEUVEL-ZICHEM</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</si>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</sst>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24134</v>
      </c>
      <c r="B6" s="394"/>
      <c r="C6" s="395"/>
    </row>
    <row r="7" spans="1:7" s="392" customFormat="1" ht="15.75" customHeight="1">
      <c r="A7" s="396" t="str">
        <f>txtMunicipality</f>
        <v>SCHERPENHEUVEL-ZICHEM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0.21285511769116128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0.21285511769116128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9671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1702</v>
      </c>
      <c r="C14" s="331"/>
      <c r="D14" s="331"/>
      <c r="E14" s="331"/>
      <c r="F14" s="331"/>
    </row>
    <row r="15" spans="1:6">
      <c r="A15" s="1290" t="s">
        <v>183</v>
      </c>
      <c r="B15" s="1291">
        <v>799</v>
      </c>
      <c r="C15" s="331"/>
      <c r="D15" s="331"/>
      <c r="E15" s="331"/>
      <c r="F15" s="331"/>
    </row>
    <row r="16" spans="1:6">
      <c r="A16" s="1290" t="s">
        <v>6</v>
      </c>
      <c r="B16" s="1291">
        <v>353</v>
      </c>
      <c r="C16" s="331"/>
      <c r="D16" s="331"/>
      <c r="E16" s="331"/>
      <c r="F16" s="331"/>
    </row>
    <row r="17" spans="1:6">
      <c r="A17" s="1290" t="s">
        <v>7</v>
      </c>
      <c r="B17" s="1291">
        <v>257</v>
      </c>
      <c r="C17" s="331"/>
      <c r="D17" s="331"/>
      <c r="E17" s="331"/>
      <c r="F17" s="331"/>
    </row>
    <row r="18" spans="1:6">
      <c r="A18" s="1290" t="s">
        <v>8</v>
      </c>
      <c r="B18" s="1291">
        <v>410</v>
      </c>
      <c r="C18" s="331"/>
      <c r="D18" s="331"/>
      <c r="E18" s="331"/>
      <c r="F18" s="331"/>
    </row>
    <row r="19" spans="1:6">
      <c r="A19" s="1290" t="s">
        <v>9</v>
      </c>
      <c r="B19" s="1291">
        <v>338</v>
      </c>
      <c r="C19" s="331"/>
      <c r="D19" s="331"/>
      <c r="E19" s="331"/>
      <c r="F19" s="331"/>
    </row>
    <row r="20" spans="1:6">
      <c r="A20" s="1290" t="s">
        <v>10</v>
      </c>
      <c r="B20" s="1291">
        <v>308</v>
      </c>
      <c r="C20" s="331"/>
      <c r="D20" s="331"/>
      <c r="E20" s="331"/>
      <c r="F20" s="331"/>
    </row>
    <row r="21" spans="1:6">
      <c r="A21" s="1290" t="s">
        <v>11</v>
      </c>
      <c r="B21" s="1291">
        <v>43</v>
      </c>
      <c r="C21" s="331"/>
      <c r="D21" s="331"/>
      <c r="E21" s="331"/>
      <c r="F21" s="331"/>
    </row>
    <row r="22" spans="1:6">
      <c r="A22" s="1290" t="s">
        <v>12</v>
      </c>
      <c r="B22" s="1291">
        <v>1173</v>
      </c>
      <c r="C22" s="331"/>
      <c r="D22" s="331"/>
      <c r="E22" s="331"/>
      <c r="F22" s="331"/>
    </row>
    <row r="23" spans="1:6">
      <c r="A23" s="1290" t="s">
        <v>13</v>
      </c>
      <c r="B23" s="1291">
        <v>4</v>
      </c>
      <c r="C23" s="331"/>
      <c r="D23" s="331"/>
      <c r="E23" s="331"/>
      <c r="F23" s="331"/>
    </row>
    <row r="24" spans="1:6">
      <c r="A24" s="1290" t="s">
        <v>14</v>
      </c>
      <c r="B24" s="1291">
        <v>1</v>
      </c>
      <c r="C24" s="331"/>
      <c r="D24" s="331"/>
      <c r="E24" s="331"/>
      <c r="F24" s="331"/>
    </row>
    <row r="25" spans="1:6">
      <c r="A25" s="1290" t="s">
        <v>15</v>
      </c>
      <c r="B25" s="1291">
        <v>15</v>
      </c>
      <c r="C25" s="331"/>
      <c r="D25" s="331"/>
      <c r="E25" s="331"/>
      <c r="F25" s="331"/>
    </row>
    <row r="26" spans="1:6">
      <c r="A26" s="1290" t="s">
        <v>16</v>
      </c>
      <c r="B26" s="1291">
        <v>96</v>
      </c>
      <c r="C26" s="331"/>
      <c r="D26" s="331"/>
      <c r="E26" s="331"/>
      <c r="F26" s="331"/>
    </row>
    <row r="27" spans="1:6">
      <c r="A27" s="1290" t="s">
        <v>17</v>
      </c>
      <c r="B27" s="1291">
        <v>1</v>
      </c>
      <c r="C27" s="331"/>
      <c r="D27" s="331"/>
      <c r="E27" s="331"/>
      <c r="F27" s="331"/>
    </row>
    <row r="28" spans="1:6" s="43" customFormat="1">
      <c r="A28" s="1292" t="s">
        <v>18</v>
      </c>
      <c r="B28" s="1293">
        <v>0</v>
      </c>
      <c r="C28" s="337"/>
      <c r="D28" s="337"/>
      <c r="E28" s="337"/>
      <c r="F28" s="337"/>
    </row>
    <row r="29" spans="1:6">
      <c r="A29" s="1292" t="s">
        <v>966</v>
      </c>
      <c r="B29" s="1293">
        <v>92</v>
      </c>
      <c r="C29" s="337"/>
      <c r="D29" s="337"/>
      <c r="E29" s="337"/>
      <c r="F29" s="337"/>
    </row>
    <row r="30" spans="1:6">
      <c r="A30" s="1285" t="s">
        <v>967</v>
      </c>
      <c r="B30" s="1294">
        <v>23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5499</v>
      </c>
    </row>
    <row r="39" spans="1:6">
      <c r="A39" s="1290" t="s">
        <v>29</v>
      </c>
      <c r="B39" s="1290" t="s">
        <v>30</v>
      </c>
      <c r="C39" s="1291">
        <v>2820</v>
      </c>
      <c r="D39" s="1291">
        <v>45500383.883659698</v>
      </c>
      <c r="E39" s="1291">
        <v>9543</v>
      </c>
      <c r="F39" s="1291">
        <v>40503743.655288696</v>
      </c>
    </row>
    <row r="40" spans="1:6">
      <c r="A40" s="1290" t="s">
        <v>29</v>
      </c>
      <c r="B40" s="1290" t="s">
        <v>28</v>
      </c>
      <c r="C40" s="1291">
        <v>0</v>
      </c>
      <c r="D40" s="1291">
        <v>0</v>
      </c>
      <c r="E40" s="1291">
        <v>0</v>
      </c>
      <c r="F40" s="1291">
        <v>0</v>
      </c>
    </row>
    <row r="41" spans="1:6">
      <c r="A41" s="1290" t="s">
        <v>31</v>
      </c>
      <c r="B41" s="1290" t="s">
        <v>32</v>
      </c>
      <c r="C41" s="1291">
        <v>3</v>
      </c>
      <c r="D41" s="1291">
        <v>96024.412334147404</v>
      </c>
      <c r="E41" s="1291">
        <v>63</v>
      </c>
      <c r="F41" s="1291">
        <v>506718.19335326302</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5</v>
      </c>
      <c r="F44" s="1291">
        <v>186414.35280621299</v>
      </c>
    </row>
    <row r="45" spans="1:6">
      <c r="A45" s="1290" t="s">
        <v>31</v>
      </c>
      <c r="B45" s="1290" t="s">
        <v>36</v>
      </c>
      <c r="C45" s="1291">
        <v>0</v>
      </c>
      <c r="D45" s="1291">
        <v>0</v>
      </c>
      <c r="E45" s="1291">
        <v>3</v>
      </c>
      <c r="F45" s="1291">
        <v>98905.356970710607</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23</v>
      </c>
      <c r="D48" s="1291">
        <v>779078.20911971095</v>
      </c>
      <c r="E48" s="1291">
        <v>59</v>
      </c>
      <c r="F48" s="1291">
        <v>879855.75025988196</v>
      </c>
    </row>
    <row r="49" spans="1:6">
      <c r="A49" s="1290" t="s">
        <v>31</v>
      </c>
      <c r="B49" s="1290" t="s">
        <v>39</v>
      </c>
      <c r="C49" s="1291">
        <v>0</v>
      </c>
      <c r="D49" s="1291">
        <v>0</v>
      </c>
      <c r="E49" s="1291">
        <v>3</v>
      </c>
      <c r="F49" s="1291">
        <v>156196.14841574701</v>
      </c>
    </row>
    <row r="50" spans="1:6">
      <c r="A50" s="1290" t="s">
        <v>31</v>
      </c>
      <c r="B50" s="1290" t="s">
        <v>40</v>
      </c>
      <c r="C50" s="1291">
        <v>7</v>
      </c>
      <c r="D50" s="1291">
        <v>225918.957122205</v>
      </c>
      <c r="E50" s="1291">
        <v>19</v>
      </c>
      <c r="F50" s="1291">
        <v>920563.65723667003</v>
      </c>
    </row>
    <row r="51" spans="1:6">
      <c r="A51" s="1290" t="s">
        <v>41</v>
      </c>
      <c r="B51" s="1290" t="s">
        <v>42</v>
      </c>
      <c r="C51" s="1291">
        <v>0</v>
      </c>
      <c r="D51" s="1291">
        <v>0</v>
      </c>
      <c r="E51" s="1291">
        <v>19</v>
      </c>
      <c r="F51" s="1291">
        <v>319035.93095696601</v>
      </c>
    </row>
    <row r="52" spans="1:6">
      <c r="A52" s="1290" t="s">
        <v>41</v>
      </c>
      <c r="B52" s="1290" t="s">
        <v>28</v>
      </c>
      <c r="C52" s="1291">
        <v>3</v>
      </c>
      <c r="D52" s="1291">
        <v>40728.658276425202</v>
      </c>
      <c r="E52" s="1291">
        <v>14</v>
      </c>
      <c r="F52" s="1291">
        <v>301774.00531033002</v>
      </c>
    </row>
    <row r="53" spans="1:6">
      <c r="A53" s="1290" t="s">
        <v>43</v>
      </c>
      <c r="B53" s="1290" t="s">
        <v>44</v>
      </c>
      <c r="C53" s="1291">
        <v>155</v>
      </c>
      <c r="D53" s="1291">
        <v>2763457.8680980802</v>
      </c>
      <c r="E53" s="1291">
        <v>422</v>
      </c>
      <c r="F53" s="1291">
        <v>2088720.20451608</v>
      </c>
    </row>
    <row r="54" spans="1:6">
      <c r="A54" s="1290" t="s">
        <v>45</v>
      </c>
      <c r="B54" s="1290" t="s">
        <v>46</v>
      </c>
      <c r="C54" s="1291">
        <v>0</v>
      </c>
      <c r="D54" s="1291">
        <v>0</v>
      </c>
      <c r="E54" s="1291">
        <v>1</v>
      </c>
      <c r="F54" s="1291">
        <v>1375726</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20</v>
      </c>
      <c r="D57" s="1291">
        <v>302046.43887997</v>
      </c>
      <c r="E57" s="1291">
        <v>86</v>
      </c>
      <c r="F57" s="1291">
        <v>1462186.8286490701</v>
      </c>
    </row>
    <row r="58" spans="1:6">
      <c r="A58" s="1290" t="s">
        <v>48</v>
      </c>
      <c r="B58" s="1290" t="s">
        <v>50</v>
      </c>
      <c r="C58" s="1291">
        <v>11</v>
      </c>
      <c r="D58" s="1291">
        <v>550321.25078570505</v>
      </c>
      <c r="E58" s="1291">
        <v>27</v>
      </c>
      <c r="F58" s="1291">
        <v>394925.99468779302</v>
      </c>
    </row>
    <row r="59" spans="1:6">
      <c r="A59" s="1290" t="s">
        <v>48</v>
      </c>
      <c r="B59" s="1290" t="s">
        <v>51</v>
      </c>
      <c r="C59" s="1291">
        <v>37</v>
      </c>
      <c r="D59" s="1291">
        <v>1475981.0191357201</v>
      </c>
      <c r="E59" s="1291">
        <v>154</v>
      </c>
      <c r="F59" s="1291">
        <v>4005885.9812878999</v>
      </c>
    </row>
    <row r="60" spans="1:6">
      <c r="A60" s="1290" t="s">
        <v>48</v>
      </c>
      <c r="B60" s="1290" t="s">
        <v>52</v>
      </c>
      <c r="C60" s="1291">
        <v>50</v>
      </c>
      <c r="D60" s="1291">
        <v>2275205.21332173</v>
      </c>
      <c r="E60" s="1291">
        <v>85</v>
      </c>
      <c r="F60" s="1291">
        <v>2116969.98355141</v>
      </c>
    </row>
    <row r="61" spans="1:6">
      <c r="A61" s="1290" t="s">
        <v>48</v>
      </c>
      <c r="B61" s="1290" t="s">
        <v>53</v>
      </c>
      <c r="C61" s="1291">
        <v>41</v>
      </c>
      <c r="D61" s="1291">
        <v>3365411.8129505799</v>
      </c>
      <c r="E61" s="1291">
        <v>239</v>
      </c>
      <c r="F61" s="1291">
        <v>2948695.1973473998</v>
      </c>
    </row>
    <row r="62" spans="1:6">
      <c r="A62" s="1290" t="s">
        <v>48</v>
      </c>
      <c r="B62" s="1290" t="s">
        <v>54</v>
      </c>
      <c r="C62" s="1291">
        <v>3</v>
      </c>
      <c r="D62" s="1291">
        <v>295310.57706166198</v>
      </c>
      <c r="E62" s="1291">
        <v>9</v>
      </c>
      <c r="F62" s="1291">
        <v>107219.118540795</v>
      </c>
    </row>
    <row r="63" spans="1:6">
      <c r="A63" s="1290" t="s">
        <v>48</v>
      </c>
      <c r="B63" s="1290" t="s">
        <v>28</v>
      </c>
      <c r="C63" s="1291">
        <v>133</v>
      </c>
      <c r="D63" s="1291">
        <v>4825148.8645488704</v>
      </c>
      <c r="E63" s="1291">
        <v>204</v>
      </c>
      <c r="F63" s="1291">
        <v>5259489.8875516104</v>
      </c>
    </row>
    <row r="64" spans="1:6">
      <c r="A64" s="1290" t="s">
        <v>55</v>
      </c>
      <c r="B64" s="1290" t="s">
        <v>56</v>
      </c>
      <c r="C64" s="1291">
        <v>0</v>
      </c>
      <c r="D64" s="1291">
        <v>0</v>
      </c>
      <c r="E64" s="1291">
        <v>0</v>
      </c>
      <c r="F64" s="1291">
        <v>0</v>
      </c>
    </row>
    <row r="65" spans="1:6">
      <c r="A65" s="1290" t="s">
        <v>55</v>
      </c>
      <c r="B65" s="1290" t="s">
        <v>28</v>
      </c>
      <c r="C65" s="1291">
        <v>0</v>
      </c>
      <c r="D65" s="1291">
        <v>0</v>
      </c>
      <c r="E65" s="1291">
        <v>6</v>
      </c>
      <c r="F65" s="1291">
        <v>34344.587826247996</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169970.20398608301</v>
      </c>
      <c r="E68" s="1294">
        <v>11</v>
      </c>
      <c r="F68" s="1294">
        <v>106612.784949711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112860215</v>
      </c>
      <c r="E73" s="455"/>
      <c r="F73" s="331"/>
    </row>
    <row r="74" spans="1:6">
      <c r="A74" s="1290" t="s">
        <v>63</v>
      </c>
      <c r="B74" s="1290" t="s">
        <v>773</v>
      </c>
      <c r="C74" s="1304" t="s">
        <v>774</v>
      </c>
      <c r="D74" s="1305">
        <v>8829847.2191621996</v>
      </c>
      <c r="E74" s="455"/>
      <c r="F74" s="331"/>
    </row>
    <row r="75" spans="1:6">
      <c r="A75" s="1290" t="s">
        <v>64</v>
      </c>
      <c r="B75" s="1290" t="s">
        <v>771</v>
      </c>
      <c r="C75" s="1304" t="s">
        <v>775</v>
      </c>
      <c r="D75" s="1305">
        <v>93106085</v>
      </c>
      <c r="E75" s="455"/>
      <c r="F75" s="331"/>
    </row>
    <row r="76" spans="1:6">
      <c r="A76" s="1290" t="s">
        <v>64</v>
      </c>
      <c r="B76" s="1290" t="s">
        <v>773</v>
      </c>
      <c r="C76" s="1304" t="s">
        <v>776</v>
      </c>
      <c r="D76" s="1305">
        <v>3633055.2191621996</v>
      </c>
      <c r="E76" s="455"/>
      <c r="F76" s="331"/>
    </row>
    <row r="77" spans="1:6">
      <c r="A77" s="1290" t="s">
        <v>65</v>
      </c>
      <c r="B77" s="1290" t="s">
        <v>771</v>
      </c>
      <c r="C77" s="1304" t="s">
        <v>777</v>
      </c>
      <c r="D77" s="1305">
        <v>11339142</v>
      </c>
      <c r="E77" s="455"/>
      <c r="F77" s="331"/>
    </row>
    <row r="78" spans="1:6">
      <c r="A78" s="1285" t="s">
        <v>65</v>
      </c>
      <c r="B78" s="1285" t="s">
        <v>773</v>
      </c>
      <c r="C78" s="1285" t="s">
        <v>778</v>
      </c>
      <c r="D78" s="1306">
        <v>1306632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314637.56167560111</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2242.6698456333738</v>
      </c>
      <c r="C91" s="331"/>
      <c r="D91" s="331"/>
      <c r="E91" s="331"/>
      <c r="F91" s="331"/>
    </row>
    <row r="92" spans="1:6">
      <c r="A92" s="1285" t="s">
        <v>68</v>
      </c>
      <c r="B92" s="1286">
        <v>185.2133540375024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1234</v>
      </c>
      <c r="C97" s="331"/>
      <c r="D97" s="331"/>
      <c r="E97" s="331"/>
      <c r="F97" s="331"/>
    </row>
    <row r="98" spans="1:6">
      <c r="A98" s="1290" t="s">
        <v>71</v>
      </c>
      <c r="B98" s="1291">
        <v>1</v>
      </c>
      <c r="C98" s="331"/>
      <c r="D98" s="331"/>
      <c r="E98" s="331"/>
      <c r="F98" s="331"/>
    </row>
    <row r="99" spans="1:6">
      <c r="A99" s="1290" t="s">
        <v>72</v>
      </c>
      <c r="B99" s="1291">
        <v>130</v>
      </c>
      <c r="C99" s="331"/>
      <c r="D99" s="331"/>
      <c r="E99" s="331"/>
      <c r="F99" s="331"/>
    </row>
    <row r="100" spans="1:6">
      <c r="A100" s="1290" t="s">
        <v>73</v>
      </c>
      <c r="B100" s="1291">
        <v>475</v>
      </c>
      <c r="C100" s="331"/>
      <c r="D100" s="331"/>
      <c r="E100" s="331"/>
      <c r="F100" s="331"/>
    </row>
    <row r="101" spans="1:6">
      <c r="A101" s="1290" t="s">
        <v>74</v>
      </c>
      <c r="B101" s="1291">
        <v>64</v>
      </c>
      <c r="C101" s="331"/>
      <c r="D101" s="331"/>
      <c r="E101" s="331"/>
      <c r="F101" s="331"/>
    </row>
    <row r="102" spans="1:6">
      <c r="A102" s="1290" t="s">
        <v>75</v>
      </c>
      <c r="B102" s="1291">
        <v>106</v>
      </c>
      <c r="C102" s="331"/>
      <c r="D102" s="331"/>
      <c r="E102" s="331"/>
      <c r="F102" s="331"/>
    </row>
    <row r="103" spans="1:6">
      <c r="A103" s="1290" t="s">
        <v>76</v>
      </c>
      <c r="B103" s="1291">
        <v>209</v>
      </c>
      <c r="C103" s="331"/>
      <c r="D103" s="331"/>
      <c r="E103" s="331"/>
      <c r="F103" s="331"/>
    </row>
    <row r="104" spans="1:6">
      <c r="A104" s="1290" t="s">
        <v>77</v>
      </c>
      <c r="B104" s="1291">
        <v>6605</v>
      </c>
      <c r="C104" s="331"/>
      <c r="D104" s="331"/>
      <c r="E104" s="331"/>
      <c r="F104" s="331"/>
    </row>
    <row r="105" spans="1:6">
      <c r="A105" s="1285" t="s">
        <v>78</v>
      </c>
      <c r="B105" s="1294">
        <v>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16</v>
      </c>
      <c r="C123" s="1291">
        <v>8</v>
      </c>
      <c r="D123" s="331"/>
      <c r="E123" s="331"/>
      <c r="F123" s="331"/>
    </row>
    <row r="124" spans="1:6" s="43" customFormat="1">
      <c r="A124" s="1292" t="s">
        <v>88</v>
      </c>
      <c r="B124" s="1313">
        <v>1</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70</v>
      </c>
      <c r="C129" s="331"/>
      <c r="D129" s="331"/>
      <c r="E129" s="331"/>
      <c r="F129" s="331"/>
    </row>
    <row r="130" spans="1:6">
      <c r="A130" s="1290" t="s">
        <v>294</v>
      </c>
      <c r="B130" s="1291">
        <v>0</v>
      </c>
      <c r="C130" s="331"/>
      <c r="D130" s="331"/>
      <c r="E130" s="331"/>
      <c r="F130" s="331"/>
    </row>
    <row r="131" spans="1:6">
      <c r="A131" s="1290" t="s">
        <v>295</v>
      </c>
      <c r="B131" s="1291">
        <v>2</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65877.217961147457</v>
      </c>
      <c r="C3" s="43" t="s">
        <v>169</v>
      </c>
      <c r="D3" s="43"/>
      <c r="E3" s="156"/>
      <c r="F3" s="43"/>
      <c r="G3" s="43"/>
      <c r="H3" s="43"/>
      <c r="I3" s="43"/>
      <c r="J3" s="43"/>
      <c r="K3" s="96"/>
    </row>
    <row r="4" spans="1:11">
      <c r="A4" s="362" t="s">
        <v>170</v>
      </c>
      <c r="B4" s="49">
        <f>IF(ISERROR('SEAP template'!B78+'SEAP template'!C78),0,'SEAP template'!B78+'SEAP template'!C78)</f>
        <v>2427.8831996708764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0.21285511769116128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1375.7260000000001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1375.7260000000001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0.21285511769116128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292.83031964079055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40503.743655288694</v>
      </c>
      <c r="C5" s="17">
        <f>IF(ISERROR('Eigen informatie GS &amp; warmtenet'!B57),0,'Eigen informatie GS &amp; warmtenet'!B57)</f>
        <v>0</v>
      </c>
      <c r="D5" s="30">
        <f>(SUM(HH_hh_gas_kWh,HH_rest_gas_kWh)/1000)*0.902</f>
        <v>41041.346263061052</v>
      </c>
      <c r="E5" s="17">
        <f>B46*B57</f>
        <v>21101.839023916629</v>
      </c>
      <c r="F5" s="17">
        <f>B51*B62</f>
        <v>117162.24975713596</v>
      </c>
      <c r="G5" s="18"/>
      <c r="H5" s="17"/>
      <c r="I5" s="17"/>
      <c r="J5" s="17">
        <f>B50*B61+C50*C61</f>
        <v>1454.5701492497778</v>
      </c>
      <c r="K5" s="17"/>
      <c r="L5" s="17"/>
      <c r="M5" s="17"/>
      <c r="N5" s="17">
        <f>B48*B59+C48*C59</f>
        <v>9235.8247137739945</v>
      </c>
      <c r="O5" s="17">
        <f>B69*B70*B71</f>
        <v>121.94000000000001</v>
      </c>
      <c r="P5" s="17">
        <f>B77*B78*B79/1000-B77*B78*B79/1000/B80</f>
        <v>533.86666666666667</v>
      </c>
    </row>
    <row r="6" spans="1:16">
      <c r="A6" s="16" t="s">
        <v>631</v>
      </c>
      <c r="B6" s="776">
        <f>kWh_PV_kleiner_dan_10kW</f>
        <v>2242.6698456333738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42746.41350092207</v>
      </c>
      <c r="C8" s="21">
        <f>C5</f>
        <v>0</v>
      </c>
      <c r="D8" s="21">
        <f>D5</f>
        <v>41041.346263061052</v>
      </c>
      <c r="E8" s="21">
        <f>E5</f>
        <v>21101.839023916629</v>
      </c>
      <c r="F8" s="21">
        <f>F5</f>
        <v>117162.24975713596</v>
      </c>
      <c r="G8" s="21"/>
      <c r="H8" s="21"/>
      <c r="I8" s="21"/>
      <c r="J8" s="21">
        <f>J5</f>
        <v>1454.5701492497778</v>
      </c>
      <c r="K8" s="21"/>
      <c r="L8" s="21">
        <f>L5</f>
        <v>0</v>
      </c>
      <c r="M8" s="21">
        <f>M5</f>
        <v>0</v>
      </c>
      <c r="N8" s="21">
        <f>N5</f>
        <v>9235.8247137739945</v>
      </c>
      <c r="O8" s="21">
        <f>O5</f>
        <v>121.94000000000001</v>
      </c>
      <c r="P8" s="21">
        <f>P5</f>
        <v>533.86666666666667</v>
      </c>
    </row>
    <row r="9" spans="1:16">
      <c r="B9" s="19"/>
      <c r="C9" s="19"/>
      <c r="D9" s="260"/>
      <c r="E9" s="19"/>
      <c r="F9" s="19"/>
      <c r="G9" s="19"/>
      <c r="H9" s="19"/>
      <c r="I9" s="19"/>
      <c r="J9" s="19"/>
      <c r="K9" s="19"/>
      <c r="L9" s="19"/>
      <c r="M9" s="19"/>
      <c r="N9" s="19"/>
      <c r="O9" s="19"/>
      <c r="P9" s="19"/>
    </row>
    <row r="10" spans="1:16">
      <c r="A10" s="24" t="s">
        <v>213</v>
      </c>
      <c r="B10" s="25">
        <f ca="1">'EF ele_warmte'!B12</f>
        <v>0.21285511769116128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9098.792876613812</v>
      </c>
      <c r="C12" s="23">
        <f ca="1">C10*C8</f>
        <v>0</v>
      </c>
      <c r="D12" s="23">
        <f>D8*D10</f>
        <v>8290.3519451383327</v>
      </c>
      <c r="E12" s="23">
        <f>E10*E8</f>
        <v>4790.1174584290748</v>
      </c>
      <c r="F12" s="23">
        <f>F10*F8</f>
        <v>31282.3206851553</v>
      </c>
      <c r="G12" s="23"/>
      <c r="H12" s="23"/>
      <c r="I12" s="23"/>
      <c r="J12" s="23">
        <f>J10*J8</f>
        <v>514.91783283442135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1234</v>
      </c>
      <c r="C18" s="167" t="s">
        <v>110</v>
      </c>
      <c r="D18" s="229"/>
      <c r="E18" s="15"/>
    </row>
    <row r="19" spans="1:7">
      <c r="A19" s="172" t="s">
        <v>71</v>
      </c>
      <c r="B19" s="37">
        <f>aantalw2001_ander</f>
        <v>1</v>
      </c>
      <c r="C19" s="167" t="s">
        <v>110</v>
      </c>
      <c r="D19" s="230"/>
      <c r="E19" s="15"/>
    </row>
    <row r="20" spans="1:7">
      <c r="A20" s="172" t="s">
        <v>72</v>
      </c>
      <c r="B20" s="37">
        <f>aantalw2001_propaan</f>
        <v>130</v>
      </c>
      <c r="C20" s="168">
        <f>IF(ISERROR(B20/SUM($B$20,$B$21,$B$22)*100),0,B20/SUM($B$20,$B$21,$B$22)*100)</f>
        <v>19.431988041853511</v>
      </c>
      <c r="D20" s="230"/>
      <c r="E20" s="15"/>
    </row>
    <row r="21" spans="1:7">
      <c r="A21" s="172" t="s">
        <v>73</v>
      </c>
      <c r="B21" s="37">
        <f>aantalw2001_elektriciteit</f>
        <v>475</v>
      </c>
      <c r="C21" s="168">
        <f>IF(ISERROR(B21/SUM($B$20,$B$21,$B$22)*100),0,B21/SUM($B$20,$B$21,$B$22)*100)</f>
        <v>71.00149476831092</v>
      </c>
      <c r="D21" s="230"/>
      <c r="E21" s="15"/>
    </row>
    <row r="22" spans="1:7">
      <c r="A22" s="172" t="s">
        <v>74</v>
      </c>
      <c r="B22" s="37">
        <f>aantalw2001_hout</f>
        <v>64</v>
      </c>
      <c r="C22" s="168">
        <f>IF(ISERROR(B22/SUM($B$20,$B$21,$B$22)*100),0,B22/SUM($B$20,$B$21,$B$22)*100)</f>
        <v>9.5665171898355759</v>
      </c>
      <c r="D22" s="230"/>
      <c r="E22" s="15"/>
    </row>
    <row r="23" spans="1:7">
      <c r="A23" s="172" t="s">
        <v>75</v>
      </c>
      <c r="B23" s="37">
        <f>aantalw2001_niet_gespec</f>
        <v>106</v>
      </c>
      <c r="C23" s="167" t="s">
        <v>110</v>
      </c>
      <c r="D23" s="229"/>
      <c r="E23" s="15"/>
    </row>
    <row r="24" spans="1:7">
      <c r="A24" s="172" t="s">
        <v>76</v>
      </c>
      <c r="B24" s="37">
        <f>aantalw2001_steenkool</f>
        <v>209</v>
      </c>
      <c r="C24" s="167" t="s">
        <v>110</v>
      </c>
      <c r="D24" s="230"/>
      <c r="E24" s="15"/>
    </row>
    <row r="25" spans="1:7">
      <c r="A25" s="172" t="s">
        <v>77</v>
      </c>
      <c r="B25" s="37">
        <f>aantalw2001_stookolie</f>
        <v>6605</v>
      </c>
      <c r="C25" s="167" t="s">
        <v>110</v>
      </c>
      <c r="D25" s="229"/>
      <c r="E25" s="52"/>
    </row>
    <row r="26" spans="1:7">
      <c r="A26" s="172" t="s">
        <v>78</v>
      </c>
      <c r="B26" s="37">
        <f>aantalw2001_WP</f>
        <v>2</v>
      </c>
      <c r="C26" s="167" t="s">
        <v>110</v>
      </c>
      <c r="D26" s="229"/>
      <c r="E26" s="15"/>
    </row>
    <row r="27" spans="1:7" s="15" customFormat="1">
      <c r="A27" s="172"/>
      <c r="B27" s="29"/>
      <c r="C27" s="36"/>
      <c r="D27" s="229"/>
    </row>
    <row r="28" spans="1:7" s="15" customFormat="1">
      <c r="A28" s="231" t="s">
        <v>711</v>
      </c>
      <c r="B28" s="37">
        <f>aantalHuishoudens</f>
        <v>9671</v>
      </c>
      <c r="C28" s="36"/>
      <c r="D28" s="229"/>
    </row>
    <row r="29" spans="1:7" s="15" customFormat="1">
      <c r="A29" s="231" t="s">
        <v>712</v>
      </c>
      <c r="B29" s="37">
        <f>SUM(HH_hh_gas_aantal,HH_rest_gas_aantal)</f>
        <v>2820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2820</v>
      </c>
      <c r="C32" s="168">
        <f>IF(ISERROR(B32/SUM($B$32,$B$34,$B$35,$B$36,$B$38,$B$39)*100),0,B32/SUM($B$32,$B$34,$B$35,$B$36,$B$38,$B$39)*100)</f>
        <v>29.244011199834073</v>
      </c>
      <c r="D32" s="234"/>
      <c r="G32" s="15"/>
    </row>
    <row r="33" spans="1:7">
      <c r="A33" s="172" t="s">
        <v>71</v>
      </c>
      <c r="B33" s="34" t="s">
        <v>110</v>
      </c>
      <c r="C33" s="168"/>
      <c r="D33" s="234"/>
      <c r="G33" s="15"/>
    </row>
    <row r="34" spans="1:7">
      <c r="A34" s="172" t="s">
        <v>72</v>
      </c>
      <c r="B34" s="33">
        <f>IF((($B$28-$B$32-$B$39-$B$77-$B$38)*C20/100)&lt;0,0,($B$28-$B$32-$B$39-$B$77-$B$38)*C20/100)</f>
        <v>309.94020926756343</v>
      </c>
      <c r="C34" s="168">
        <f>IF(ISERROR(B34/SUM($B$32,$B$34,$B$35,$B$36,$B$38,$B$39)*100),0,B34/SUM($B$32,$B$34,$B$35,$B$36,$B$38,$B$39)*100)</f>
        <v>3.2141471457799797</v>
      </c>
      <c r="D34" s="234"/>
      <c r="G34" s="15"/>
    </row>
    <row r="35" spans="1:7">
      <c r="A35" s="172" t="s">
        <v>73</v>
      </c>
      <c r="B35" s="33">
        <f>IF((($B$28-$B$32-$B$39-$B$77-$B$38)*C21/100)&lt;0,0,($B$28-$B$32-$B$39-$B$77-$B$38)*C21/100)</f>
        <v>1132.4738415545589</v>
      </c>
      <c r="C35" s="168">
        <f>IF(ISERROR(B35/SUM($B$32,$B$34,$B$35,$B$36,$B$38,$B$39)*100),0,B35/SUM($B$32,$B$34,$B$35,$B$36,$B$38,$B$39)*100)</f>
        <v>11.743999186503775</v>
      </c>
      <c r="D35" s="234"/>
      <c r="G35" s="15"/>
    </row>
    <row r="36" spans="1:7">
      <c r="A36" s="172" t="s">
        <v>74</v>
      </c>
      <c r="B36" s="33">
        <f>IF((($B$28-$B$32-$B$39-$B$77-$B$38)*C22/100)&lt;0,0,($B$28-$B$32-$B$39-$B$77-$B$38)*C22/100)</f>
        <v>152.58594917787738</v>
      </c>
      <c r="C36" s="168">
        <f>IF(ISERROR(B36/SUM($B$32,$B$34,$B$35,$B$36,$B$38,$B$39)*100),0,B36/SUM($B$32,$B$34,$B$35,$B$36,$B$38,$B$39)*100)</f>
        <v>1.5823493640762976</v>
      </c>
      <c r="D36" s="234"/>
      <c r="G36" s="15"/>
    </row>
    <row r="37" spans="1:7">
      <c r="A37" s="172" t="s">
        <v>75</v>
      </c>
      <c r="B37" s="34" t="s">
        <v>110</v>
      </c>
      <c r="C37" s="168"/>
      <c r="D37" s="174"/>
      <c r="G37" s="15"/>
    </row>
    <row r="38" spans="1:7">
      <c r="A38" s="172" t="s">
        <v>76</v>
      </c>
      <c r="B38" s="33">
        <f>IF((B24-(B29-B18)*0.1)&lt;0,0,B24-(B29-B18)*0.1)</f>
        <v>50.399999999999977</v>
      </c>
      <c r="C38" s="168">
        <f>IF(ISERROR(B38/SUM($B$32,$B$34,$B$35,$B$36,$B$38,$B$39)*100),0,B38/SUM($B$32,$B$34,$B$35,$B$36,$B$38,$B$39)*100)</f>
        <v>0.52265892357150245</v>
      </c>
      <c r="D38" s="235"/>
      <c r="G38" s="15"/>
    </row>
    <row r="39" spans="1:7">
      <c r="A39" s="172" t="s">
        <v>77</v>
      </c>
      <c r="B39" s="33">
        <f>IF((B25-(B29-B18))&lt;0,0,B25-(B29-B18)*0.9)</f>
        <v>5177.6000000000004</v>
      </c>
      <c r="C39" s="168">
        <f>IF(ISERROR(B39/SUM($B$32,$B$34,$B$35,$B$36,$B$38,$B$39)*100),0,B39/SUM($B$32,$B$34,$B$35,$B$36,$B$38,$B$39)*100)</f>
        <v>53.692834180234371</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2820</v>
      </c>
      <c r="C44" s="34" t="s">
        <v>110</v>
      </c>
      <c r="D44" s="175"/>
    </row>
    <row r="45" spans="1:7">
      <c r="A45" s="172" t="s">
        <v>71</v>
      </c>
      <c r="B45" s="33" t="str">
        <f t="shared" si="0"/>
        <v>-</v>
      </c>
      <c r="C45" s="34" t="s">
        <v>110</v>
      </c>
      <c r="D45" s="175"/>
    </row>
    <row r="46" spans="1:7">
      <c r="A46" s="172" t="s">
        <v>72</v>
      </c>
      <c r="B46" s="33">
        <f t="shared" si="0"/>
        <v>309.94020926756343</v>
      </c>
      <c r="C46" s="34" t="s">
        <v>110</v>
      </c>
      <c r="D46" s="175"/>
    </row>
    <row r="47" spans="1:7">
      <c r="A47" s="172" t="s">
        <v>73</v>
      </c>
      <c r="B47" s="33">
        <f t="shared" si="0"/>
        <v>1132.4738415545589</v>
      </c>
      <c r="C47" s="34" t="s">
        <v>110</v>
      </c>
      <c r="D47" s="175"/>
    </row>
    <row r="48" spans="1:7">
      <c r="A48" s="172" t="s">
        <v>74</v>
      </c>
      <c r="B48" s="33">
        <f t="shared" si="0"/>
        <v>152.58594917787738</v>
      </c>
      <c r="C48" s="33">
        <f>B48*10</f>
        <v>1525.8594917787739</v>
      </c>
      <c r="D48" s="235"/>
    </row>
    <row r="49" spans="1:6">
      <c r="A49" s="172" t="s">
        <v>75</v>
      </c>
      <c r="B49" s="33" t="str">
        <f t="shared" si="0"/>
        <v>-</v>
      </c>
      <c r="C49" s="34" t="s">
        <v>110</v>
      </c>
      <c r="D49" s="235"/>
    </row>
    <row r="50" spans="1:6">
      <c r="A50" s="172" t="s">
        <v>76</v>
      </c>
      <c r="B50" s="33">
        <f t="shared" si="0"/>
        <v>50.399999999999977</v>
      </c>
      <c r="C50" s="33">
        <f>B50*2</f>
        <v>100.79999999999995</v>
      </c>
      <c r="D50" s="235"/>
    </row>
    <row r="51" spans="1:6">
      <c r="A51" s="172" t="s">
        <v>77</v>
      </c>
      <c r="B51" s="33">
        <f t="shared" si="0"/>
        <v>5177.6000000000004</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78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16295.372991615979</v>
      </c>
      <c r="C5" s="17">
        <f>IF(ISERROR('Eigen informatie GS &amp; warmtenet'!B58),0,'Eigen informatie GS &amp; warmtenet'!B58)</f>
        <v>0</v>
      </c>
      <c r="D5" s="30">
        <f>SUM(D6:D12)</f>
        <v>11806.661509369183</v>
      </c>
      <c r="E5" s="17">
        <f>SUM(E6:E12)</f>
        <v>365.16648837406689</v>
      </c>
      <c r="F5" s="17">
        <f>SUM(F6:F12)</f>
        <v>3033.8098374353935</v>
      </c>
      <c r="G5" s="18"/>
      <c r="H5" s="17"/>
      <c r="I5" s="17"/>
      <c r="J5" s="17">
        <f>SUM(J6:J12)</f>
        <v>0</v>
      </c>
      <c r="K5" s="17"/>
      <c r="L5" s="17"/>
      <c r="M5" s="17"/>
      <c r="N5" s="17">
        <f>SUM(N6:N12)</f>
        <v>514.57116242303562</v>
      </c>
      <c r="O5" s="17">
        <f>B38*B39*B40</f>
        <v>0</v>
      </c>
      <c r="P5" s="17">
        <f>B46*B47*B48/1000-B46*B47*B48/1000/B49</f>
        <v>38.133333333333333</v>
      </c>
      <c r="R5" s="32"/>
    </row>
    <row r="6" spans="1:18">
      <c r="A6" s="32" t="s">
        <v>53</v>
      </c>
      <c r="B6" s="37">
        <f>B26</f>
        <v>2948.6951973473997</v>
      </c>
      <c r="C6" s="33"/>
      <c r="D6" s="37">
        <f>IF(ISERROR(TER_kantoor_gas_kWh/1000),0,TER_kantoor_gas_kWh/1000)*0.902</f>
        <v>3035.6014552814231</v>
      </c>
      <c r="E6" s="33">
        <f>$C$26*'E Balans VL '!I12/100/3.6*1000000</f>
        <v>103.21593132696992</v>
      </c>
      <c r="F6" s="33">
        <f>$C$26*('E Balans VL '!L12+'E Balans VL '!N12)/100/3.6*1000000</f>
        <v>447.08549978339255</v>
      </c>
      <c r="G6" s="34"/>
      <c r="H6" s="33"/>
      <c r="I6" s="33"/>
      <c r="J6" s="33">
        <f>$C$26*('E Balans VL '!D12+'E Balans VL '!E12)/100/3.6*1000000</f>
        <v>0</v>
      </c>
      <c r="K6" s="33"/>
      <c r="L6" s="33"/>
      <c r="M6" s="33"/>
      <c r="N6" s="33">
        <f>$C$26*'E Balans VL '!Y12/100/3.6*1000000</f>
        <v>22.792490959298426</v>
      </c>
      <c r="O6" s="33"/>
      <c r="P6" s="33"/>
      <c r="R6" s="32"/>
    </row>
    <row r="7" spans="1:18">
      <c r="A7" s="32" t="s">
        <v>52</v>
      </c>
      <c r="B7" s="37">
        <f t="shared" ref="B7:B12" si="0">B27</f>
        <v>2116.9699835514102</v>
      </c>
      <c r="C7" s="33"/>
      <c r="D7" s="37">
        <f>IF(ISERROR(TER_horeca_gas_kWh/1000),0,TER_horeca_gas_kWh/1000)*0.902</f>
        <v>2052.2351024162003</v>
      </c>
      <c r="E7" s="33">
        <f>$C$27*'E Balans VL '!I9/100/3.6*1000000</f>
        <v>119.42525591767532</v>
      </c>
      <c r="F7" s="33">
        <f>$C$27*('E Balans VL '!L9+'E Balans VL '!N9)/100/3.6*1000000</f>
        <v>368.78788659696403</v>
      </c>
      <c r="G7" s="34"/>
      <c r="H7" s="33"/>
      <c r="I7" s="33"/>
      <c r="J7" s="33">
        <f>$C$27*('E Balans VL '!D9+'E Balans VL '!E9)/100/3.6*1000000</f>
        <v>0</v>
      </c>
      <c r="K7" s="33"/>
      <c r="L7" s="33"/>
      <c r="M7" s="33"/>
      <c r="N7" s="33">
        <f>$C$27*'E Balans VL '!Y9/100/3.6*1000000</f>
        <v>0</v>
      </c>
      <c r="O7" s="33"/>
      <c r="P7" s="33"/>
      <c r="R7" s="32"/>
    </row>
    <row r="8" spans="1:18">
      <c r="A8" s="6" t="s">
        <v>51</v>
      </c>
      <c r="B8" s="37">
        <f t="shared" si="0"/>
        <v>4005.8859812879</v>
      </c>
      <c r="C8" s="33"/>
      <c r="D8" s="37">
        <f>IF(ISERROR(TER_handel_gas_kWh/1000),0,TER_handel_gas_kWh/1000)*0.902</f>
        <v>1331.3348792604195</v>
      </c>
      <c r="E8" s="33">
        <f>$C$28*'E Balans VL '!I13/100/3.6*1000000</f>
        <v>20.565811635819138</v>
      </c>
      <c r="F8" s="33">
        <f>$C$28*('E Balans VL '!L13+'E Balans VL '!N13)/100/3.6*1000000</f>
        <v>617.64572102214879</v>
      </c>
      <c r="G8" s="34"/>
      <c r="H8" s="33"/>
      <c r="I8" s="33"/>
      <c r="J8" s="33">
        <f>$C$28*('E Balans VL '!D13+'E Balans VL '!E13)/100/3.6*1000000</f>
        <v>0</v>
      </c>
      <c r="K8" s="33"/>
      <c r="L8" s="33"/>
      <c r="M8" s="33"/>
      <c r="N8" s="33">
        <f>$C$28*'E Balans VL '!Y13/100/3.6*1000000</f>
        <v>1.8736017718686633</v>
      </c>
      <c r="O8" s="33"/>
      <c r="P8" s="33"/>
      <c r="R8" s="32"/>
    </row>
    <row r="9" spans="1:18">
      <c r="A9" s="32" t="s">
        <v>50</v>
      </c>
      <c r="B9" s="37">
        <f t="shared" si="0"/>
        <v>394.92599468779304</v>
      </c>
      <c r="C9" s="33"/>
      <c r="D9" s="37">
        <f>IF(ISERROR(TER_gezond_gas_kWh/1000),0,TER_gezond_gas_kWh/1000)*0.902</f>
        <v>496.38976820870596</v>
      </c>
      <c r="E9" s="33">
        <f>$C$29*'E Balans VL '!I10/100/3.6*1000000</f>
        <v>0.16369401223595764</v>
      </c>
      <c r="F9" s="33">
        <f>$C$29*('E Balans VL '!L10+'E Balans VL '!N10)/100/3.6*1000000</f>
        <v>97.26460849730509</v>
      </c>
      <c r="G9" s="34"/>
      <c r="H9" s="33"/>
      <c r="I9" s="33"/>
      <c r="J9" s="33">
        <f>$C$29*('E Balans VL '!D10+'E Balans VL '!E10)/100/3.6*1000000</f>
        <v>0</v>
      </c>
      <c r="K9" s="33"/>
      <c r="L9" s="33"/>
      <c r="M9" s="33"/>
      <c r="N9" s="33">
        <f>$C$29*'E Balans VL '!Y10/100/3.6*1000000</f>
        <v>3.4131380853516733</v>
      </c>
      <c r="O9" s="33"/>
      <c r="P9" s="33"/>
      <c r="R9" s="32"/>
    </row>
    <row r="10" spans="1:18">
      <c r="A10" s="32" t="s">
        <v>49</v>
      </c>
      <c r="B10" s="37">
        <f t="shared" si="0"/>
        <v>1462.1868286490701</v>
      </c>
      <c r="C10" s="33"/>
      <c r="D10" s="37">
        <f>IF(ISERROR(TER_ander_gas_kWh/1000),0,TER_ander_gas_kWh/1000)*0.902</f>
        <v>272.44588786973293</v>
      </c>
      <c r="E10" s="33">
        <f>$C$30*'E Balans VL '!I14/100/3.6*1000000</f>
        <v>8.9135269835379738</v>
      </c>
      <c r="F10" s="33">
        <f>$C$30*('E Balans VL '!L14+'E Balans VL '!N14)/100/3.6*1000000</f>
        <v>387.64575796235482</v>
      </c>
      <c r="G10" s="34"/>
      <c r="H10" s="33"/>
      <c r="I10" s="33"/>
      <c r="J10" s="33">
        <f>$C$30*('E Balans VL '!D14+'E Balans VL '!E14)/100/3.6*1000000</f>
        <v>0</v>
      </c>
      <c r="K10" s="33"/>
      <c r="L10" s="33"/>
      <c r="M10" s="33"/>
      <c r="N10" s="33">
        <f>$C$30*'E Balans VL '!Y14/100/3.6*1000000</f>
        <v>337.00246847180796</v>
      </c>
      <c r="O10" s="33"/>
      <c r="P10" s="33"/>
      <c r="R10" s="32"/>
    </row>
    <row r="11" spans="1:18">
      <c r="A11" s="32" t="s">
        <v>54</v>
      </c>
      <c r="B11" s="37">
        <f t="shared" si="0"/>
        <v>107.21911854079499</v>
      </c>
      <c r="C11" s="33"/>
      <c r="D11" s="37">
        <f>IF(ISERROR(TER_onderwijs_gas_kWh/1000),0,TER_onderwijs_gas_kWh/1000)*0.902</f>
        <v>266.37014050961915</v>
      </c>
      <c r="E11" s="33">
        <f>$C$31*'E Balans VL '!I11/100/3.6*1000000</f>
        <v>8.1706551286568452E-2</v>
      </c>
      <c r="F11" s="33">
        <f>$C$31*('E Balans VL '!L11+'E Balans VL '!N11)/100/3.6*1000000</f>
        <v>77.589630028296753</v>
      </c>
      <c r="G11" s="34"/>
      <c r="H11" s="33"/>
      <c r="I11" s="33"/>
      <c r="J11" s="33">
        <f>$C$31*('E Balans VL '!D11+'E Balans VL '!E11)/100/3.6*1000000</f>
        <v>0</v>
      </c>
      <c r="K11" s="33"/>
      <c r="L11" s="33"/>
      <c r="M11" s="33"/>
      <c r="N11" s="33">
        <f>$C$31*'E Balans VL '!Y11/100/3.6*1000000</f>
        <v>0.31600036724211805</v>
      </c>
      <c r="O11" s="33"/>
      <c r="P11" s="33"/>
      <c r="R11" s="32"/>
    </row>
    <row r="12" spans="1:18">
      <c r="A12" s="32" t="s">
        <v>259</v>
      </c>
      <c r="B12" s="37">
        <f t="shared" si="0"/>
        <v>5259.4898875516101</v>
      </c>
      <c r="C12" s="33"/>
      <c r="D12" s="37">
        <f>IF(ISERROR(TER_rest_gas_kWh/1000),0,TER_rest_gas_kWh/1000)*0.902</f>
        <v>4352.2842758230818</v>
      </c>
      <c r="E12" s="33">
        <f>$C$32*'E Balans VL '!I8/100/3.6*1000000</f>
        <v>112.800561946542</v>
      </c>
      <c r="F12" s="33">
        <f>$C$32*('E Balans VL '!L8+'E Balans VL '!N8)/100/3.6*1000000</f>
        <v>1037.7907335449315</v>
      </c>
      <c r="G12" s="34"/>
      <c r="H12" s="33"/>
      <c r="I12" s="33"/>
      <c r="J12" s="33">
        <f>$C$32*('E Balans VL '!D8+'E Balans VL '!E8)/100/3.6*1000000</f>
        <v>0</v>
      </c>
      <c r="K12" s="33"/>
      <c r="L12" s="33"/>
      <c r="M12" s="33"/>
      <c r="N12" s="33">
        <f>$C$32*'E Balans VL '!Y8/100/3.6*1000000</f>
        <v>149.17346276746679</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16295.372991615979</v>
      </c>
      <c r="C16" s="21">
        <f ca="1">C5+C13+C14</f>
        <v>0</v>
      </c>
      <c r="D16" s="21">
        <f t="shared" ref="D16:N16" ca="1" si="1">MAX((D5+D13+D14),0)</f>
        <v>11806.661509369183</v>
      </c>
      <c r="E16" s="21">
        <f t="shared" si="1"/>
        <v>365.16648837406689</v>
      </c>
      <c r="F16" s="21">
        <f t="shared" ca="1" si="1"/>
        <v>3033.8098374353935</v>
      </c>
      <c r="G16" s="21">
        <f t="shared" si="1"/>
        <v>0</v>
      </c>
      <c r="H16" s="21">
        <f t="shared" si="1"/>
        <v>0</v>
      </c>
      <c r="I16" s="21">
        <f t="shared" si="1"/>
        <v>0</v>
      </c>
      <c r="J16" s="21">
        <f t="shared" si="1"/>
        <v>0</v>
      </c>
      <c r="K16" s="21">
        <f t="shared" si="1"/>
        <v>0</v>
      </c>
      <c r="L16" s="21">
        <f t="shared" ca="1" si="1"/>
        <v>0</v>
      </c>
      <c r="M16" s="21">
        <f t="shared" si="1"/>
        <v>0</v>
      </c>
      <c r="N16" s="21">
        <f t="shared" ca="1" si="1"/>
        <v>514.57116242303562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0.21285511769116128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3468.5535359517899</v>
      </c>
      <c r="C20" s="23">
        <f t="shared" ref="C20:P20" ca="1" si="2">C16*C18</f>
        <v>0</v>
      </c>
      <c r="D20" s="23">
        <f t="shared" ca="1" si="2"/>
        <v>2384.9456248925753</v>
      </c>
      <c r="E20" s="23">
        <f t="shared" si="2"/>
        <v>82.89279286091319</v>
      </c>
      <c r="F20" s="23">
        <f t="shared" ca="1" si="2"/>
        <v>810.02722659525011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2948.6951973473997</v>
      </c>
      <c r="C26" s="39">
        <f>IF(ISERROR(B26*3.6/1000000/'E Balans VL '!Z12*100),0,B26*3.6/1000000/'E Balans VL '!Z12*100)</f>
        <v>6.2050400385276566E-2</v>
      </c>
      <c r="D26" s="238" t="s">
        <v>718</v>
      </c>
      <c r="F26" s="6"/>
    </row>
    <row r="27" spans="1:18">
      <c r="A27" s="232" t="s">
        <v>52</v>
      </c>
      <c r="B27" s="33">
        <f>IF(ISERROR(TER_horeca_ele_kWh/1000),0,TER_horeca_ele_kWh/1000)</f>
        <v>2116.9699835514102</v>
      </c>
      <c r="C27" s="39">
        <f>IF(ISERROR(B27*3.6/1000000/'E Balans VL '!Z9*100),0,B27*3.6/1000000/'E Balans VL '!Z9*100)</f>
        <v>0.17923789987673217</v>
      </c>
      <c r="D27" s="238" t="s">
        <v>718</v>
      </c>
      <c r="F27" s="6"/>
    </row>
    <row r="28" spans="1:18">
      <c r="A28" s="172" t="s">
        <v>51</v>
      </c>
      <c r="B28" s="33">
        <f>IF(ISERROR(TER_handel_ele_kWh/1000),0,TER_handel_ele_kWh/1000)</f>
        <v>4005.8859812879</v>
      </c>
      <c r="C28" s="39">
        <f>IF(ISERROR(B28*3.6/1000000/'E Balans VL '!Z13*100),0,B28*3.6/1000000/'E Balans VL '!Z13*100)</f>
        <v>0.11090239946186481</v>
      </c>
      <c r="D28" s="238" t="s">
        <v>718</v>
      </c>
      <c r="F28" s="6"/>
    </row>
    <row r="29" spans="1:18">
      <c r="A29" s="232" t="s">
        <v>50</v>
      </c>
      <c r="B29" s="33">
        <f>IF(ISERROR(TER_gezond_ele_kWh/1000),0,TER_gezond_ele_kWh/1000)</f>
        <v>394.92599468779304</v>
      </c>
      <c r="C29" s="39">
        <f>IF(ISERROR(B29*3.6/1000000/'E Balans VL '!Z10*100),0,B29*3.6/1000000/'E Balans VL '!Z10*100)</f>
        <v>5.133600104430127E-2</v>
      </c>
      <c r="D29" s="238" t="s">
        <v>718</v>
      </c>
      <c r="F29" s="6"/>
    </row>
    <row r="30" spans="1:18">
      <c r="A30" s="232" t="s">
        <v>49</v>
      </c>
      <c r="B30" s="33">
        <f>IF(ISERROR(TER_ander_ele_kWh/1000),0,TER_ander_ele_kWh/1000)</f>
        <v>1462.1868286490701</v>
      </c>
      <c r="C30" s="39">
        <f>IF(ISERROR(B30*3.6/1000000/'E Balans VL '!Z14*100),0,B30*3.6/1000000/'E Balans VL '!Z14*100)</f>
        <v>0.11333288849787002</v>
      </c>
      <c r="D30" s="238" t="s">
        <v>718</v>
      </c>
      <c r="F30" s="6"/>
    </row>
    <row r="31" spans="1:18">
      <c r="A31" s="232" t="s">
        <v>54</v>
      </c>
      <c r="B31" s="33">
        <f>IF(ISERROR(TER_onderwijs_ele_kWh/1000),0,TER_onderwijs_ele_kWh/1000)</f>
        <v>107.21911854079499</v>
      </c>
      <c r="C31" s="39">
        <f>IF(ISERROR(B31*3.6/1000000/'E Balans VL '!Z11*100),0,B31*3.6/1000000/'E Balans VL '!Z11*100)</f>
        <v>2.0512844351971312E-2</v>
      </c>
      <c r="D31" s="238" t="s">
        <v>718</v>
      </c>
    </row>
    <row r="32" spans="1:18">
      <c r="A32" s="232" t="s">
        <v>259</v>
      </c>
      <c r="B32" s="33">
        <f>IF(ISERROR(TER_rest_ele_kWh/1000),0,TER_rest_ele_kWh/1000)</f>
        <v>5259.4898875516101</v>
      </c>
      <c r="C32" s="39">
        <f>IF(ISERROR(B32*3.6/1000000/'E Balans VL '!Z8*100),0,B32*3.6/1000000/'E Balans VL '!Z8*100)</f>
        <v>4.3368532967002396E-2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2</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2748.6534590424858</v>
      </c>
      <c r="C5" s="17">
        <f>IF(ISERROR('Eigen informatie GS &amp; warmtenet'!B59),0,'Eigen informatie GS &amp; warmtenet'!B59)</f>
        <v>0</v>
      </c>
      <c r="D5" s="30">
        <f>SUM(D6:D15)</f>
        <v>993.12146387560915</v>
      </c>
      <c r="E5" s="17">
        <f>SUM(E6:E15)</f>
        <v>28.969604504571507</v>
      </c>
      <c r="F5" s="17">
        <f>SUM(F6:F15)</f>
        <v>754.84504814261913</v>
      </c>
      <c r="G5" s="18"/>
      <c r="H5" s="17"/>
      <c r="I5" s="17"/>
      <c r="J5" s="17">
        <f>SUM(J6:J15)</f>
        <v>14.169535227006703</v>
      </c>
      <c r="K5" s="17"/>
      <c r="L5" s="17"/>
      <c r="M5" s="17"/>
      <c r="N5" s="17">
        <f>SUM(N6:N15)</f>
        <v>68.663555147419814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186.414352806213</v>
      </c>
      <c r="C8" s="33"/>
      <c r="D8" s="37">
        <f>IF( ISERROR(IND_metaal_Gas_kWH/1000),0,IND_metaal_Gas_kWH/1000)*0.902</f>
        <v>0</v>
      </c>
      <c r="E8" s="33">
        <f>C30*'E Balans VL '!I18/100/3.6*1000000</f>
        <v>1.3098925267080002</v>
      </c>
      <c r="F8" s="33">
        <f>C30*'E Balans VL '!L18/100/3.6*1000000+C30*'E Balans VL '!N18/100/3.6*1000000</f>
        <v>20.467205306809021</v>
      </c>
      <c r="G8" s="34"/>
      <c r="H8" s="33"/>
      <c r="I8" s="33"/>
      <c r="J8" s="40">
        <f>C30*'E Balans VL '!D18/100/3.6*1000000+C30*'E Balans VL '!E18/100/3.6*1000000</f>
        <v>3.8461298943544713</v>
      </c>
      <c r="K8" s="33"/>
      <c r="L8" s="33"/>
      <c r="M8" s="33"/>
      <c r="N8" s="33">
        <f>C30*'E Balans VL '!Y18/100/3.6*1000000</f>
        <v>0.69869441986497482</v>
      </c>
      <c r="O8" s="33"/>
      <c r="P8" s="33"/>
      <c r="R8" s="32"/>
    </row>
    <row r="9" spans="1:18">
      <c r="A9" s="6" t="s">
        <v>32</v>
      </c>
      <c r="B9" s="37">
        <f t="shared" si="0"/>
        <v>506.71819335326302</v>
      </c>
      <c r="C9" s="33"/>
      <c r="D9" s="37">
        <f>IF( ISERROR(IND_andere_gas_kWh/1000),0,IND_andere_gas_kWh/1000)*0.902</f>
        <v>86.614019925400953</v>
      </c>
      <c r="E9" s="33">
        <f>C31*'E Balans VL '!I19/100/3.6*1000000</f>
        <v>8.510952806974343</v>
      </c>
      <c r="F9" s="33">
        <f>C31*'E Balans VL '!L19/100/3.6*1000000+C31*'E Balans VL '!N19/100/3.6*1000000</f>
        <v>396.12342305023219</v>
      </c>
      <c r="G9" s="34"/>
      <c r="H9" s="33"/>
      <c r="I9" s="33"/>
      <c r="J9" s="40">
        <f>C31*'E Balans VL '!D19/100/3.6*1000000+C31*'E Balans VL '!E19/100/3.6*1000000</f>
        <v>4.5701508043928807E-2</v>
      </c>
      <c r="K9" s="33"/>
      <c r="L9" s="33"/>
      <c r="M9" s="33"/>
      <c r="N9" s="33">
        <f>C31*'E Balans VL '!Y19/100/3.6*1000000</f>
        <v>37.555947705183335</v>
      </c>
      <c r="O9" s="33"/>
      <c r="P9" s="33"/>
      <c r="R9" s="32"/>
    </row>
    <row r="10" spans="1:18">
      <c r="A10" s="6" t="s">
        <v>40</v>
      </c>
      <c r="B10" s="37">
        <f t="shared" si="0"/>
        <v>920.56365723667</v>
      </c>
      <c r="C10" s="33"/>
      <c r="D10" s="37">
        <f>IF( ISERROR(IND_voed_gas_kWh/1000),0,IND_voed_gas_kWh/1000)*0.902</f>
        <v>203.77889932422892</v>
      </c>
      <c r="E10" s="33">
        <f>C32*'E Balans VL '!I20/100/3.6*1000000</f>
        <v>8.3988402684180024</v>
      </c>
      <c r="F10" s="33">
        <f>C32*'E Balans VL '!L20/100/3.6*1000000+C32*'E Balans VL '!N20/100/3.6*1000000</f>
        <v>148.51571145841626</v>
      </c>
      <c r="G10" s="34"/>
      <c r="H10" s="33"/>
      <c r="I10" s="33"/>
      <c r="J10" s="40">
        <f>C32*'E Balans VL '!D20/100/3.6*1000000+C32*'E Balans VL '!E20/100/3.6*1000000</f>
        <v>3.7914846912492139</v>
      </c>
      <c r="K10" s="33"/>
      <c r="L10" s="33"/>
      <c r="M10" s="33"/>
      <c r="N10" s="33">
        <f>C32*'E Balans VL '!Y20/100/3.6*1000000</f>
        <v>13.467120420556018</v>
      </c>
      <c r="O10" s="33"/>
      <c r="P10" s="33"/>
      <c r="R10" s="32"/>
    </row>
    <row r="11" spans="1:18">
      <c r="A11" s="6" t="s">
        <v>39</v>
      </c>
      <c r="B11" s="37">
        <f t="shared" si="0"/>
        <v>156.19614841574702</v>
      </c>
      <c r="C11" s="33"/>
      <c r="D11" s="37">
        <f>IF( ISERROR(IND_textiel_gas_kWh/1000),0,IND_textiel_gas_kWh/1000)*0.902</f>
        <v>0</v>
      </c>
      <c r="E11" s="33">
        <f>C33*'E Balans VL '!I21/100/3.6*1000000</f>
        <v>0.35625444138954154</v>
      </c>
      <c r="F11" s="33">
        <f>C33*'E Balans VL '!L21/100/3.6*1000000+C33*'E Balans VL '!N21/100/3.6*1000000</f>
        <v>3.3388375436615827</v>
      </c>
      <c r="G11" s="34"/>
      <c r="H11" s="33"/>
      <c r="I11" s="33"/>
      <c r="J11" s="40">
        <f>C33*'E Balans VL '!D21/100/3.6*1000000+C33*'E Balans VL '!E21/100/3.6*1000000</f>
        <v>0</v>
      </c>
      <c r="K11" s="33"/>
      <c r="L11" s="33"/>
      <c r="M11" s="33"/>
      <c r="N11" s="33">
        <f>C33*'E Balans VL '!Y21/100/3.6*1000000</f>
        <v>1.108034404509866</v>
      </c>
      <c r="O11" s="33"/>
      <c r="P11" s="33"/>
      <c r="R11" s="32"/>
    </row>
    <row r="12" spans="1:18">
      <c r="A12" s="6" t="s">
        <v>36</v>
      </c>
      <c r="B12" s="37">
        <f t="shared" si="0"/>
        <v>98.905356970710613</v>
      </c>
      <c r="C12" s="33"/>
      <c r="D12" s="37">
        <f>IF( ISERROR(IND_min_gas_kWh/1000),0,IND_min_gas_kWh/1000)*0.902</f>
        <v>0</v>
      </c>
      <c r="E12" s="33">
        <f>C34*'E Balans VL '!I22/100/3.6*1000000</f>
        <v>2.4531743989678443</v>
      </c>
      <c r="F12" s="33">
        <f>C34*'E Balans VL '!L22/100/3.6*1000000+C34*'E Balans VL '!N22/100/3.6*1000000</f>
        <v>10.509641196561125</v>
      </c>
      <c r="G12" s="34"/>
      <c r="H12" s="33"/>
      <c r="I12" s="33"/>
      <c r="J12" s="40">
        <f>C34*'E Balans VL '!D22/100/3.6*1000000+C34*'E Balans VL '!E22/100/3.6*1000000</f>
        <v>0.5618404615186966</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879.85575025988192</v>
      </c>
      <c r="C15" s="33"/>
      <c r="D15" s="37">
        <f>IF( ISERROR(IND_rest_gas_kWh/1000),0,IND_rest_gas_kWh/1000)*0.902</f>
        <v>702.72854462597934</v>
      </c>
      <c r="E15" s="33">
        <f>C37*'E Balans VL '!I15/100/3.6*1000000</f>
        <v>7.9404900621137724</v>
      </c>
      <c r="F15" s="33">
        <f>C37*'E Balans VL '!L15/100/3.6*1000000+C37*'E Balans VL '!N15/100/3.6*1000000</f>
        <v>175.89022958693897</v>
      </c>
      <c r="G15" s="34"/>
      <c r="H15" s="33"/>
      <c r="I15" s="33"/>
      <c r="J15" s="40">
        <f>C37*'E Balans VL '!D15/100/3.6*1000000+C37*'E Balans VL '!E15/100/3.6*1000000</f>
        <v>5.9243786718403921</v>
      </c>
      <c r="K15" s="33"/>
      <c r="L15" s="33"/>
      <c r="M15" s="33"/>
      <c r="N15" s="33">
        <f>C37*'E Balans VL '!Y15/100/3.6*1000000</f>
        <v>15.833758197305619</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2748.6534590424858</v>
      </c>
      <c r="C18" s="21">
        <f>C5+C16</f>
        <v>0</v>
      </c>
      <c r="D18" s="21">
        <f>MAX((D5+D16),0)</f>
        <v>993.12146387560915</v>
      </c>
      <c r="E18" s="21">
        <f>MAX((E5+E16),0)</f>
        <v>28.969604504571507</v>
      </c>
      <c r="F18" s="21">
        <f>MAX((F5+F16),0)</f>
        <v>754.84504814261913</v>
      </c>
      <c r="G18" s="21"/>
      <c r="H18" s="21"/>
      <c r="I18" s="21"/>
      <c r="J18" s="21">
        <f>MAX((J5+J16),0)</f>
        <v>14.169535227006703</v>
      </c>
      <c r="K18" s="21"/>
      <c r="L18" s="21">
        <f>MAX((L5+L16),0)</f>
        <v>0</v>
      </c>
      <c r="M18" s="21"/>
      <c r="N18" s="21">
        <f>MAX((N5+N16),0)</f>
        <v>68.663555147419814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0.21285511769116128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585.06495551670582</v>
      </c>
      <c r="C22" s="23">
        <f ca="1">C18*C20</f>
        <v>0</v>
      </c>
      <c r="D22" s="23">
        <f>D18*D20</f>
        <v>200.61053570287305</v>
      </c>
      <c r="E22" s="23">
        <f>E18*E20</f>
        <v>6.5761002225377325</v>
      </c>
      <c r="F22" s="23">
        <f>F18*F20</f>
        <v>201.54362785407932</v>
      </c>
      <c r="G22" s="23"/>
      <c r="H22" s="23"/>
      <c r="I22" s="23"/>
      <c r="J22" s="23">
        <f>J18*J20</f>
        <v>5.0160154703603723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186.414352806213</v>
      </c>
      <c r="C30" s="39">
        <f>IF(ISERROR(B30*3.6/1000000/'E Balans VL '!Z18*100),0,B30*3.6/1000000/'E Balans VL '!Z18*100)</f>
        <v>1.2409717300452521E-2</v>
      </c>
      <c r="D30" s="238" t="s">
        <v>718</v>
      </c>
    </row>
    <row r="31" spans="1:18">
      <c r="A31" s="6" t="s">
        <v>32</v>
      </c>
      <c r="B31" s="37">
        <f>IF( ISERROR(IND_ander_ele_kWh/1000),0,IND_ander_ele_kWh/1000)</f>
        <v>506.71819335326302</v>
      </c>
      <c r="C31" s="39">
        <f>IF(ISERROR(B31*3.6/1000000/'E Balans VL '!Z19*100),0,B31*3.6/1000000/'E Balans VL '!Z19*100)</f>
        <v>2.2460809414081056E-2</v>
      </c>
      <c r="D31" s="238" t="s">
        <v>718</v>
      </c>
    </row>
    <row r="32" spans="1:18">
      <c r="A32" s="172" t="s">
        <v>40</v>
      </c>
      <c r="B32" s="37">
        <f>IF( ISERROR(IND_voed_ele_kWh/1000),0,IND_voed_ele_kWh/1000)</f>
        <v>920.56365723667</v>
      </c>
      <c r="C32" s="39">
        <f>IF(ISERROR(B32*3.6/1000000/'E Balans VL '!Z20*100),0,B32*3.6/1000000/'E Balans VL '!Z20*100)</f>
        <v>3.0749466907056853E-2</v>
      </c>
      <c r="D32" s="238" t="s">
        <v>718</v>
      </c>
    </row>
    <row r="33" spans="1:5">
      <c r="A33" s="172" t="s">
        <v>39</v>
      </c>
      <c r="B33" s="37">
        <f>IF( ISERROR(IND_textiel_ele_kWh/1000),0,IND_textiel_ele_kWh/1000)</f>
        <v>156.19614841574702</v>
      </c>
      <c r="C33" s="39">
        <f>IF(ISERROR(B33*3.6/1000000/'E Balans VL '!Z21*100),0,B33*3.6/1000000/'E Balans VL '!Z21*100)</f>
        <v>2.0563583133495815E-2</v>
      </c>
      <c r="D33" s="238" t="s">
        <v>718</v>
      </c>
    </row>
    <row r="34" spans="1:5">
      <c r="A34" s="172" t="s">
        <v>36</v>
      </c>
      <c r="B34" s="37">
        <f>IF( ISERROR(IND_min_ele_kWh/1000),0,IND_min_ele_kWh/1000)</f>
        <v>98.905356970710613</v>
      </c>
      <c r="C34" s="39">
        <f>IF(ISERROR(B34*3.6/1000000/'E Balans VL '!Z22*100),0,B34*3.6/1000000/'E Balans VL '!Z22*100)</f>
        <v>1.9236005517212378E-2</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879.85575025988192</v>
      </c>
      <c r="C37" s="39">
        <f>IF(ISERROR(B37*3.6/1000000/'E Balans VL '!Z15*100),0,B37*3.6/1000000/'E Balans VL '!Z15*100)</f>
        <v>6.5446933743037432E-3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620.80993626729605</v>
      </c>
      <c r="C5" s="17">
        <f>'Eigen informatie GS &amp; warmtenet'!B60</f>
        <v>0</v>
      </c>
      <c r="D5" s="30">
        <f>IF(ISERROR(SUM(LB_lb_gas_kWh,LB_rest_gas_kWh)/1000),0,SUM(LB_lb_gas_kWh,LB_rest_gas_kWh)/1000)*0.902</f>
        <v>36.737249765335534</v>
      </c>
      <c r="E5" s="17">
        <f>B17*'E Balans VL '!I25/3.6*1000000/100</f>
        <v>6.5012560524615308</v>
      </c>
      <c r="F5" s="17">
        <f>B17*('E Balans VL '!L25/3.6*1000000+'E Balans VL '!N25/3.6*1000000)/100</f>
        <v>2657.5382425930088</v>
      </c>
      <c r="G5" s="18"/>
      <c r="H5" s="17"/>
      <c r="I5" s="17"/>
      <c r="J5" s="17">
        <f>('E Balans VL '!D25+'E Balans VL '!E25)/3.6*1000000*landbouw!B17/100</f>
        <v>55.443891723055323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620.80993626729605</v>
      </c>
      <c r="C8" s="21">
        <f>C5+C6</f>
        <v>0</v>
      </c>
      <c r="D8" s="21">
        <f>MAX((D5+D6),0)</f>
        <v>36.737249765335534</v>
      </c>
      <c r="E8" s="21">
        <f>MAX((E5+E6),0)</f>
        <v>6.5012560524615308</v>
      </c>
      <c r="F8" s="21">
        <f>MAX((F5+F6),0)</f>
        <v>2657.5382425930088</v>
      </c>
      <c r="G8" s="21"/>
      <c r="H8" s="21"/>
      <c r="I8" s="21"/>
      <c r="J8" s="21">
        <f>MAX((J5+J6),0)</f>
        <v>55.443891723055323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0.21285511769116128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132.14257204801763</v>
      </c>
      <c r="C12" s="23">
        <f ca="1">C8*C10</f>
        <v>0</v>
      </c>
      <c r="D12" s="23">
        <f>D8*D10</f>
        <v>7.4209244525977782</v>
      </c>
      <c r="E12" s="23">
        <f>E8*E10</f>
        <v>1.4757851239087676</v>
      </c>
      <c r="F12" s="23">
        <f>F8*F10</f>
        <v>709.56271077233339</v>
      </c>
      <c r="G12" s="23"/>
      <c r="H12" s="23"/>
      <c r="I12" s="23"/>
      <c r="J12" s="23">
        <f>J8*J10</f>
        <v>19.627137669961584</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9.5554633037902917E-2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126.14629329779503</v>
      </c>
      <c r="C26" s="248">
        <f>B26*'GWP N2O_CH4'!B5</f>
        <v>2649.0721592536956</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28.055385168143879</v>
      </c>
      <c r="C27" s="248">
        <f>B27*'GWP N2O_CH4'!B5</f>
        <v>589.16308853102146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2.2997206642425394</v>
      </c>
      <c r="C28" s="248">
        <f>B28*'GWP N2O_CH4'!B4</f>
        <v>712.91340591518724</v>
      </c>
      <c r="D28" s="50"/>
    </row>
    <row r="29" spans="1:4">
      <c r="A29" s="41" t="s">
        <v>276</v>
      </c>
      <c r="B29" s="248">
        <f>B34*'ha_N2O bodem landbouw'!B4</f>
        <v>15.313000146606637</v>
      </c>
      <c r="C29" s="248">
        <f>B29*'GWP N2O_CH4'!B4</f>
        <v>4747.0300454480575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2.5306743905267729E-3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5.4787276207754099E-6</v>
      </c>
      <c r="C5" s="443" t="s">
        <v>210</v>
      </c>
      <c r="D5" s="428">
        <f>SUM(D6:D11)</f>
        <v>3.3676594935612528E-5</v>
      </c>
      <c r="E5" s="428">
        <f>SUM(E6:E11)</f>
        <v>3.3966540246244711E-3</v>
      </c>
      <c r="F5" s="441" t="s">
        <v>210</v>
      </c>
      <c r="G5" s="428">
        <f>SUM(G6:G11)</f>
        <v>0.58991204759231797</v>
      </c>
      <c r="H5" s="428">
        <f>SUM(H6:H11)</f>
        <v>0.1143626924644207</v>
      </c>
      <c r="I5" s="443" t="s">
        <v>210</v>
      </c>
      <c r="J5" s="443" t="s">
        <v>210</v>
      </c>
      <c r="K5" s="443" t="s">
        <v>210</v>
      </c>
      <c r="L5" s="443" t="s">
        <v>210</v>
      </c>
      <c r="M5" s="428">
        <f>SUM(M6:M11)</f>
        <v>3.0676476094901588E-2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2.8454435909025749E-6</v>
      </c>
      <c r="C6" s="429"/>
      <c r="D6" s="429">
        <f>vkm_GW_PW*SUMIFS(TableVerdeelsleutelVkm[CNG],TableVerdeelsleutelVkm[Voertuigtype],"Lichte voertuigen")*SUMIFS(TableECFTransport[EnergieConsumptieFactor (PJ per km)],TableECFTransport[Index],CONCATENATE($A6,"_CNG_CNG"))</f>
        <v>1.349666523365659E-5</v>
      </c>
      <c r="E6" s="431">
        <f>vkm_GW_PW*SUMIFS(TableVerdeelsleutelVkm[LPG],TableVerdeelsleutelVkm[Voertuigtype],"Lichte voertuigen")*SUMIFS(TableECFTransport[EnergieConsumptieFactor (PJ per km)],TableECFTransport[Index],CONCATENATE($A6,"_LPG_LPG"))</f>
        <v>1.3966233082058173E-3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0.18916922386471285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4.7101020500617388E-2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1.0317082494010072E-2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8.2948215747719878E-2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2.3036639575756894E-6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3.5734462896278045E-3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2.347400391158925E-6</v>
      </c>
      <c r="C8" s="429"/>
      <c r="D8" s="431">
        <f>vkm_NGW_PW*SUMIFS(TableVerdeelsleutelVkm[CNG],TableVerdeelsleutelVkm[Voertuigtype],"Lichte voertuigen")*SUMIFS(TableECFTransport[EnergieConsumptieFactor (PJ per km)],TableECFTransport[Index],CONCATENATE($A8,"_CNG_CNG"))</f>
        <v>1.8837181578851238E-5</v>
      </c>
      <c r="E8" s="431">
        <f>vkm_NGW_PW*SUMIFS(TableVerdeelsleutelVkm[LPG],TableVerdeelsleutelVkm[Voertuigtype],"Lichte voertuigen")*SUMIFS(TableECFTransport[EnergieConsumptieFactor (PJ per km)],TableECFTransport[Index],CONCATENATE($A8,"_LPG_LPG"))</f>
        <v>1.8263652550535685E-3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0.23710546452857023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6.2275240666476689E-2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1.3080531011174134E-2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4.7239134716913961E-2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1.5796495005514583E-6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2.0350954049088471E-3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2.8588363871391E-7</v>
      </c>
      <c r="C10" s="429"/>
      <c r="D10" s="431">
        <f>vkm_SW_PW*SUMIFS(TableVerdeelsleutelVkm[CNG],TableVerdeelsleutelVkm[Voertuigtype],"Lichte voertuigen")*SUMIFS(TableECFTransport[EnergieConsumptieFactor (PJ per km)],TableECFTransport[Index],CONCATENATE($A10,"_CNG_CNG"))</f>
        <v>1.3427481231047029E-6</v>
      </c>
      <c r="E10" s="431">
        <f>vkm_SW_PW*SUMIFS(TableVerdeelsleutelVkm[LPG],TableVerdeelsleutelVkm[Voertuigtype],"Lichte voertuigen")*SUMIFS(TableECFTransport[EnergieConsumptieFactor (PJ per km)],TableECFTransport[Index],CONCATENATE($A10,"_LPG_LPG"))</f>
        <v>1.736654613650855E-4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2.1632230782638685E-2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4.9822032269244082E-3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1.161204965739294E-3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1.1817777951762363E-2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3.4475694407409437E-7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5.0911592944143721E-4</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1.521868783548725</v>
      </c>
      <c r="C14" s="21"/>
      <c r="D14" s="21">
        <f t="shared" ref="D14:M14" si="0">((D5)*10^9/3600)+D12</f>
        <v>9.3546097043368128</v>
      </c>
      <c r="E14" s="21">
        <f t="shared" si="0"/>
        <v>943.51500684013081</v>
      </c>
      <c r="F14" s="21"/>
      <c r="G14" s="21">
        <f t="shared" si="0"/>
        <v>163864.45766453276</v>
      </c>
      <c r="H14" s="21">
        <f t="shared" si="0"/>
        <v>31767.414573450191</v>
      </c>
      <c r="I14" s="21"/>
      <c r="J14" s="21"/>
      <c r="K14" s="21"/>
      <c r="L14" s="21"/>
      <c r="M14" s="21">
        <f t="shared" si="0"/>
        <v>8521.2433596948849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0.21285511769116128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0.32393755903276833</v>
      </c>
      <c r="C18" s="23"/>
      <c r="D18" s="23">
        <f t="shared" ref="D18:M18" si="1">D14*D16</f>
        <v>1.8896311602760363</v>
      </c>
      <c r="E18" s="23">
        <f t="shared" si="1"/>
        <v>214.17790655270971</v>
      </c>
      <c r="F18" s="23"/>
      <c r="G18" s="23">
        <f t="shared" si="1"/>
        <v>43751.810196430248</v>
      </c>
      <c r="H18" s="23">
        <f t="shared" si="1"/>
        <v>7910.0862287890977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4.1507483620158931E-3</v>
      </c>
      <c r="H50" s="320">
        <f t="shared" si="2"/>
        <v>0</v>
      </c>
      <c r="I50" s="320">
        <f t="shared" si="2"/>
        <v>0</v>
      </c>
      <c r="J50" s="320">
        <f t="shared" si="2"/>
        <v>0</v>
      </c>
      <c r="K50" s="320">
        <f t="shared" si="2"/>
        <v>0</v>
      </c>
      <c r="L50" s="320">
        <f t="shared" si="2"/>
        <v>0</v>
      </c>
      <c r="M50" s="320">
        <f t="shared" si="2"/>
        <v>1.7650508245677554E-4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4.1507483620158931E-3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1.7650508245677554E-4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1152.9856561155259</v>
      </c>
      <c r="H54" s="21">
        <f t="shared" si="3"/>
        <v>0</v>
      </c>
      <c r="I54" s="21">
        <f t="shared" si="3"/>
        <v>0</v>
      </c>
      <c r="J54" s="21">
        <f t="shared" si="3"/>
        <v>0</v>
      </c>
      <c r="K54" s="21">
        <f t="shared" si="3"/>
        <v>0</v>
      </c>
      <c r="L54" s="21">
        <f t="shared" si="3"/>
        <v>0</v>
      </c>
      <c r="M54" s="21">
        <f t="shared" si="3"/>
        <v>49.02918957132654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0.21285511769116128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307.84717018284545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17671.098991615978</v>
      </c>
      <c r="D10" s="684">
        <f ca="1">tertiair!C16</f>
        <v>0</v>
      </c>
      <c r="E10" s="684">
        <f ca="1">tertiair!D16</f>
        <v>11806.661509369183</v>
      </c>
      <c r="F10" s="684">
        <f>tertiair!E16</f>
        <v>365.16648837406689</v>
      </c>
      <c r="G10" s="684">
        <f ca="1">tertiair!F16</f>
        <v>3033.8098374353935</v>
      </c>
      <c r="H10" s="684">
        <f>tertiair!G16</f>
        <v>0</v>
      </c>
      <c r="I10" s="684">
        <f>tertiair!H16</f>
        <v>0</v>
      </c>
      <c r="J10" s="684">
        <f>tertiair!I16</f>
        <v>0</v>
      </c>
      <c r="K10" s="684">
        <f>tertiair!J16</f>
        <v>0</v>
      </c>
      <c r="L10" s="684">
        <f>tertiair!K16</f>
        <v>0</v>
      </c>
      <c r="M10" s="684">
        <f ca="1">tertiair!L16</f>
        <v>0</v>
      </c>
      <c r="N10" s="684">
        <f>tertiair!M16</f>
        <v>0</v>
      </c>
      <c r="O10" s="684">
        <f ca="1">tertiair!N16</f>
        <v>514.57116242303562</v>
      </c>
      <c r="P10" s="684">
        <f>tertiair!O16</f>
        <v>0</v>
      </c>
      <c r="Q10" s="685">
        <f>tertiair!P16</f>
        <v>38.133333333333333</v>
      </c>
      <c r="R10" s="687">
        <f ca="1">SUM(C10:Q10)</f>
        <v>33429.441322550992</v>
      </c>
      <c r="S10" s="67"/>
    </row>
    <row r="11" spans="1:19" s="453" customFormat="1">
      <c r="A11" s="799" t="s">
        <v>224</v>
      </c>
      <c r="B11" s="804"/>
      <c r="C11" s="684">
        <f>huishoudens!B8</f>
        <v>42746.41350092207</v>
      </c>
      <c r="D11" s="684">
        <f>huishoudens!C8</f>
        <v>0</v>
      </c>
      <c r="E11" s="684">
        <f>huishoudens!D8</f>
        <v>41041.346263061052</v>
      </c>
      <c r="F11" s="684">
        <f>huishoudens!E8</f>
        <v>21101.839023916629</v>
      </c>
      <c r="G11" s="684">
        <f>huishoudens!F8</f>
        <v>117162.24975713596</v>
      </c>
      <c r="H11" s="684">
        <f>huishoudens!G8</f>
        <v>0</v>
      </c>
      <c r="I11" s="684">
        <f>huishoudens!H8</f>
        <v>0</v>
      </c>
      <c r="J11" s="684">
        <f>huishoudens!I8</f>
        <v>0</v>
      </c>
      <c r="K11" s="684">
        <f>huishoudens!J8</f>
        <v>1454.5701492497778</v>
      </c>
      <c r="L11" s="684">
        <f>huishoudens!K8</f>
        <v>0</v>
      </c>
      <c r="M11" s="684">
        <f>huishoudens!L8</f>
        <v>0</v>
      </c>
      <c r="N11" s="684">
        <f>huishoudens!M8</f>
        <v>0</v>
      </c>
      <c r="O11" s="684">
        <f>huishoudens!N8</f>
        <v>9235.8247137739945</v>
      </c>
      <c r="P11" s="684">
        <f>huishoudens!O8</f>
        <v>121.94000000000001</v>
      </c>
      <c r="Q11" s="685">
        <f>huishoudens!P8</f>
        <v>533.86666666666667</v>
      </c>
      <c r="R11" s="687">
        <f>SUM(C11:Q11)</f>
        <v>233398.05007472614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2748.6534590424858</v>
      </c>
      <c r="D13" s="684">
        <f>industrie!C18</f>
        <v>0</v>
      </c>
      <c r="E13" s="684">
        <f>industrie!D18</f>
        <v>993.12146387560915</v>
      </c>
      <c r="F13" s="684">
        <f>industrie!E18</f>
        <v>28.969604504571507</v>
      </c>
      <c r="G13" s="684">
        <f>industrie!F18</f>
        <v>754.84504814261913</v>
      </c>
      <c r="H13" s="684">
        <f>industrie!G18</f>
        <v>0</v>
      </c>
      <c r="I13" s="684">
        <f>industrie!H18</f>
        <v>0</v>
      </c>
      <c r="J13" s="684">
        <f>industrie!I18</f>
        <v>0</v>
      </c>
      <c r="K13" s="684">
        <f>industrie!J18</f>
        <v>14.169535227006703</v>
      </c>
      <c r="L13" s="684">
        <f>industrie!K18</f>
        <v>0</v>
      </c>
      <c r="M13" s="684">
        <f>industrie!L18</f>
        <v>0</v>
      </c>
      <c r="N13" s="684">
        <f>industrie!M18</f>
        <v>0</v>
      </c>
      <c r="O13" s="684">
        <f>industrie!N18</f>
        <v>68.663555147419814</v>
      </c>
      <c r="P13" s="684">
        <f>industrie!O18</f>
        <v>0</v>
      </c>
      <c r="Q13" s="685">
        <f>industrie!P18</f>
        <v>0</v>
      </c>
      <c r="R13" s="687">
        <f>SUM(C13:Q13)</f>
        <v>4608.4226659397127</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63166.165951580537</v>
      </c>
      <c r="D16" s="717">
        <f t="shared" ref="D16:R16" ca="1" si="0">SUM(D9:D15)</f>
        <v>0</v>
      </c>
      <c r="E16" s="717">
        <f t="shared" ca="1" si="0"/>
        <v>53841.129236305846</v>
      </c>
      <c r="F16" s="717">
        <f t="shared" si="0"/>
        <v>21495.975116795267</v>
      </c>
      <c r="G16" s="717">
        <f t="shared" ca="1" si="0"/>
        <v>120950.90464271397</v>
      </c>
      <c r="H16" s="717">
        <f t="shared" si="0"/>
        <v>0</v>
      </c>
      <c r="I16" s="717">
        <f t="shared" si="0"/>
        <v>0</v>
      </c>
      <c r="J16" s="717">
        <f t="shared" si="0"/>
        <v>0</v>
      </c>
      <c r="K16" s="717">
        <f t="shared" si="0"/>
        <v>1468.7396844767845</v>
      </c>
      <c r="L16" s="717">
        <f t="shared" si="0"/>
        <v>0</v>
      </c>
      <c r="M16" s="717">
        <f t="shared" ca="1" si="0"/>
        <v>0</v>
      </c>
      <c r="N16" s="717">
        <f t="shared" si="0"/>
        <v>0</v>
      </c>
      <c r="O16" s="717">
        <f t="shared" ca="1" si="0"/>
        <v>9819.059431344449</v>
      </c>
      <c r="P16" s="717">
        <f t="shared" si="0"/>
        <v>121.94000000000001</v>
      </c>
      <c r="Q16" s="717">
        <f t="shared" si="0"/>
        <v>572</v>
      </c>
      <c r="R16" s="717">
        <f t="shared" ca="1" si="0"/>
        <v>271435.91406321683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1152.9856561155259</v>
      </c>
      <c r="I19" s="684">
        <f>transport!H54</f>
        <v>0</v>
      </c>
      <c r="J19" s="684">
        <f>transport!I54</f>
        <v>0</v>
      </c>
      <c r="K19" s="684">
        <f>transport!J54</f>
        <v>0</v>
      </c>
      <c r="L19" s="684">
        <f>transport!K54</f>
        <v>0</v>
      </c>
      <c r="M19" s="684">
        <f>transport!L54</f>
        <v>0</v>
      </c>
      <c r="N19" s="684">
        <f>transport!M54</f>
        <v>49.02918957132654</v>
      </c>
      <c r="O19" s="684">
        <f>transport!N54</f>
        <v>0</v>
      </c>
      <c r="P19" s="684">
        <f>transport!O54</f>
        <v>0</v>
      </c>
      <c r="Q19" s="685">
        <f>transport!P54</f>
        <v>0</v>
      </c>
      <c r="R19" s="687">
        <f>SUM(C19:Q19)</f>
        <v>1202.0148456868524</v>
      </c>
      <c r="S19" s="67"/>
    </row>
    <row r="20" spans="1:19" s="453" customFormat="1">
      <c r="A20" s="799" t="s">
        <v>306</v>
      </c>
      <c r="B20" s="804"/>
      <c r="C20" s="684">
        <f>transport!B14</f>
        <v>1.521868783548725</v>
      </c>
      <c r="D20" s="684">
        <f>transport!C14</f>
        <v>0</v>
      </c>
      <c r="E20" s="684">
        <f>transport!D14</f>
        <v>9.3546097043368128</v>
      </c>
      <c r="F20" s="684">
        <f>transport!E14</f>
        <v>943.51500684013081</v>
      </c>
      <c r="G20" s="684">
        <f>transport!F14</f>
        <v>0</v>
      </c>
      <c r="H20" s="684">
        <f>transport!G14</f>
        <v>163864.45766453276</v>
      </c>
      <c r="I20" s="684">
        <f>transport!H14</f>
        <v>31767.414573450191</v>
      </c>
      <c r="J20" s="684">
        <f>transport!I14</f>
        <v>0</v>
      </c>
      <c r="K20" s="684">
        <f>transport!J14</f>
        <v>0</v>
      </c>
      <c r="L20" s="684">
        <f>transport!K14</f>
        <v>0</v>
      </c>
      <c r="M20" s="684">
        <f>transport!L14</f>
        <v>0</v>
      </c>
      <c r="N20" s="684">
        <f>transport!M14</f>
        <v>8521.2433596948849</v>
      </c>
      <c r="O20" s="684">
        <f>transport!N14</f>
        <v>0</v>
      </c>
      <c r="P20" s="684">
        <f>transport!O14</f>
        <v>0</v>
      </c>
      <c r="Q20" s="685">
        <f>transport!P14</f>
        <v>0</v>
      </c>
      <c r="R20" s="687">
        <f>SUM(C20:Q20)</f>
        <v>205107.50708300588</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1.521868783548725</v>
      </c>
      <c r="D22" s="802">
        <f t="shared" ref="D22:R22" si="1">SUM(D18:D21)</f>
        <v>0</v>
      </c>
      <c r="E22" s="802">
        <f t="shared" si="1"/>
        <v>9.3546097043368128</v>
      </c>
      <c r="F22" s="802">
        <f t="shared" si="1"/>
        <v>943.51500684013081</v>
      </c>
      <c r="G22" s="802">
        <f t="shared" si="1"/>
        <v>0</v>
      </c>
      <c r="H22" s="802">
        <f t="shared" si="1"/>
        <v>165017.44332064828</v>
      </c>
      <c r="I22" s="802">
        <f t="shared" si="1"/>
        <v>31767.414573450191</v>
      </c>
      <c r="J22" s="802">
        <f t="shared" si="1"/>
        <v>0</v>
      </c>
      <c r="K22" s="802">
        <f t="shared" si="1"/>
        <v>0</v>
      </c>
      <c r="L22" s="802">
        <f t="shared" si="1"/>
        <v>0</v>
      </c>
      <c r="M22" s="802">
        <f t="shared" si="1"/>
        <v>0</v>
      </c>
      <c r="N22" s="802">
        <f t="shared" si="1"/>
        <v>8570.2725492662121</v>
      </c>
      <c r="O22" s="802">
        <f t="shared" si="1"/>
        <v>0</v>
      </c>
      <c r="P22" s="802">
        <f t="shared" si="1"/>
        <v>0</v>
      </c>
      <c r="Q22" s="802">
        <f t="shared" si="1"/>
        <v>0</v>
      </c>
      <c r="R22" s="802">
        <f t="shared" si="1"/>
        <v>206309.52192869273</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620.80993626729605</v>
      </c>
      <c r="D24" s="684">
        <f>+landbouw!C8</f>
        <v>0</v>
      </c>
      <c r="E24" s="684">
        <f>+landbouw!D8</f>
        <v>36.737249765335534</v>
      </c>
      <c r="F24" s="684">
        <f>+landbouw!E8</f>
        <v>6.5012560524615308</v>
      </c>
      <c r="G24" s="684">
        <f>+landbouw!F8</f>
        <v>2657.5382425930088</v>
      </c>
      <c r="H24" s="684">
        <f>+landbouw!G8</f>
        <v>0</v>
      </c>
      <c r="I24" s="684">
        <f>+landbouw!H8</f>
        <v>0</v>
      </c>
      <c r="J24" s="684">
        <f>+landbouw!I8</f>
        <v>0</v>
      </c>
      <c r="K24" s="684">
        <f>+landbouw!J8</f>
        <v>55.443891723055323</v>
      </c>
      <c r="L24" s="684">
        <f>+landbouw!K8</f>
        <v>0</v>
      </c>
      <c r="M24" s="684">
        <f>+landbouw!L8</f>
        <v>0</v>
      </c>
      <c r="N24" s="684">
        <f>+landbouw!M8</f>
        <v>0</v>
      </c>
      <c r="O24" s="684">
        <f>+landbouw!N8</f>
        <v>0</v>
      </c>
      <c r="P24" s="684">
        <f>+landbouw!O8</f>
        <v>0</v>
      </c>
      <c r="Q24" s="685">
        <f>+landbouw!P8</f>
        <v>0</v>
      </c>
      <c r="R24" s="687">
        <f>SUM(C24:Q24)</f>
        <v>3377.0305764011573</v>
      </c>
      <c r="S24" s="67"/>
    </row>
    <row r="25" spans="1:19" s="453" customFormat="1" ht="15" thickBot="1">
      <c r="A25" s="821" t="s">
        <v>912</v>
      </c>
      <c r="B25" s="978"/>
      <c r="C25" s="979">
        <f>IF(Onbekend_ele_kWh="---",0,Onbekend_ele_kWh)/1000+IF(REST_rest_ele_kWh="---",0,REST_rest_ele_kWh)/1000</f>
        <v>2088.7202045160798</v>
      </c>
      <c r="D25" s="979"/>
      <c r="E25" s="979">
        <f>IF(onbekend_gas_kWh="---",0,onbekend_gas_kWh)/1000+IF(REST_rest_gas_kWh="---",0,REST_rest_gas_kWh)/1000</f>
        <v>2763.4578680980803</v>
      </c>
      <c r="F25" s="979"/>
      <c r="G25" s="979"/>
      <c r="H25" s="979"/>
      <c r="I25" s="979"/>
      <c r="J25" s="979"/>
      <c r="K25" s="979"/>
      <c r="L25" s="979"/>
      <c r="M25" s="979"/>
      <c r="N25" s="979"/>
      <c r="O25" s="979"/>
      <c r="P25" s="979"/>
      <c r="Q25" s="980"/>
      <c r="R25" s="687">
        <f>SUM(C25:Q25)</f>
        <v>4852.1780726141606</v>
      </c>
      <c r="S25" s="67"/>
    </row>
    <row r="26" spans="1:19" s="453" customFormat="1" ht="15.75" thickBot="1">
      <c r="A26" s="690" t="s">
        <v>913</v>
      </c>
      <c r="B26" s="807"/>
      <c r="C26" s="802">
        <f>SUM(C24:C25)</f>
        <v>2709.5301407833758</v>
      </c>
      <c r="D26" s="802">
        <f t="shared" ref="D26:R26" si="2">SUM(D24:D25)</f>
        <v>0</v>
      </c>
      <c r="E26" s="802">
        <f t="shared" si="2"/>
        <v>2800.1951178634158</v>
      </c>
      <c r="F26" s="802">
        <f t="shared" si="2"/>
        <v>6.5012560524615308</v>
      </c>
      <c r="G26" s="802">
        <f t="shared" si="2"/>
        <v>2657.5382425930088</v>
      </c>
      <c r="H26" s="802">
        <f t="shared" si="2"/>
        <v>0</v>
      </c>
      <c r="I26" s="802">
        <f t="shared" si="2"/>
        <v>0</v>
      </c>
      <c r="J26" s="802">
        <f t="shared" si="2"/>
        <v>0</v>
      </c>
      <c r="K26" s="802">
        <f t="shared" si="2"/>
        <v>55.443891723055323</v>
      </c>
      <c r="L26" s="802">
        <f t="shared" si="2"/>
        <v>0</v>
      </c>
      <c r="M26" s="802">
        <f t="shared" si="2"/>
        <v>0</v>
      </c>
      <c r="N26" s="802">
        <f t="shared" si="2"/>
        <v>0</v>
      </c>
      <c r="O26" s="802">
        <f t="shared" si="2"/>
        <v>0</v>
      </c>
      <c r="P26" s="802">
        <f t="shared" si="2"/>
        <v>0</v>
      </c>
      <c r="Q26" s="802">
        <f t="shared" si="2"/>
        <v>0</v>
      </c>
      <c r="R26" s="802">
        <f t="shared" si="2"/>
        <v>8229.2086490153179</v>
      </c>
      <c r="S26" s="67"/>
    </row>
    <row r="27" spans="1:19" s="453" customFormat="1" ht="17.25" thickTop="1" thickBot="1">
      <c r="A27" s="691" t="s">
        <v>115</v>
      </c>
      <c r="B27" s="794"/>
      <c r="C27" s="692">
        <f ca="1">C22+C16+C26</f>
        <v>65877.217961147457</v>
      </c>
      <c r="D27" s="692">
        <f t="shared" ref="D27:R27" ca="1" si="3">D22+D16+D26</f>
        <v>0</v>
      </c>
      <c r="E27" s="692">
        <f t="shared" ca="1" si="3"/>
        <v>56650.678963873601</v>
      </c>
      <c r="F27" s="692">
        <f t="shared" si="3"/>
        <v>22445.991379687861</v>
      </c>
      <c r="G27" s="692">
        <f t="shared" ca="1" si="3"/>
        <v>123608.44288530698</v>
      </c>
      <c r="H27" s="692">
        <f t="shared" si="3"/>
        <v>165017.44332064828</v>
      </c>
      <c r="I27" s="692">
        <f t="shared" si="3"/>
        <v>31767.414573450191</v>
      </c>
      <c r="J27" s="692">
        <f t="shared" si="3"/>
        <v>0</v>
      </c>
      <c r="K27" s="692">
        <f t="shared" si="3"/>
        <v>1524.1835761998398</v>
      </c>
      <c r="L27" s="692">
        <f t="shared" si="3"/>
        <v>0</v>
      </c>
      <c r="M27" s="692">
        <f t="shared" ca="1" si="3"/>
        <v>0</v>
      </c>
      <c r="N27" s="692">
        <f t="shared" si="3"/>
        <v>8570.2725492662121</v>
      </c>
      <c r="O27" s="692">
        <f t="shared" ca="1" si="3"/>
        <v>9819.059431344449</v>
      </c>
      <c r="P27" s="692">
        <f t="shared" si="3"/>
        <v>121.94000000000001</v>
      </c>
      <c r="Q27" s="692">
        <f t="shared" si="3"/>
        <v>572</v>
      </c>
      <c r="R27" s="692">
        <f t="shared" ca="1" si="3"/>
        <v>485974.64464092493</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3761.3838555925804</v>
      </c>
      <c r="D40" s="684">
        <f ca="1">tertiair!C20</f>
        <v>0</v>
      </c>
      <c r="E40" s="684">
        <f ca="1">tertiair!D20</f>
        <v>2384.9456248925753</v>
      </c>
      <c r="F40" s="684">
        <f>tertiair!E20</f>
        <v>82.89279286091319</v>
      </c>
      <c r="G40" s="684">
        <f ca="1">tertiair!F20</f>
        <v>810.02722659525011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7039.2494999413184</v>
      </c>
    </row>
    <row r="41" spans="1:18">
      <c r="A41" s="812" t="s">
        <v>224</v>
      </c>
      <c r="B41" s="819"/>
      <c r="C41" s="684">
        <f ca="1">huishoudens!B12</f>
        <v>9098.792876613812</v>
      </c>
      <c r="D41" s="684">
        <f ca="1">huishoudens!C12</f>
        <v>0</v>
      </c>
      <c r="E41" s="684">
        <f>huishoudens!D12</f>
        <v>8290.3519451383327</v>
      </c>
      <c r="F41" s="684">
        <f>huishoudens!E12</f>
        <v>4790.1174584290748</v>
      </c>
      <c r="G41" s="684">
        <f>huishoudens!F12</f>
        <v>31282.3206851553</v>
      </c>
      <c r="H41" s="684">
        <f>huishoudens!G12</f>
        <v>0</v>
      </c>
      <c r="I41" s="684">
        <f>huishoudens!H12</f>
        <v>0</v>
      </c>
      <c r="J41" s="684">
        <f>huishoudens!I12</f>
        <v>0</v>
      </c>
      <c r="K41" s="684">
        <f>huishoudens!J12</f>
        <v>514.91783283442135</v>
      </c>
      <c r="L41" s="684">
        <f>huishoudens!K12</f>
        <v>0</v>
      </c>
      <c r="M41" s="684">
        <f>huishoudens!L12</f>
        <v>0</v>
      </c>
      <c r="N41" s="684">
        <f>huishoudens!M12</f>
        <v>0</v>
      </c>
      <c r="O41" s="684">
        <f>huishoudens!N12</f>
        <v>0</v>
      </c>
      <c r="P41" s="684">
        <f>huishoudens!O12</f>
        <v>0</v>
      </c>
      <c r="Q41" s="759">
        <f>huishoudens!P12</f>
        <v>0</v>
      </c>
      <c r="R41" s="840">
        <f t="shared" ca="1" si="4"/>
        <v>53976.500798170942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585.06495551670582</v>
      </c>
      <c r="D43" s="684">
        <f ca="1">industrie!C22</f>
        <v>0</v>
      </c>
      <c r="E43" s="684">
        <f>industrie!D22</f>
        <v>200.61053570287305</v>
      </c>
      <c r="F43" s="684">
        <f>industrie!E22</f>
        <v>6.5761002225377325</v>
      </c>
      <c r="G43" s="684">
        <f>industrie!F22</f>
        <v>201.54362785407932</v>
      </c>
      <c r="H43" s="684">
        <f>industrie!G22</f>
        <v>0</v>
      </c>
      <c r="I43" s="684">
        <f>industrie!H22</f>
        <v>0</v>
      </c>
      <c r="J43" s="684">
        <f>industrie!I22</f>
        <v>0</v>
      </c>
      <c r="K43" s="684">
        <f>industrie!J22</f>
        <v>5.0160154703603723</v>
      </c>
      <c r="L43" s="684">
        <f>industrie!K22</f>
        <v>0</v>
      </c>
      <c r="M43" s="684">
        <f>industrie!L22</f>
        <v>0</v>
      </c>
      <c r="N43" s="684">
        <f>industrie!M22</f>
        <v>0</v>
      </c>
      <c r="O43" s="684">
        <f>industrie!N22</f>
        <v>0</v>
      </c>
      <c r="P43" s="684">
        <f>industrie!O22</f>
        <v>0</v>
      </c>
      <c r="Q43" s="759">
        <f>industrie!P22</f>
        <v>0</v>
      </c>
      <c r="R43" s="839">
        <f t="shared" ca="1" si="4"/>
        <v>998.81123476655625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13445.241687723099</v>
      </c>
      <c r="D46" s="717">
        <f t="shared" ref="D46:Q46" ca="1" si="5">SUM(D39:D45)</f>
        <v>0</v>
      </c>
      <c r="E46" s="717">
        <f t="shared" ca="1" si="5"/>
        <v>10875.908105733781</v>
      </c>
      <c r="F46" s="717">
        <f t="shared" si="5"/>
        <v>4879.5863515125257</v>
      </c>
      <c r="G46" s="717">
        <f t="shared" ca="1" si="5"/>
        <v>32293.891539604632</v>
      </c>
      <c r="H46" s="717">
        <f t="shared" si="5"/>
        <v>0</v>
      </c>
      <c r="I46" s="717">
        <f t="shared" si="5"/>
        <v>0</v>
      </c>
      <c r="J46" s="717">
        <f t="shared" si="5"/>
        <v>0</v>
      </c>
      <c r="K46" s="717">
        <f t="shared" si="5"/>
        <v>519.93384830478169</v>
      </c>
      <c r="L46" s="717">
        <f t="shared" si="5"/>
        <v>0</v>
      </c>
      <c r="M46" s="717">
        <f t="shared" ca="1" si="5"/>
        <v>0</v>
      </c>
      <c r="N46" s="717">
        <f t="shared" si="5"/>
        <v>0</v>
      </c>
      <c r="O46" s="717">
        <f t="shared" ca="1" si="5"/>
        <v>0</v>
      </c>
      <c r="P46" s="717">
        <f t="shared" si="5"/>
        <v>0</v>
      </c>
      <c r="Q46" s="717">
        <f t="shared" si="5"/>
        <v>0</v>
      </c>
      <c r="R46" s="717">
        <f ca="1">SUM(R39:R45)</f>
        <v>62014.561532878819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307.84717018284545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307.84717018284545</v>
      </c>
    </row>
    <row r="50" spans="1:18">
      <c r="A50" s="815" t="s">
        <v>306</v>
      </c>
      <c r="B50" s="825"/>
      <c r="C50" s="985">
        <f ca="1">transport!B18</f>
        <v>0.32393755903276833</v>
      </c>
      <c r="D50" s="985">
        <f>transport!C18</f>
        <v>0</v>
      </c>
      <c r="E50" s="985">
        <f>transport!D18</f>
        <v>1.8896311602760363</v>
      </c>
      <c r="F50" s="985">
        <f>transport!E18</f>
        <v>214.17790655270971</v>
      </c>
      <c r="G50" s="985">
        <f>transport!F18</f>
        <v>0</v>
      </c>
      <c r="H50" s="985">
        <f>transport!G18</f>
        <v>43751.810196430248</v>
      </c>
      <c r="I50" s="985">
        <f>transport!H18</f>
        <v>7910.0862287890977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51878.287900491363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0.32393755903276833</v>
      </c>
      <c r="D52" s="717">
        <f t="shared" ref="D52:Q52" ca="1" si="6">SUM(D48:D51)</f>
        <v>0</v>
      </c>
      <c r="E52" s="717">
        <f t="shared" si="6"/>
        <v>1.8896311602760363</v>
      </c>
      <c r="F52" s="717">
        <f t="shared" si="6"/>
        <v>214.17790655270971</v>
      </c>
      <c r="G52" s="717">
        <f t="shared" si="6"/>
        <v>0</v>
      </c>
      <c r="H52" s="717">
        <f t="shared" si="6"/>
        <v>44059.657366613093</v>
      </c>
      <c r="I52" s="717">
        <f t="shared" si="6"/>
        <v>7910.0862287890977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52186.135070674209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132.14257204801763</v>
      </c>
      <c r="D54" s="985">
        <f ca="1">+landbouw!C12</f>
        <v>0</v>
      </c>
      <c r="E54" s="985">
        <f>+landbouw!D12</f>
        <v>7.4209244525977782</v>
      </c>
      <c r="F54" s="985">
        <f>+landbouw!E12</f>
        <v>1.4757851239087676</v>
      </c>
      <c r="G54" s="985">
        <f>+landbouw!F12</f>
        <v>709.56271077233339</v>
      </c>
      <c r="H54" s="985">
        <f>+landbouw!G12</f>
        <v>0</v>
      </c>
      <c r="I54" s="985">
        <f>+landbouw!H12</f>
        <v>0</v>
      </c>
      <c r="J54" s="985">
        <f>+landbouw!I12</f>
        <v>0</v>
      </c>
      <c r="K54" s="985">
        <f>+landbouw!J12</f>
        <v>19.627137669961584</v>
      </c>
      <c r="L54" s="985">
        <f>+landbouw!K12</f>
        <v>0</v>
      </c>
      <c r="M54" s="985">
        <f>+landbouw!L12</f>
        <v>0</v>
      </c>
      <c r="N54" s="985">
        <f>+landbouw!M12</f>
        <v>0</v>
      </c>
      <c r="O54" s="985">
        <f>+landbouw!N12</f>
        <v>0</v>
      </c>
      <c r="P54" s="985">
        <f>+landbouw!O12</f>
        <v>0</v>
      </c>
      <c r="Q54" s="986">
        <f>+landbouw!P12</f>
        <v>0</v>
      </c>
      <c r="R54" s="716">
        <f ca="1">SUM(C54:Q54)</f>
        <v>870.22913006681915</v>
      </c>
    </row>
    <row r="55" spans="1:18" ht="15" thickBot="1">
      <c r="A55" s="815" t="s">
        <v>912</v>
      </c>
      <c r="B55" s="825"/>
      <c r="C55" s="985">
        <f ca="1">C25*'EF ele_warmte'!B12</f>
        <v>444.59478495617662</v>
      </c>
      <c r="D55" s="985"/>
      <c r="E55" s="985">
        <f>E25*EF_CO2_aardgas</f>
        <v>558.21848935581227</v>
      </c>
      <c r="F55" s="985"/>
      <c r="G55" s="985"/>
      <c r="H55" s="985"/>
      <c r="I55" s="985"/>
      <c r="J55" s="985"/>
      <c r="K55" s="985"/>
      <c r="L55" s="985"/>
      <c r="M55" s="985"/>
      <c r="N55" s="985"/>
      <c r="O55" s="985"/>
      <c r="P55" s="985"/>
      <c r="Q55" s="986"/>
      <c r="R55" s="716">
        <f ca="1">SUM(C55:Q55)</f>
        <v>1002.8132743119888</v>
      </c>
    </row>
    <row r="56" spans="1:18" ht="15.75" thickBot="1">
      <c r="A56" s="813" t="s">
        <v>913</v>
      </c>
      <c r="B56" s="826"/>
      <c r="C56" s="717">
        <f ca="1">SUM(C54:C55)</f>
        <v>576.73735700419422</v>
      </c>
      <c r="D56" s="717">
        <f t="shared" ref="D56:Q56" ca="1" si="7">SUM(D54:D55)</f>
        <v>0</v>
      </c>
      <c r="E56" s="717">
        <f t="shared" si="7"/>
        <v>565.63941380841004</v>
      </c>
      <c r="F56" s="717">
        <f t="shared" si="7"/>
        <v>1.4757851239087676</v>
      </c>
      <c r="G56" s="717">
        <f t="shared" si="7"/>
        <v>709.56271077233339</v>
      </c>
      <c r="H56" s="717">
        <f t="shared" si="7"/>
        <v>0</v>
      </c>
      <c r="I56" s="717">
        <f t="shared" si="7"/>
        <v>0</v>
      </c>
      <c r="J56" s="717">
        <f t="shared" si="7"/>
        <v>0</v>
      </c>
      <c r="K56" s="717">
        <f t="shared" si="7"/>
        <v>19.627137669961584</v>
      </c>
      <c r="L56" s="717">
        <f t="shared" si="7"/>
        <v>0</v>
      </c>
      <c r="M56" s="717">
        <f t="shared" si="7"/>
        <v>0</v>
      </c>
      <c r="N56" s="717">
        <f t="shared" si="7"/>
        <v>0</v>
      </c>
      <c r="O56" s="717">
        <f t="shared" si="7"/>
        <v>0</v>
      </c>
      <c r="P56" s="717">
        <f t="shared" si="7"/>
        <v>0</v>
      </c>
      <c r="Q56" s="718">
        <f t="shared" si="7"/>
        <v>0</v>
      </c>
      <c r="R56" s="719">
        <f ca="1">SUM(R54:R55)</f>
        <v>1873.042404378808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14022.302982286326</v>
      </c>
      <c r="D61" s="725">
        <f t="shared" ref="D61:Q61" ca="1" si="8">D46+D52+D56</f>
        <v>0</v>
      </c>
      <c r="E61" s="725">
        <f t="shared" ca="1" si="8"/>
        <v>11443.437150702468</v>
      </c>
      <c r="F61" s="725">
        <f t="shared" si="8"/>
        <v>5095.2400431891447</v>
      </c>
      <c r="G61" s="725">
        <f t="shared" ca="1" si="8"/>
        <v>33003.454250376963</v>
      </c>
      <c r="H61" s="725">
        <f t="shared" si="8"/>
        <v>44059.657366613093</v>
      </c>
      <c r="I61" s="725">
        <f t="shared" si="8"/>
        <v>7910.0862287890977</v>
      </c>
      <c r="J61" s="725">
        <f t="shared" si="8"/>
        <v>0</v>
      </c>
      <c r="K61" s="725">
        <f t="shared" si="8"/>
        <v>539.56098597474329</v>
      </c>
      <c r="L61" s="725">
        <f t="shared" si="8"/>
        <v>0</v>
      </c>
      <c r="M61" s="725">
        <f t="shared" ca="1" si="8"/>
        <v>0</v>
      </c>
      <c r="N61" s="725">
        <f t="shared" si="8"/>
        <v>0</v>
      </c>
      <c r="O61" s="725">
        <f t="shared" ca="1" si="8"/>
        <v>0</v>
      </c>
      <c r="P61" s="725">
        <f t="shared" si="8"/>
        <v>0</v>
      </c>
      <c r="Q61" s="725">
        <f t="shared" si="8"/>
        <v>0</v>
      </c>
      <c r="R61" s="725">
        <f ca="1">R46+R52+R56</f>
        <v>116073.73900793183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0.21285511769116128</v>
      </c>
      <c r="D63" s="769">
        <f t="shared" ca="1" si="9"/>
        <v>0</v>
      </c>
      <c r="E63" s="987">
        <f t="shared" ca="1" si="9"/>
        <v>0.20200000000000001</v>
      </c>
      <c r="F63" s="769">
        <f t="shared" si="9"/>
        <v>0.22700000000000001</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2427.8831996708764</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2427.8831996708764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2427.8831996708764</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2427.8831996708764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42746.41350092207</v>
      </c>
      <c r="C4" s="457">
        <f>huishoudens!C8</f>
        <v>0</v>
      </c>
      <c r="D4" s="457">
        <f>huishoudens!D8</f>
        <v>41041.346263061052</v>
      </c>
      <c r="E4" s="457">
        <f>huishoudens!E8</f>
        <v>21101.839023916629</v>
      </c>
      <c r="F4" s="457">
        <f>huishoudens!F8</f>
        <v>117162.24975713596</v>
      </c>
      <c r="G4" s="457">
        <f>huishoudens!G8</f>
        <v>0</v>
      </c>
      <c r="H4" s="457">
        <f>huishoudens!H8</f>
        <v>0</v>
      </c>
      <c r="I4" s="457">
        <f>huishoudens!I8</f>
        <v>0</v>
      </c>
      <c r="J4" s="457">
        <f>huishoudens!J8</f>
        <v>1454.5701492497778</v>
      </c>
      <c r="K4" s="457">
        <f>huishoudens!K8</f>
        <v>0</v>
      </c>
      <c r="L4" s="457">
        <f>huishoudens!L8</f>
        <v>0</v>
      </c>
      <c r="M4" s="457">
        <f>huishoudens!M8</f>
        <v>0</v>
      </c>
      <c r="N4" s="457">
        <f>huishoudens!N8</f>
        <v>9235.8247137739945</v>
      </c>
      <c r="O4" s="457">
        <f>huishoudens!O8</f>
        <v>121.94000000000001</v>
      </c>
      <c r="P4" s="458">
        <f>huishoudens!P8</f>
        <v>533.86666666666667</v>
      </c>
      <c r="Q4" s="459">
        <f>SUM(B4:P4)</f>
        <v>233398.05007472614</v>
      </c>
    </row>
    <row r="5" spans="1:17">
      <c r="A5" s="456" t="s">
        <v>155</v>
      </c>
      <c r="B5" s="457">
        <f ca="1">tertiair!B16</f>
        <v>16295.372991615979</v>
      </c>
      <c r="C5" s="457">
        <f ca="1">tertiair!C16</f>
        <v>0</v>
      </c>
      <c r="D5" s="457">
        <f ca="1">tertiair!D16</f>
        <v>11806.661509369183</v>
      </c>
      <c r="E5" s="457">
        <f>tertiair!E16</f>
        <v>365.16648837406689</v>
      </c>
      <c r="F5" s="457">
        <f ca="1">tertiair!F16</f>
        <v>3033.8098374353935</v>
      </c>
      <c r="G5" s="457">
        <f>tertiair!G16</f>
        <v>0</v>
      </c>
      <c r="H5" s="457">
        <f>tertiair!H16</f>
        <v>0</v>
      </c>
      <c r="I5" s="457">
        <f>tertiair!I16</f>
        <v>0</v>
      </c>
      <c r="J5" s="457">
        <f>tertiair!J16</f>
        <v>0</v>
      </c>
      <c r="K5" s="457">
        <f>tertiair!K16</f>
        <v>0</v>
      </c>
      <c r="L5" s="457">
        <f ca="1">tertiair!L16</f>
        <v>0</v>
      </c>
      <c r="M5" s="457">
        <f>tertiair!M16</f>
        <v>0</v>
      </c>
      <c r="N5" s="457">
        <f ca="1">tertiair!N16</f>
        <v>514.57116242303562</v>
      </c>
      <c r="O5" s="457">
        <f>tertiair!O16</f>
        <v>0</v>
      </c>
      <c r="P5" s="458">
        <f>tertiair!P16</f>
        <v>38.133333333333333</v>
      </c>
      <c r="Q5" s="456">
        <f t="shared" ref="Q5:Q14" ca="1" si="0">SUM(B5:P5)</f>
        <v>32053.715322550994</v>
      </c>
    </row>
    <row r="6" spans="1:17">
      <c r="A6" s="456" t="s">
        <v>193</v>
      </c>
      <c r="B6" s="457">
        <f>'openbare verlichting'!B8</f>
        <v>1375.7260000000001</v>
      </c>
      <c r="C6" s="457"/>
      <c r="D6" s="457"/>
      <c r="E6" s="457"/>
      <c r="F6" s="457"/>
      <c r="G6" s="457"/>
      <c r="H6" s="457"/>
      <c r="I6" s="457"/>
      <c r="J6" s="457"/>
      <c r="K6" s="457"/>
      <c r="L6" s="457"/>
      <c r="M6" s="457"/>
      <c r="N6" s="457"/>
      <c r="O6" s="457"/>
      <c r="P6" s="458"/>
      <c r="Q6" s="456">
        <f t="shared" si="0"/>
        <v>1375.7260000000001</v>
      </c>
    </row>
    <row r="7" spans="1:17">
      <c r="A7" s="456" t="s">
        <v>111</v>
      </c>
      <c r="B7" s="457">
        <f>landbouw!B8</f>
        <v>620.80993626729605</v>
      </c>
      <c r="C7" s="457">
        <f>landbouw!C8</f>
        <v>0</v>
      </c>
      <c r="D7" s="457">
        <f>landbouw!D8</f>
        <v>36.737249765335534</v>
      </c>
      <c r="E7" s="457">
        <f>landbouw!E8</f>
        <v>6.5012560524615308</v>
      </c>
      <c r="F7" s="457">
        <f>landbouw!F8</f>
        <v>2657.5382425930088</v>
      </c>
      <c r="G7" s="457">
        <f>landbouw!G8</f>
        <v>0</v>
      </c>
      <c r="H7" s="457">
        <f>landbouw!H8</f>
        <v>0</v>
      </c>
      <c r="I7" s="457">
        <f>landbouw!I8</f>
        <v>0</v>
      </c>
      <c r="J7" s="457">
        <f>landbouw!J8</f>
        <v>55.443891723055323</v>
      </c>
      <c r="K7" s="457">
        <f>landbouw!K8</f>
        <v>0</v>
      </c>
      <c r="L7" s="457">
        <f>landbouw!L8</f>
        <v>0</v>
      </c>
      <c r="M7" s="457">
        <f>landbouw!M8</f>
        <v>0</v>
      </c>
      <c r="N7" s="457">
        <f>landbouw!N8</f>
        <v>0</v>
      </c>
      <c r="O7" s="457">
        <f>landbouw!O8</f>
        <v>0</v>
      </c>
      <c r="P7" s="458">
        <f>landbouw!P8</f>
        <v>0</v>
      </c>
      <c r="Q7" s="456">
        <f t="shared" si="0"/>
        <v>3377.0305764011573</v>
      </c>
    </row>
    <row r="8" spans="1:17">
      <c r="A8" s="456" t="s">
        <v>654</v>
      </c>
      <c r="B8" s="457">
        <f>industrie!B18</f>
        <v>2748.6534590424858</v>
      </c>
      <c r="C8" s="457">
        <f>industrie!C18</f>
        <v>0</v>
      </c>
      <c r="D8" s="457">
        <f>industrie!D18</f>
        <v>993.12146387560915</v>
      </c>
      <c r="E8" s="457">
        <f>industrie!E18</f>
        <v>28.969604504571507</v>
      </c>
      <c r="F8" s="457">
        <f>industrie!F18</f>
        <v>754.84504814261913</v>
      </c>
      <c r="G8" s="457">
        <f>industrie!G18</f>
        <v>0</v>
      </c>
      <c r="H8" s="457">
        <f>industrie!H18</f>
        <v>0</v>
      </c>
      <c r="I8" s="457">
        <f>industrie!I18</f>
        <v>0</v>
      </c>
      <c r="J8" s="457">
        <f>industrie!J18</f>
        <v>14.169535227006703</v>
      </c>
      <c r="K8" s="457">
        <f>industrie!K18</f>
        <v>0</v>
      </c>
      <c r="L8" s="457">
        <f>industrie!L18</f>
        <v>0</v>
      </c>
      <c r="M8" s="457">
        <f>industrie!M18</f>
        <v>0</v>
      </c>
      <c r="N8" s="457">
        <f>industrie!N18</f>
        <v>68.663555147419814</v>
      </c>
      <c r="O8" s="457">
        <f>industrie!O18</f>
        <v>0</v>
      </c>
      <c r="P8" s="458">
        <f>industrie!P18</f>
        <v>0</v>
      </c>
      <c r="Q8" s="456">
        <f t="shared" si="0"/>
        <v>4608.4226659397127</v>
      </c>
    </row>
    <row r="9" spans="1:17" s="462" customFormat="1">
      <c r="A9" s="460" t="s">
        <v>572</v>
      </c>
      <c r="B9" s="461">
        <f>transport!B14</f>
        <v>1.521868783548725</v>
      </c>
      <c r="C9" s="461">
        <f>transport!C14</f>
        <v>0</v>
      </c>
      <c r="D9" s="461">
        <f>transport!D14</f>
        <v>9.3546097043368128</v>
      </c>
      <c r="E9" s="461">
        <f>transport!E14</f>
        <v>943.51500684013081</v>
      </c>
      <c r="F9" s="461">
        <f>transport!F14</f>
        <v>0</v>
      </c>
      <c r="G9" s="461">
        <f>transport!G14</f>
        <v>163864.45766453276</v>
      </c>
      <c r="H9" s="461">
        <f>transport!H14</f>
        <v>31767.414573450191</v>
      </c>
      <c r="I9" s="461">
        <f>transport!I14</f>
        <v>0</v>
      </c>
      <c r="J9" s="461">
        <f>transport!J14</f>
        <v>0</v>
      </c>
      <c r="K9" s="461">
        <f>transport!K14</f>
        <v>0</v>
      </c>
      <c r="L9" s="461">
        <f>transport!L14</f>
        <v>0</v>
      </c>
      <c r="M9" s="461">
        <f>transport!M14</f>
        <v>8521.2433596948849</v>
      </c>
      <c r="N9" s="461">
        <f>transport!N14</f>
        <v>0</v>
      </c>
      <c r="O9" s="461">
        <f>transport!O14</f>
        <v>0</v>
      </c>
      <c r="P9" s="461">
        <f>transport!P14</f>
        <v>0</v>
      </c>
      <c r="Q9" s="460">
        <f>SUM(B9:P9)</f>
        <v>205107.50708300588</v>
      </c>
    </row>
    <row r="10" spans="1:17">
      <c r="A10" s="456" t="s">
        <v>562</v>
      </c>
      <c r="B10" s="457">
        <f>transport!B54</f>
        <v>0</v>
      </c>
      <c r="C10" s="457">
        <f>transport!C54</f>
        <v>0</v>
      </c>
      <c r="D10" s="457">
        <f>transport!D54</f>
        <v>0</v>
      </c>
      <c r="E10" s="457">
        <f>transport!E54</f>
        <v>0</v>
      </c>
      <c r="F10" s="457">
        <f>transport!F54</f>
        <v>0</v>
      </c>
      <c r="G10" s="457">
        <f>transport!G54</f>
        <v>1152.9856561155259</v>
      </c>
      <c r="H10" s="457">
        <f>transport!H54</f>
        <v>0</v>
      </c>
      <c r="I10" s="457">
        <f>transport!I54</f>
        <v>0</v>
      </c>
      <c r="J10" s="457">
        <f>transport!J54</f>
        <v>0</v>
      </c>
      <c r="K10" s="457">
        <f>transport!K54</f>
        <v>0</v>
      </c>
      <c r="L10" s="457">
        <f>transport!L54</f>
        <v>0</v>
      </c>
      <c r="M10" s="457">
        <f>transport!M54</f>
        <v>49.02918957132654</v>
      </c>
      <c r="N10" s="457">
        <f>transport!N54</f>
        <v>0</v>
      </c>
      <c r="O10" s="457">
        <f>transport!O54</f>
        <v>0</v>
      </c>
      <c r="P10" s="458">
        <f>transport!P54</f>
        <v>0</v>
      </c>
      <c r="Q10" s="456">
        <f t="shared" si="0"/>
        <v>1202.0148456868524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2088.7202045160798</v>
      </c>
      <c r="C14" s="464"/>
      <c r="D14" s="464">
        <f>'SEAP template'!E25</f>
        <v>2763.4578680980803</v>
      </c>
      <c r="E14" s="464"/>
      <c r="F14" s="464"/>
      <c r="G14" s="464"/>
      <c r="H14" s="464"/>
      <c r="I14" s="464"/>
      <c r="J14" s="464"/>
      <c r="K14" s="464"/>
      <c r="L14" s="464"/>
      <c r="M14" s="464"/>
      <c r="N14" s="464"/>
      <c r="O14" s="464"/>
      <c r="P14" s="465"/>
      <c r="Q14" s="456">
        <f t="shared" si="0"/>
        <v>4852.1780726141606</v>
      </c>
    </row>
    <row r="15" spans="1:17" s="469" customFormat="1">
      <c r="A15" s="466" t="s">
        <v>566</v>
      </c>
      <c r="B15" s="467">
        <f ca="1">SUM(B4:B14)</f>
        <v>65877.217961147457</v>
      </c>
      <c r="C15" s="467">
        <f t="shared" ref="C15:Q15" ca="1" si="1">SUM(C4:C14)</f>
        <v>0</v>
      </c>
      <c r="D15" s="467">
        <f t="shared" ca="1" si="1"/>
        <v>56650.678963873594</v>
      </c>
      <c r="E15" s="467">
        <f t="shared" si="1"/>
        <v>22445.991379687861</v>
      </c>
      <c r="F15" s="467">
        <f t="shared" ca="1" si="1"/>
        <v>123608.44288530698</v>
      </c>
      <c r="G15" s="467">
        <f t="shared" si="1"/>
        <v>165017.44332064828</v>
      </c>
      <c r="H15" s="467">
        <f t="shared" si="1"/>
        <v>31767.414573450191</v>
      </c>
      <c r="I15" s="467">
        <f t="shared" si="1"/>
        <v>0</v>
      </c>
      <c r="J15" s="467">
        <f t="shared" si="1"/>
        <v>1524.1835761998398</v>
      </c>
      <c r="K15" s="467">
        <f t="shared" si="1"/>
        <v>0</v>
      </c>
      <c r="L15" s="467">
        <f t="shared" ca="1" si="1"/>
        <v>0</v>
      </c>
      <c r="M15" s="467">
        <f t="shared" si="1"/>
        <v>8570.2725492662121</v>
      </c>
      <c r="N15" s="467">
        <f t="shared" ca="1" si="1"/>
        <v>9819.059431344449</v>
      </c>
      <c r="O15" s="467">
        <f t="shared" si="1"/>
        <v>121.94000000000001</v>
      </c>
      <c r="P15" s="467">
        <f t="shared" si="1"/>
        <v>572</v>
      </c>
      <c r="Q15" s="467">
        <f t="shared" ca="1" si="1"/>
        <v>485974.64464092493</v>
      </c>
    </row>
    <row r="17" spans="1:17">
      <c r="A17" s="470" t="s">
        <v>567</v>
      </c>
      <c r="B17" s="774">
        <f ca="1">huishoudens!B10</f>
        <v>0.21285511769116128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9098.792876613812</v>
      </c>
      <c r="C22" s="457">
        <f t="shared" ref="C22:C32" ca="1" si="3">C4*$C$17</f>
        <v>0</v>
      </c>
      <c r="D22" s="457">
        <f t="shared" ref="D22:D32" si="4">D4*$D$17</f>
        <v>8290.3519451383327</v>
      </c>
      <c r="E22" s="457">
        <f t="shared" ref="E22:E32" si="5">E4*$E$17</f>
        <v>4790.1174584290748</v>
      </c>
      <c r="F22" s="457">
        <f t="shared" ref="F22:F32" si="6">F4*$F$17</f>
        <v>31282.3206851553</v>
      </c>
      <c r="G22" s="457">
        <f t="shared" ref="G22:G32" si="7">G4*$G$17</f>
        <v>0</v>
      </c>
      <c r="H22" s="457">
        <f t="shared" ref="H22:H32" si="8">H4*$H$17</f>
        <v>0</v>
      </c>
      <c r="I22" s="457">
        <f t="shared" ref="I22:I32" si="9">I4*$I$17</f>
        <v>0</v>
      </c>
      <c r="J22" s="457">
        <f t="shared" ref="J22:J32" si="10">J4*$J$17</f>
        <v>514.91783283442135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53976.500798170942</v>
      </c>
    </row>
    <row r="23" spans="1:17">
      <c r="A23" s="456" t="s">
        <v>155</v>
      </c>
      <c r="B23" s="457">
        <f t="shared" ca="1" si="2"/>
        <v>3468.5535359517899</v>
      </c>
      <c r="C23" s="457">
        <f t="shared" ca="1" si="3"/>
        <v>0</v>
      </c>
      <c r="D23" s="457">
        <f t="shared" ca="1" si="4"/>
        <v>2384.9456248925753</v>
      </c>
      <c r="E23" s="457">
        <f t="shared" si="5"/>
        <v>82.89279286091319</v>
      </c>
      <c r="F23" s="457">
        <f t="shared" ca="1" si="6"/>
        <v>810.02722659525011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6746.4191803005278</v>
      </c>
    </row>
    <row r="24" spans="1:17">
      <c r="A24" s="456" t="s">
        <v>193</v>
      </c>
      <c r="B24" s="457">
        <f t="shared" ca="1" si="2"/>
        <v>292.83031964079055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292.83031964079055</v>
      </c>
    </row>
    <row r="25" spans="1:17">
      <c r="A25" s="456" t="s">
        <v>111</v>
      </c>
      <c r="B25" s="457">
        <f t="shared" ca="1" si="2"/>
        <v>132.14257204801763</v>
      </c>
      <c r="C25" s="457">
        <f t="shared" ca="1" si="3"/>
        <v>0</v>
      </c>
      <c r="D25" s="457">
        <f t="shared" si="4"/>
        <v>7.4209244525977782</v>
      </c>
      <c r="E25" s="457">
        <f t="shared" si="5"/>
        <v>1.4757851239087676</v>
      </c>
      <c r="F25" s="457">
        <f t="shared" si="6"/>
        <v>709.56271077233339</v>
      </c>
      <c r="G25" s="457">
        <f t="shared" si="7"/>
        <v>0</v>
      </c>
      <c r="H25" s="457">
        <f t="shared" si="8"/>
        <v>0</v>
      </c>
      <c r="I25" s="457">
        <f t="shared" si="9"/>
        <v>0</v>
      </c>
      <c r="J25" s="457">
        <f t="shared" si="10"/>
        <v>19.627137669961584</v>
      </c>
      <c r="K25" s="457">
        <f t="shared" si="11"/>
        <v>0</v>
      </c>
      <c r="L25" s="457">
        <f t="shared" si="12"/>
        <v>0</v>
      </c>
      <c r="M25" s="457">
        <f t="shared" si="13"/>
        <v>0</v>
      </c>
      <c r="N25" s="457">
        <f t="shared" si="14"/>
        <v>0</v>
      </c>
      <c r="O25" s="457">
        <f t="shared" si="15"/>
        <v>0</v>
      </c>
      <c r="P25" s="458">
        <f t="shared" si="16"/>
        <v>0</v>
      </c>
      <c r="Q25" s="456">
        <f t="shared" ca="1" si="17"/>
        <v>870.22913006681915</v>
      </c>
    </row>
    <row r="26" spans="1:17">
      <c r="A26" s="456" t="s">
        <v>654</v>
      </c>
      <c r="B26" s="457">
        <f t="shared" ca="1" si="2"/>
        <v>585.06495551670582</v>
      </c>
      <c r="C26" s="457">
        <f t="shared" ca="1" si="3"/>
        <v>0</v>
      </c>
      <c r="D26" s="457">
        <f t="shared" si="4"/>
        <v>200.61053570287305</v>
      </c>
      <c r="E26" s="457">
        <f t="shared" si="5"/>
        <v>6.5761002225377325</v>
      </c>
      <c r="F26" s="457">
        <f t="shared" si="6"/>
        <v>201.54362785407932</v>
      </c>
      <c r="G26" s="457">
        <f t="shared" si="7"/>
        <v>0</v>
      </c>
      <c r="H26" s="457">
        <f t="shared" si="8"/>
        <v>0</v>
      </c>
      <c r="I26" s="457">
        <f t="shared" si="9"/>
        <v>0</v>
      </c>
      <c r="J26" s="457">
        <f t="shared" si="10"/>
        <v>5.0160154703603723</v>
      </c>
      <c r="K26" s="457">
        <f t="shared" si="11"/>
        <v>0</v>
      </c>
      <c r="L26" s="457">
        <f t="shared" si="12"/>
        <v>0</v>
      </c>
      <c r="M26" s="457">
        <f t="shared" si="13"/>
        <v>0</v>
      </c>
      <c r="N26" s="457">
        <f t="shared" si="14"/>
        <v>0</v>
      </c>
      <c r="O26" s="457">
        <f t="shared" si="15"/>
        <v>0</v>
      </c>
      <c r="P26" s="458">
        <f t="shared" si="16"/>
        <v>0</v>
      </c>
      <c r="Q26" s="456">
        <f t="shared" ca="1" si="17"/>
        <v>998.81123476655625</v>
      </c>
    </row>
    <row r="27" spans="1:17" s="462" customFormat="1">
      <c r="A27" s="460" t="s">
        <v>572</v>
      </c>
      <c r="B27" s="768">
        <f t="shared" ca="1" si="2"/>
        <v>0.32393755903276833</v>
      </c>
      <c r="C27" s="461">
        <f t="shared" ca="1" si="3"/>
        <v>0</v>
      </c>
      <c r="D27" s="461">
        <f t="shared" si="4"/>
        <v>1.8896311602760363</v>
      </c>
      <c r="E27" s="461">
        <f t="shared" si="5"/>
        <v>214.17790655270971</v>
      </c>
      <c r="F27" s="461">
        <f t="shared" si="6"/>
        <v>0</v>
      </c>
      <c r="G27" s="461">
        <f t="shared" si="7"/>
        <v>43751.810196430248</v>
      </c>
      <c r="H27" s="461">
        <f t="shared" si="8"/>
        <v>7910.0862287890977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51878.287900491363</v>
      </c>
    </row>
    <row r="28" spans="1:17">
      <c r="A28" s="456" t="s">
        <v>562</v>
      </c>
      <c r="B28" s="457">
        <f t="shared" ca="1" si="2"/>
        <v>0</v>
      </c>
      <c r="C28" s="457">
        <f t="shared" ca="1" si="3"/>
        <v>0</v>
      </c>
      <c r="D28" s="457">
        <f t="shared" si="4"/>
        <v>0</v>
      </c>
      <c r="E28" s="457">
        <f t="shared" si="5"/>
        <v>0</v>
      </c>
      <c r="F28" s="457">
        <f t="shared" si="6"/>
        <v>0</v>
      </c>
      <c r="G28" s="457">
        <f t="shared" si="7"/>
        <v>307.84717018284545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307.84717018284545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444.59478495617662</v>
      </c>
      <c r="C32" s="457">
        <f t="shared" ca="1" si="3"/>
        <v>0</v>
      </c>
      <c r="D32" s="457">
        <f t="shared" si="4"/>
        <v>558.21848935581227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1002.8132743119888</v>
      </c>
    </row>
    <row r="33" spans="1:17" s="469" customFormat="1">
      <c r="A33" s="466" t="s">
        <v>566</v>
      </c>
      <c r="B33" s="467">
        <f ca="1">SUM(B22:B32)</f>
        <v>14022.302982286326</v>
      </c>
      <c r="C33" s="467">
        <f t="shared" ref="C33:Q33" ca="1" si="19">SUM(C22:C32)</f>
        <v>0</v>
      </c>
      <c r="D33" s="467">
        <f t="shared" ca="1" si="19"/>
        <v>11443.437150702466</v>
      </c>
      <c r="E33" s="467">
        <f t="shared" si="19"/>
        <v>5095.2400431891447</v>
      </c>
      <c r="F33" s="467">
        <f t="shared" ca="1" si="19"/>
        <v>33003.454250376963</v>
      </c>
      <c r="G33" s="467">
        <f t="shared" si="19"/>
        <v>44059.657366613093</v>
      </c>
      <c r="H33" s="467">
        <f t="shared" si="19"/>
        <v>7910.0862287890977</v>
      </c>
      <c r="I33" s="467">
        <f t="shared" si="19"/>
        <v>0</v>
      </c>
      <c r="J33" s="467">
        <f t="shared" si="19"/>
        <v>539.56098597474329</v>
      </c>
      <c r="K33" s="467">
        <f t="shared" si="19"/>
        <v>0</v>
      </c>
      <c r="L33" s="467">
        <f t="shared" ca="1" si="19"/>
        <v>0</v>
      </c>
      <c r="M33" s="467">
        <f t="shared" si="19"/>
        <v>0</v>
      </c>
      <c r="N33" s="467">
        <f t="shared" ca="1" si="19"/>
        <v>0</v>
      </c>
      <c r="O33" s="467">
        <f t="shared" si="19"/>
        <v>0</v>
      </c>
      <c r="P33" s="467">
        <f t="shared" si="19"/>
        <v>0</v>
      </c>
      <c r="Q33" s="467">
        <f t="shared" ca="1" si="19"/>
        <v>116073.73900793184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2427.8831996708764</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2427.8831996708764</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0.21285511769116128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0.21285511769116128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2020-06-20T16:39:36Z</dcterms:modified>
</cp:coreProperties>
</file>