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B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B8" i="9" s="1"/>
  <c r="B6" i="48" s="1"/>
  <c r="Q6" i="48"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C24" i="14" l="1"/>
  <c r="C26" i="14" s="1"/>
  <c r="B7" i="48"/>
  <c r="B4" i="48"/>
  <c r="C11" i="14"/>
  <c r="C18" i="16"/>
  <c r="C8" i="48" s="1"/>
  <c r="D4" i="48"/>
  <c r="D22" i="48" s="1"/>
  <c r="E11" i="14"/>
  <c r="P11" i="14"/>
  <c r="O4" i="48"/>
  <c r="O22"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P63"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O33" i="48" l="1"/>
  <c r="R11" i="14"/>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<sst xmlns="http://schemas.openxmlformats.org/spreadsheetml/2006/main" count="2513" uniqueCount="971">
  <si>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</si>
  <si>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</si>
  <si>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</si>
  <si>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</si>
  <si>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</si>
  <si>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</si>
  <si>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</si>
  <si>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</si>
  <si>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</si>
  <si>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</si>
  <si>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</si>
  <si>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</si>
  <si>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</si>
  <si>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</si>
  <si>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</si>
  <si>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</si>
  <si>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</si>
  <si>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</si>
  <si>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</si>
  <si>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</si>
  <si>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</si>
  <si>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</si>
  <si>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</si>
  <si>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</si>
  <si>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</si>
  <si>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</si>
  <si>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</si>
  <si>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</si>
  <si>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</si>
  <si>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</si>
  <si>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</si>
  <si>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</si>
  <si>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</si>
  <si>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</si>
  <si>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</si>
  <si>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</si>
  <si>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</si>
  <si>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</si>
  <si>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</si>
  <si>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</si>
  <si>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</si>
  <si>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</si>
  <si>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</si>
  <si>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</si>
  <si>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</si>
  <si>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</si>
  <si>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</si>
  <si>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</si>
  <si>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</si>
  <si>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</si>
  <si>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</si>
  <si>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</si>
  <si>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</si>
  <si>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</si>
  <si>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</si>
  <si>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</si>
  <si>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</si>
  <si>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</si>
  <si>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</si>
  <si>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</si>
  <si>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</si>
  <si>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</si>
  <si>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</si>
  <si>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</si>
  <si>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</si>
  <si>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</si>
  <si>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</si>
  <si>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</si>
  <si>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</si>
  <si>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</si>
  <si>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</si>
  <si>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</si>
  <si>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</si>
  <si>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</si>
  <si>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</si>
  <si>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</si>
  <si>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</si>
  <si>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</si>
  <si>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</si>
  <si>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</si>
  <si>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</si>
  <si>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</si>
  <si>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</si>
  <si>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</si>
  <si>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</si>
  <si>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</si>
  <si>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</si>
  <si>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</si>
  <si>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</si>
  <si>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</si>
  <si>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</si>
  <si>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</si>
  <si>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</si>
  <si>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</si>
  <si>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</si>
  <si>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</si>
  <si>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</si>
  <si>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</si>
  <si>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</si>
  <si>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</si>
  <si>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</si>
  <si>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</si>
  <si>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</si>
  <si>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</si>
  <si>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</si>
  <si>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</si>
  <si>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</si>
  <si>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</si>
  <si>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</si>
  <si>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</si>
  <si>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</si>
  <si>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</si>
  <si>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</si>
  <si>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</si>
  <si>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</si>
  <si>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</si>
  <si>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</si>
  <si>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</si>
  <si>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</si>
  <si>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</si>
  <si>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</si>
  <si>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</si>
  <si>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</si>
  <si>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</si>
  <si>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</si>
  <si>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</si>
  <si>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</si>
  <si>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</si>
  <si>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</si>
  <si>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</si>
  <si>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</si>
  <si>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</si>
  <si>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</si>
  <si>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</si>
  <si>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</si>
  <si>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</si>
  <si>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</si>
  <si>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</si>
  <si>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</si>
  <si>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</si>
  <si>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</si>
  <si>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</si>
  <si>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</si>
  <si>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</si>
  <si>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</si>
  <si>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</si>
  <si>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</si>
  <si>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</si>
  <si>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</si>
  <si>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</si>
  <si>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</si>
  <si>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</si>
  <si>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</si>
  <si>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</si>
  <si>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</si>
  <si>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</si>
  <si>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</si>
  <si>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</si>
  <si>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</si>
  <si>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</si>
  <si>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</si>
  <si>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</si>
  <si>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</si>
  <si>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</si>
  <si>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</si>
  <si>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</si>
  <si>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</si>
  <si>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</si>
  <si>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</si>
  <si>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</si>
  <si>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</si>
  <si>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</si>
  <si>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</si>
  <si>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</si>
  <si>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</si>
  <si>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</si>
  <si>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</si>
  <si>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</si>
  <si>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</si>
  <si>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</si>
  <si>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</si>
  <si>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</si>
  <si>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</si>
  <si>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</si>
  <si>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</si>
  <si>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</si>
  <si>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</si>
  <si>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</si>
  <si>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</si>
  <si>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</si>
  <si>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</si>
  <si>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</si>
  <si>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</si>
  <si>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</si>
  <si>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</si>
  <si>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</si>
  <si>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</si>
  <si>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</si>
  <si>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</si>
  <si>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</si>
  <si>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</si>
  <si>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</si>
  <si>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</si>
  <si>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</si>
  <si>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</si>
  <si>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</si>
  <si>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</si>
  <si>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</si>
  <si>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</si>
  <si>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</si>
  <si>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</si>
  <si>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</si>
  <si>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</si>
  <si>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</si>
  <si>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</si>
  <si>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</si>
  <si>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</si>
  <si>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</si>
  <si>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</si>
  <si>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</si>
  <si>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</si>
  <si>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</si>
  <si>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</si>
  <si>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</si>
  <si>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</si>
  <si>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</si>
  <si>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</si>
  <si>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</si>
  <si>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</si>
  <si>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</si>
  <si>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</si>
  <si>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</si>
  <si>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</si>
  <si>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</si>
  <si>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</si>
  <si>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</si>
  <si>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</si>
  <si>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</si>
  <si>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</si>
  <si>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</si>
  <si>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</si>
  <si>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</si>
  <si>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</si>
  <si>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</si>
  <si>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</si>
  <si>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</si>
  <si>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</si>
  <si>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</si>
  <si>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</si>
  <si>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</si>
  <si>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</si>
  <si>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</si>
  <si>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</si>
  <si>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</si>
  <si>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</si>
  <si>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</si>
  <si>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</si>
  <si>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</si>
  <si>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</si>
  <si>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</si>
  <si>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</si>
  <si>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</si>
  <si>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</si>
  <si>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</si>
  <si>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</si>
  <si>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</si>
  <si>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</si>
  <si>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</si>
  <si>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</si>
  <si>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</si>
  <si>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</si>
  <si>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</si>
  <si>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</si>
  <si>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</si>
  <si>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</si>
  <si>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</si>
  <si>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</si>
  <si>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</si>
  <si>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</si>
  <si>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</si>
  <si>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</si>
  <si>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</si>
  <si>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</si>
  <si>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</si>
  <si>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</si>
  <si>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</si>
  <si>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</si>
  <si>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</si>
  <si>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</si>
  <si>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</si>
  <si>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</si>
  <si>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</si>
  <si>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</si>
  <si>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</si>
  <si>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</si>
  <si>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</si>
  <si>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</si>
  <si>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</si>
  <si>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</si>
  <si>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</si>
  <si>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</si>
  <si>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</si>
  <si>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</si>
  <si>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</si>
  <si>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</si>
  <si>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</si>
  <si>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</si>
  <si>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</si>
  <si>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</si>
  <si>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</si>
  <si>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</si>
  <si>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</si>
  <si>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</si>
  <si>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</si>
  <si>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</si>
  <si>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</si>
  <si>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</si>
  <si>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</si>
  <si>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</si>
  <si>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</si>
  <si>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</si>
  <si>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</si>
  <si>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</si>
  <si>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</si>
  <si>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</si>
  <si>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</si>
  <si>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</si>
  <si>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</si>
  <si>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</si>
  <si>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</si>
  <si>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</si>
  <si>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</si>
  <si>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</si>
  <si>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</si>
  <si>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</si>
  <si>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</si>
  <si>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</si>
  <si>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</si>
  <si>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</si>
  <si>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</si>
  <si>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</si>
  <si>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</si>
  <si>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</si>
  <si>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</si>
  <si>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</si>
  <si>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</si>
  <si>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</si>
  <si>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</si>
  <si>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</si>
  <si>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</si>
  <si>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</si>
  <si>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</si>
  <si>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</si>
  <si>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</si>
  <si>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</si>
  <si>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</si>
  <si>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</si>
  <si>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</si>
  <si>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</si>
  <si>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</si>
  <si>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</si>
  <si>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</si>
  <si>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</si>
  <si>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</si>
  <si>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</si>
  <si>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</si>
  <si>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</si>
  <si>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</si>
  <si>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</si>
  <si>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</si>
  <si>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</si>
  <si>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</si>
  <si>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</si>
  <si>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</si>
  <si>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</si>
  <si>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</si>
  <si>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</si>
  <si>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</si>
  <si>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</si>
  <si>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</si>
  <si>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</si>
  <si>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</si>
  <si>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</si>
  <si>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</si>
  <si>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</si>
  <si>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</si>
  <si>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</si>
  <si>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</si>
  <si>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</si>
  <si>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</si>
  <si>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</si>
  <si>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</si>
  <si>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</si>
  <si>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</si>
  <si>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</si>
  <si>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</si>
  <si>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</si>
  <si>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</si>
  <si>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</si>
  <si>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</si>
  <si>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</si>
  <si>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</si>
  <si>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</si>
  <si>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</si>
  <si>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</si>
  <si>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</si>
  <si>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</si>
  <si>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</si>
  <si>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</si>
  <si>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</si>
  <si>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</si>
  <si>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</si>
  <si>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</si>
  <si>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</si>
  <si>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</si>
  <si>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</si>
  <si>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</si>
  <si>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</si>
  <si>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</si>
  <si>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</si>
  <si>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</si>
  <si>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</si>
  <si>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</si>
  <si>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</si>
  <si>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</si>
  <si>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</si>
  <si>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</si>
  <si>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</si>
  <si>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</si>
  <si>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</si>
  <si>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</si>
  <si>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</si>
  <si>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</si>
  <si>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</si>
  <si>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</si>
  <si>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</si>
  <si>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</si>
  <si>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</si>
  <si>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</si>
  <si>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</si>
  <si>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</si>
  <si>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</si>
  <si>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</si>
  <si>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</si>
  <si>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</si>
  <si>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</si>
  <si>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</si>
  <si>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</si>
  <si>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</si>
  <si>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</si>
  <si>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</si>
  <si>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</si>
  <si>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</si>
  <si>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</si>
  <si>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</si>
  <si>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</si>
  <si>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</si>
  <si>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</si>
  <si>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</si>
  <si>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</si>
  <si>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</si>
  <si>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</si>
  <si>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</si>
  <si>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</si>
  <si>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</si>
  <si>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</si>
  <si>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</si>
  <si>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</si>
  <si>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</si>
  <si>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</si>
  <si>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</si>
  <si>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</si>
  <si>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</si>
  <si>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</si>
  <si>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</si>
  <si>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</si>
  <si>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</si>
  <si>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</si>
  <si>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</si>
  <si>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</si>
  <si>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</si>
  <si>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</si>
  <si>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</si>
  <si>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</si>
  <si>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</si>
  <si>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</si>
  <si>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</si>
  <si>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</si>
  <si>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</si>
  <si>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</si>
  <si>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</si>
  <si>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</si>
  <si>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</si>
  <si>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</si>
  <si>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</si>
  <si>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</si>
  <si>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</si>
  <si>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</si>
  <si>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</si>
  <si>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</si>
  <si>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</si>
  <si>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</si>
  <si>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</si>
  <si>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</si>
  <si>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</si>
  <si>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</si>
  <si>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</si>
  <si>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</si>
  <si>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</si>
  <si>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</si>
  <si>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</si>
  <si>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</si>
  <si>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</si>
  <si>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</si>
  <si>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</si>
  <si>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</si>
  <si>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</si>
  <si>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</si>
  <si>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</si>
  <si>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</si>
  <si>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</si>
  <si>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</si>
  <si>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</si>
  <si>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</si>
  <si>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</si>
  <si>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</si>
  <si>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</si>
  <si>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</si>
  <si>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</si>
  <si>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</si>
  <si>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</si>
  <si>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</si>
  <si>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</si>
  <si>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</si>
  <si>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</si>
  <si>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</si>
  <si>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</si>
  <si>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</si>
  <si>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</si>
  <si>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</si>
  <si>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</si>
  <si>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</si>
  <si>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</si>
  <si>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</si>
  <si>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</si>
  <si>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</si>
  <si>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</si>
  <si>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</si>
  <si>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</si>
  <si>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</si>
  <si>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</si>
  <si>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</si>
  <si>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</si>
  <si>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</si>
  <si>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</si>
  <si>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</si>
  <si>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</si>
  <si>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</si>
  <si>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</si>
  <si>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</si>
  <si>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</si>
  <si>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</si>
  <si>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</si>
  <si>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</si>
  <si>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</si>
  <si>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</si>
  <si>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</si>
  <si>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</si>
  <si>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</si>
  <si>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</si>
  <si>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</si>
  <si>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</si>
  <si>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</si>
  <si>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</si>
  <si>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</si>
  <si>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</si>
  <si>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</si>
  <si>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</si>
  <si>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</si>
  <si>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</si>
  <si>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</si>
  <si>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</si>
  <si>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</si>
  <si>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</si>
  <si>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</si>
  <si>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</si>
  <si>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</si>
  <si>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</si>
  <si>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</si>
  <si>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</si>
  <si>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</si>
  <si>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</si>
  <si>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</si>
  <si>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</si>
  <si>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</si>
  <si>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</si>
  <si>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</si>
  <si>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</si>
  <si>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</si>
  <si>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</si>
  <si>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</si>
  <si>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</si>
  <si>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</si>
  <si>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</si>
  <si>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</si>
  <si>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</si>
  <si>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</si>
  <si>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</si>
  <si>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</si>
  <si>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</si>
  <si>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</si>
  <si>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</si>
  <si>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</si>
  <si>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</si>
  <si>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</si>
  <si>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</si>
  <si>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</si>
  <si>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</si>
  <si>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</si>
  <si>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</si>
  <si>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</si>
  <si>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</si>
  <si>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</si>
  <si>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</si>
  <si>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</si>
  <si>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</si>
  <si>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</si>
  <si>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</si>
  <si>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</si>
  <si>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</si>
  <si>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</si>
  <si>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</si>
  <si>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</si>
  <si>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</si>
  <si>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</si>
  <si>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</si>
  <si>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</si>
  <si>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</si>
  <si>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</si>
  <si>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</si>
  <si>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</si>
  <si>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</si>
  <si>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</si>
  <si>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</si>
  <si>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</si>
  <si>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</si>
  <si>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</si>
  <si>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</si>
  <si>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</si>
  <si>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</si>
  <si>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</si>
  <si>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</si>
  <si>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</si>
  <si>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</si>
  <si>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</si>
  <si>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</si>
  <si>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</si>
  <si>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</si>
  <si>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</si>
  <si>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</si>
  <si>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</si>
  <si>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</si>
  <si>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</si>
  <si>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</si>
  <si>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</si>
  <si>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</si>
  <si>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</si>
  <si>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</si>
  <si>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</si>
  <si>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</si>
  <si>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</si>
  <si>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</si>
  <si>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</si>
  <si>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</si>
  <si>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</si>
  <si>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</si>
  <si>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</si>
  <si>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</si>
  <si>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</si>
  <si>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</si>
  <si>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</si>
  <si>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</si>
  <si>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</si>
  <si>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</si>
  <si>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</si>
  <si>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</si>
  <si>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</si>
  <si>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</si>
  <si>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</si>
  <si>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</si>
  <si>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</si>
  <si>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</si>
  <si>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</si>
  <si>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</si>
  <si>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</si>
  <si>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</si>
  <si>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</si>
  <si>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</si>
  <si>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</si>
  <si>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</si>
  <si>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</si>
  <si>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</si>
  <si>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</si>
  <si>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</si>
  <si>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</si>
  <si>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</si>
  <si>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</si>
  <si>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</si>
  <si>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</si>
  <si>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</si>
  <si>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</si>
  <si>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</si>
  <si>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</si>
  <si>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</si>
  <si>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</si>
  <si>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</si>
  <si>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</si>
  <si>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</si>
  <si>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</si>
  <si>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</si>
  <si>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</si>
  <si>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</si>
  <si>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</si>
  <si>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</si>
  <si>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</si>
  <si>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</si>
  <si>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</si>
  <si>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</si>
  <si>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</si>
  <si>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</si>
  <si>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</si>
  <si>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</si>
  <si>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</si>
  <si>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</si>
  <si>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</si>
  <si>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</si>
  <si>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</si>
  <si>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</si>
  <si>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</si>
  <si>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</si>
  <si>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</si>
  <si>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</si>
  <si>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</si>
  <si>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</si>
  <si>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</si>
  <si>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</si>
  <si>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</si>
  <si>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</si>
  <si>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</si>
  <si>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</si>
  <si>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</si>
  <si>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</si>
  <si>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</si>
  <si>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</si>
  <si>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</si>
  <si>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</si>
  <si>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</si>
  <si>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</si>
  <si>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</si>
  <si>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</si>
  <si>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</si>
  <si>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</si>
  <si>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</si>
  <si>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</si>
  <si>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</si>
  <si>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</si>
  <si>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</si>
  <si>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</si>
  <si>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</si>
  <si>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</si>
  <si>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</si>
  <si>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</si>
  <si>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</si>
  <si>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</si>
  <si>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</si>
  <si>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</si>
  <si>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</si>
  <si>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</si>
  <si>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</si>
  <si>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</si>
  <si>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</si>
  <si>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</si>
  <si>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</si>
  <si>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</si>
  <si>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</si>
  <si>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</si>
  <si>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</si>
  <si>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</si>
  <si>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</si>
  <si>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</si>
  <si>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</si>
  <si>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</si>
  <si>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</si>
  <si>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</si>
  <si>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</si>
  <si>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</si>
  <si>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</si>
  <si>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</si>
  <si>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</si>
  <si>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</si>
  <si>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</si>
  <si>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</si>
  <si>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</si>
  <si>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</si>
  <si>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</si>
  <si>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</si>
  <si>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</si>
  <si>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</si>
  <si>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</si>
  <si>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</si>
  <si>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</si>
  <si>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</si>
  <si>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</si>
  <si>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</si>
  <si>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</si>
  <si>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</si>
  <si>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</si>
  <si>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</si>
  <si>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</si>
  <si>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</si>
  <si>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</si>
  <si>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</si>
  <si>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</si>
  <si>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</si>
  <si>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</si>
  <si>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</si>
  <si>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</si>
  <si>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</si>
  <si>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</si>
  <si>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</si>
  <si>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</si>
  <si>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</si>
  <si>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</si>
  <si>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</si>
  <si>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</si>
  <si>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</si>
  <si>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</si>
  <si>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</si>
  <si>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</si>
  <si>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</si>
  <si>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</si>
  <si>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</si>
  <si>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</si>
  <si>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</si>
  <si>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</si>
  <si>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</si>
  <si>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</si>
  <si>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</si>
  <si>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</si>
  <si>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</si>
  <si>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</si>
  <si>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</si>
  <si>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</si>
  <si>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</si>
  <si>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</si>
  <si>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</si>
  <si>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</si>
  <si>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</si>
  <si>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</si>
  <si>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</si>
  <si>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</si>
  <si>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</si>
  <si>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</si>
  <si>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</si>
  <si>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</si>
  <si>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</si>
  <si>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</si>
  <si>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</si>
  <si>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</si>
  <si>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</si>
  <si>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</si>
  <si>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</si>
  <si>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</si>
  <si>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</si>
  <si>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</si>
  <si>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</si>
  <si>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</si>
  <si>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</si>
  <si>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</si>
  <si>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</si>
  <si>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</si>
  <si>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</si>
  <si>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</si>
  <si>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</si>
  <si>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</si>
  <si>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</si>
  <si>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</si>
  <si>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</si>
  <si>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</si>
  <si>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</si>
  <si>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</si>
  <si>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</si>
  <si>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</si>
  <si>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</si>
  <si>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</si>
  <si>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</si>
  <si>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</si>
  <si>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</si>
  <si>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</si>
  <si>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</si>
  <si>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</si>
  <si>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</si>
  <si>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</si>
  <si>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</si>
  <si>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</si>
  <si>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</si>
  <si>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</si>
  <si>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</si>
  <si>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</si>
  <si>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</si>
  <si>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</si>
  <si>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</si>
  <si>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</si>
  <si>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</si>
  <si>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</si>
  <si>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</si>
  <si>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</si>
  <si>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</si>
  <si>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</si>
  <si>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</si>
  <si>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</si>
  <si>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</si>
  <si>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</si>
  <si>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</si>
  <si>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</si>
  <si>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</si>
  <si>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</si>
  <si>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</si>
  <si>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</si>
  <si>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</si>
  <si>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</si>
  <si>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</si>
  <si>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</si>
  <si>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</si>
  <si>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</si>
  <si>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</si>
  <si>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</si>
  <si>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</si>
  <si>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</si>
  <si>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</si>
  <si>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</si>
  <si>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</si>
  <si>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</si>
  <si>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</si>
  <si>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</si>
  <si>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</si>
  <si>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</si>
  <si>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</si>
  <si>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</si>
  <si>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</si>
  <si>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</si>
  <si>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</si>
  <si>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</si>
  <si>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</si>
  <si>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</si>
  <si>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</si>
  <si>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</si>
  <si>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</si>
  <si>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</si>
  <si>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</si>
  <si>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</si>
  <si>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</si>
  <si>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</si>
  <si>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</si>
  <si>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24107</t>
  </si>
  <si>
    <t>TIENEN</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</si>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</sst>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24107</v>
      </c>
      <c r="B6" s="394"/>
      <c r="C6" s="395"/>
    </row>
    <row r="7" spans="1:7" s="392" customFormat="1" ht="15.75" customHeight="1">
      <c r="A7" s="396" t="str">
        <f>txtMunicipality</f>
        <v>TIENEN</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0.21728692689811666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0.21728692689811666</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14580</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4639</v>
      </c>
      <c r="C14" s="331"/>
      <c r="D14" s="331"/>
      <c r="E14" s="331"/>
      <c r="F14" s="331"/>
    </row>
    <row r="15" spans="1:6">
      <c r="A15" s="1290" t="s">
        <v>183</v>
      </c>
      <c r="B15" s="1291">
        <v>17</v>
      </c>
      <c r="C15" s="331"/>
      <c r="D15" s="331"/>
      <c r="E15" s="331"/>
      <c r="F15" s="331"/>
    </row>
    <row r="16" spans="1:6">
      <c r="A16" s="1290" t="s">
        <v>6</v>
      </c>
      <c r="B16" s="1291">
        <v>569</v>
      </c>
      <c r="C16" s="331"/>
      <c r="D16" s="331"/>
      <c r="E16" s="331"/>
      <c r="F16" s="331"/>
    </row>
    <row r="17" spans="1:6">
      <c r="A17" s="1290" t="s">
        <v>7</v>
      </c>
      <c r="B17" s="1291">
        <v>1021</v>
      </c>
      <c r="C17" s="331"/>
      <c r="D17" s="331"/>
      <c r="E17" s="331"/>
      <c r="F17" s="331"/>
    </row>
    <row r="18" spans="1:6">
      <c r="A18" s="1290" t="s">
        <v>8</v>
      </c>
      <c r="B18" s="1291">
        <v>1333</v>
      </c>
      <c r="C18" s="331"/>
      <c r="D18" s="331"/>
      <c r="E18" s="331"/>
      <c r="F18" s="331"/>
    </row>
    <row r="19" spans="1:6">
      <c r="A19" s="1290" t="s">
        <v>9</v>
      </c>
      <c r="B19" s="1291">
        <v>1076</v>
      </c>
      <c r="C19" s="331"/>
      <c r="D19" s="331"/>
      <c r="E19" s="331"/>
      <c r="F19" s="331"/>
    </row>
    <row r="20" spans="1:6">
      <c r="A20" s="1290" t="s">
        <v>10</v>
      </c>
      <c r="B20" s="1291">
        <v>716</v>
      </c>
      <c r="C20" s="331"/>
      <c r="D20" s="331"/>
      <c r="E20" s="331"/>
      <c r="F20" s="331"/>
    </row>
    <row r="21" spans="1:6">
      <c r="A21" s="1290" t="s">
        <v>11</v>
      </c>
      <c r="B21" s="1291">
        <v>459</v>
      </c>
      <c r="C21" s="331"/>
      <c r="D21" s="331"/>
      <c r="E21" s="331"/>
      <c r="F21" s="331"/>
    </row>
    <row r="22" spans="1:6">
      <c r="A22" s="1290" t="s">
        <v>12</v>
      </c>
      <c r="B22" s="1291">
        <v>6439</v>
      </c>
      <c r="C22" s="331"/>
      <c r="D22" s="331"/>
      <c r="E22" s="331"/>
      <c r="F22" s="331"/>
    </row>
    <row r="23" spans="1:6">
      <c r="A23" s="1290" t="s">
        <v>13</v>
      </c>
      <c r="B23" s="1291">
        <v>32</v>
      </c>
      <c r="C23" s="331"/>
      <c r="D23" s="331"/>
      <c r="E23" s="331"/>
      <c r="F23" s="331"/>
    </row>
    <row r="24" spans="1:6">
      <c r="A24" s="1290" t="s">
        <v>14</v>
      </c>
      <c r="B24" s="1291">
        <v>9</v>
      </c>
      <c r="C24" s="331"/>
      <c r="D24" s="331"/>
      <c r="E24" s="331"/>
      <c r="F24" s="331"/>
    </row>
    <row r="25" spans="1:6">
      <c r="A25" s="1290" t="s">
        <v>15</v>
      </c>
      <c r="B25" s="1291">
        <v>205</v>
      </c>
      <c r="C25" s="331"/>
      <c r="D25" s="331"/>
      <c r="E25" s="331"/>
      <c r="F25" s="331"/>
    </row>
    <row r="26" spans="1:6">
      <c r="A26" s="1290" t="s">
        <v>16</v>
      </c>
      <c r="B26" s="1291">
        <v>344</v>
      </c>
      <c r="C26" s="331"/>
      <c r="D26" s="331"/>
      <c r="E26" s="331"/>
      <c r="F26" s="331"/>
    </row>
    <row r="27" spans="1:6">
      <c r="A27" s="1290" t="s">
        <v>17</v>
      </c>
      <c r="B27" s="1291">
        <v>9</v>
      </c>
      <c r="C27" s="331"/>
      <c r="D27" s="331"/>
      <c r="E27" s="331"/>
      <c r="F27" s="331"/>
    </row>
    <row r="28" spans="1:6" s="43" customFormat="1">
      <c r="A28" s="1292" t="s">
        <v>18</v>
      </c>
      <c r="B28" s="1293">
        <v>22458</v>
      </c>
      <c r="C28" s="337"/>
      <c r="D28" s="337"/>
      <c r="E28" s="337"/>
      <c r="F28" s="337"/>
    </row>
    <row r="29" spans="1:6">
      <c r="A29" s="1292" t="s">
        <v>966</v>
      </c>
      <c r="B29" s="1293">
        <v>139</v>
      </c>
      <c r="C29" s="337"/>
      <c r="D29" s="337"/>
      <c r="E29" s="337"/>
      <c r="F29" s="337"/>
    </row>
    <row r="30" spans="1:6">
      <c r="A30" s="1285" t="s">
        <v>967</v>
      </c>
      <c r="B30" s="1294">
        <v>21</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3</v>
      </c>
      <c r="F35" s="1291">
        <v>6836.0628745087997</v>
      </c>
    </row>
    <row r="36" spans="1:6">
      <c r="A36" s="1290" t="s">
        <v>24</v>
      </c>
      <c r="B36" s="1290" t="s">
        <v>26</v>
      </c>
      <c r="C36" s="1291">
        <v>0</v>
      </c>
      <c r="D36" s="1291">
        <v>0</v>
      </c>
      <c r="E36" s="1291">
        <v>16</v>
      </c>
      <c r="F36" s="1291">
        <v>85314.582757499695</v>
      </c>
    </row>
    <row r="37" spans="1:6">
      <c r="A37" s="1290" t="s">
        <v>24</v>
      </c>
      <c r="B37" s="1290" t="s">
        <v>27</v>
      </c>
      <c r="C37" s="1291">
        <v>0</v>
      </c>
      <c r="D37" s="1291">
        <v>0</v>
      </c>
      <c r="E37" s="1291">
        <v>0</v>
      </c>
      <c r="F37" s="1291">
        <v>0</v>
      </c>
    </row>
    <row r="38" spans="1:6">
      <c r="A38" s="1290" t="s">
        <v>24</v>
      </c>
      <c r="B38" s="1290" t="s">
        <v>28</v>
      </c>
      <c r="C38" s="1291">
        <v>1</v>
      </c>
      <c r="D38" s="1291">
        <v>188293.04732231499</v>
      </c>
      <c r="E38" s="1291">
        <v>1</v>
      </c>
      <c r="F38" s="1291">
        <v>7601</v>
      </c>
    </row>
    <row r="39" spans="1:6">
      <c r="A39" s="1290" t="s">
        <v>29</v>
      </c>
      <c r="B39" s="1290" t="s">
        <v>30</v>
      </c>
      <c r="C39" s="1291">
        <v>10173</v>
      </c>
      <c r="D39" s="1291">
        <v>170601707.16571999</v>
      </c>
      <c r="E39" s="1291">
        <v>14583</v>
      </c>
      <c r="F39" s="1291">
        <v>52660884.116139501</v>
      </c>
    </row>
    <row r="40" spans="1:6">
      <c r="A40" s="1290" t="s">
        <v>29</v>
      </c>
      <c r="B40" s="1290" t="s">
        <v>28</v>
      </c>
      <c r="C40" s="1291">
        <v>0</v>
      </c>
      <c r="D40" s="1291">
        <v>0</v>
      </c>
      <c r="E40" s="1291">
        <v>1</v>
      </c>
      <c r="F40" s="1291">
        <v>6262.2082131296002</v>
      </c>
    </row>
    <row r="41" spans="1:6">
      <c r="A41" s="1290" t="s">
        <v>31</v>
      </c>
      <c r="B41" s="1290" t="s">
        <v>32</v>
      </c>
      <c r="C41" s="1291">
        <v>72</v>
      </c>
      <c r="D41" s="1291">
        <v>1687392.3855854</v>
      </c>
      <c r="E41" s="1291">
        <v>165</v>
      </c>
      <c r="F41" s="1291">
        <v>12805371.3304493</v>
      </c>
    </row>
    <row r="42" spans="1:6">
      <c r="A42" s="1290" t="s">
        <v>31</v>
      </c>
      <c r="B42" s="1290" t="s">
        <v>33</v>
      </c>
      <c r="C42" s="1291">
        <v>3</v>
      </c>
      <c r="D42" s="1291">
        <v>80983.976714048098</v>
      </c>
      <c r="E42" s="1291">
        <v>0</v>
      </c>
      <c r="F42" s="1291">
        <v>0</v>
      </c>
    </row>
    <row r="43" spans="1:6">
      <c r="A43" s="1290" t="s">
        <v>31</v>
      </c>
      <c r="B43" s="1290" t="s">
        <v>34</v>
      </c>
      <c r="C43" s="1291">
        <v>0</v>
      </c>
      <c r="D43" s="1291">
        <v>0</v>
      </c>
      <c r="E43" s="1291">
        <v>0</v>
      </c>
      <c r="F43" s="1291">
        <v>0</v>
      </c>
    </row>
    <row r="44" spans="1:6">
      <c r="A44" s="1290" t="s">
        <v>31</v>
      </c>
      <c r="B44" s="1290" t="s">
        <v>35</v>
      </c>
      <c r="C44" s="1291">
        <v>8</v>
      </c>
      <c r="D44" s="1291">
        <v>109623.343665073</v>
      </c>
      <c r="E44" s="1291">
        <v>21</v>
      </c>
      <c r="F44" s="1291">
        <v>8942313.5860770196</v>
      </c>
    </row>
    <row r="45" spans="1:6">
      <c r="A45" s="1290" t="s">
        <v>31</v>
      </c>
      <c r="B45" s="1290" t="s">
        <v>36</v>
      </c>
      <c r="C45" s="1291">
        <v>0</v>
      </c>
      <c r="D45" s="1291">
        <v>0</v>
      </c>
      <c r="E45" s="1291">
        <v>3</v>
      </c>
      <c r="F45" s="1291">
        <v>40340.509061259203</v>
      </c>
    </row>
    <row r="46" spans="1:6">
      <c r="A46" s="1290" t="s">
        <v>31</v>
      </c>
      <c r="B46" s="1290" t="s">
        <v>37</v>
      </c>
      <c r="C46" s="1291">
        <v>4</v>
      </c>
      <c r="D46" s="1291">
        <v>2609687.9034116599</v>
      </c>
      <c r="E46" s="1291">
        <v>6</v>
      </c>
      <c r="F46" s="1291">
        <v>23087802</v>
      </c>
    </row>
    <row r="47" spans="1:6">
      <c r="A47" s="1290" t="s">
        <v>31</v>
      </c>
      <c r="B47" s="1290" t="s">
        <v>38</v>
      </c>
      <c r="C47" s="1291">
        <v>0</v>
      </c>
      <c r="D47" s="1291">
        <v>0</v>
      </c>
      <c r="E47" s="1291">
        <v>0</v>
      </c>
      <c r="F47" s="1291">
        <v>0</v>
      </c>
    </row>
    <row r="48" spans="1:6">
      <c r="A48" s="1290" t="s">
        <v>31</v>
      </c>
      <c r="B48" s="1290" t="s">
        <v>28</v>
      </c>
      <c r="C48" s="1291">
        <v>37</v>
      </c>
      <c r="D48" s="1291">
        <v>30221927.152392801</v>
      </c>
      <c r="E48" s="1291">
        <v>35</v>
      </c>
      <c r="F48" s="1291">
        <v>85739835.715466499</v>
      </c>
    </row>
    <row r="49" spans="1:6">
      <c r="A49" s="1290" t="s">
        <v>31</v>
      </c>
      <c r="B49" s="1290" t="s">
        <v>39</v>
      </c>
      <c r="C49" s="1291">
        <v>0</v>
      </c>
      <c r="D49" s="1291">
        <v>0</v>
      </c>
      <c r="E49" s="1291">
        <v>0</v>
      </c>
      <c r="F49" s="1291">
        <v>0</v>
      </c>
    </row>
    <row r="50" spans="1:6">
      <c r="A50" s="1290" t="s">
        <v>31</v>
      </c>
      <c r="B50" s="1290" t="s">
        <v>40</v>
      </c>
      <c r="C50" s="1291">
        <v>15</v>
      </c>
      <c r="D50" s="1291">
        <v>1132136.61473293</v>
      </c>
      <c r="E50" s="1291">
        <v>23</v>
      </c>
      <c r="F50" s="1291">
        <v>10005228.0054681</v>
      </c>
    </row>
    <row r="51" spans="1:6">
      <c r="A51" s="1290" t="s">
        <v>41</v>
      </c>
      <c r="B51" s="1290" t="s">
        <v>42</v>
      </c>
      <c r="C51" s="1291">
        <v>17</v>
      </c>
      <c r="D51" s="1291">
        <v>13005080.480098801</v>
      </c>
      <c r="E51" s="1291">
        <v>114</v>
      </c>
      <c r="F51" s="1291">
        <v>11493509.743995801</v>
      </c>
    </row>
    <row r="52" spans="1:6">
      <c r="A52" s="1290" t="s">
        <v>41</v>
      </c>
      <c r="B52" s="1290" t="s">
        <v>28</v>
      </c>
      <c r="C52" s="1291">
        <v>8</v>
      </c>
      <c r="D52" s="1291">
        <v>251858.39548512499</v>
      </c>
      <c r="E52" s="1291">
        <v>8</v>
      </c>
      <c r="F52" s="1291">
        <v>98619.952704690702</v>
      </c>
    </row>
    <row r="53" spans="1:6">
      <c r="A53" s="1290" t="s">
        <v>43</v>
      </c>
      <c r="B53" s="1290" t="s">
        <v>44</v>
      </c>
      <c r="C53" s="1291">
        <v>408</v>
      </c>
      <c r="D53" s="1291">
        <v>7948667.9930517403</v>
      </c>
      <c r="E53" s="1291">
        <v>672</v>
      </c>
      <c r="F53" s="1291">
        <v>2976069.1885233298</v>
      </c>
    </row>
    <row r="54" spans="1:6">
      <c r="A54" s="1290" t="s">
        <v>45</v>
      </c>
      <c r="B54" s="1290" t="s">
        <v>46</v>
      </c>
      <c r="C54" s="1291">
        <v>0</v>
      </c>
      <c r="D54" s="1291">
        <v>0</v>
      </c>
      <c r="E54" s="1291">
        <v>2</v>
      </c>
      <c r="F54" s="1291">
        <v>2459743</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65</v>
      </c>
      <c r="D57" s="1291">
        <v>2175048.3997822502</v>
      </c>
      <c r="E57" s="1291">
        <v>122</v>
      </c>
      <c r="F57" s="1291">
        <v>3872871.6530081099</v>
      </c>
    </row>
    <row r="58" spans="1:6">
      <c r="A58" s="1290" t="s">
        <v>48</v>
      </c>
      <c r="B58" s="1290" t="s">
        <v>50</v>
      </c>
      <c r="C58" s="1291">
        <v>84</v>
      </c>
      <c r="D58" s="1291">
        <v>19819566.5561263</v>
      </c>
      <c r="E58" s="1291">
        <v>97</v>
      </c>
      <c r="F58" s="1291">
        <v>8170925.2856144505</v>
      </c>
    </row>
    <row r="59" spans="1:6">
      <c r="A59" s="1290" t="s">
        <v>48</v>
      </c>
      <c r="B59" s="1290" t="s">
        <v>51</v>
      </c>
      <c r="C59" s="1291">
        <v>303</v>
      </c>
      <c r="D59" s="1291">
        <v>16342980.664189899</v>
      </c>
      <c r="E59" s="1291">
        <v>465</v>
      </c>
      <c r="F59" s="1291">
        <v>16354286.183982</v>
      </c>
    </row>
    <row r="60" spans="1:6">
      <c r="A60" s="1290" t="s">
        <v>48</v>
      </c>
      <c r="B60" s="1290" t="s">
        <v>52</v>
      </c>
      <c r="C60" s="1291">
        <v>131</v>
      </c>
      <c r="D60" s="1291">
        <v>5633497.4363734201</v>
      </c>
      <c r="E60" s="1291">
        <v>155</v>
      </c>
      <c r="F60" s="1291">
        <v>3659402.0884891301</v>
      </c>
    </row>
    <row r="61" spans="1:6">
      <c r="A61" s="1290" t="s">
        <v>48</v>
      </c>
      <c r="B61" s="1290" t="s">
        <v>53</v>
      </c>
      <c r="C61" s="1291">
        <v>263</v>
      </c>
      <c r="D61" s="1291">
        <v>25828643.899737898</v>
      </c>
      <c r="E61" s="1291">
        <v>669</v>
      </c>
      <c r="F61" s="1291">
        <v>16538601.266907301</v>
      </c>
    </row>
    <row r="62" spans="1:6">
      <c r="A62" s="1290" t="s">
        <v>48</v>
      </c>
      <c r="B62" s="1290" t="s">
        <v>54</v>
      </c>
      <c r="C62" s="1291">
        <v>25</v>
      </c>
      <c r="D62" s="1291">
        <v>5139813.6440461101</v>
      </c>
      <c r="E62" s="1291">
        <v>20</v>
      </c>
      <c r="F62" s="1291">
        <v>710344.95351556805</v>
      </c>
    </row>
    <row r="63" spans="1:6">
      <c r="A63" s="1290" t="s">
        <v>48</v>
      </c>
      <c r="B63" s="1290" t="s">
        <v>28</v>
      </c>
      <c r="C63" s="1291">
        <v>108</v>
      </c>
      <c r="D63" s="1291">
        <v>5877302.2203448098</v>
      </c>
      <c r="E63" s="1291">
        <v>102</v>
      </c>
      <c r="F63" s="1291">
        <v>4442349.6767713698</v>
      </c>
    </row>
    <row r="64" spans="1:6">
      <c r="A64" s="1290" t="s">
        <v>55</v>
      </c>
      <c r="B64" s="1290" t="s">
        <v>56</v>
      </c>
      <c r="C64" s="1291">
        <v>0</v>
      </c>
      <c r="D64" s="1291">
        <v>0</v>
      </c>
      <c r="E64" s="1291">
        <v>0</v>
      </c>
      <c r="F64" s="1291">
        <v>0</v>
      </c>
    </row>
    <row r="65" spans="1:6">
      <c r="A65" s="1290" t="s">
        <v>55</v>
      </c>
      <c r="B65" s="1290" t="s">
        <v>28</v>
      </c>
      <c r="C65" s="1291">
        <v>2</v>
      </c>
      <c r="D65" s="1291">
        <v>39206.579771326396</v>
      </c>
      <c r="E65" s="1291">
        <v>2</v>
      </c>
      <c r="F65" s="1291">
        <v>87669.542277701199</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4</v>
      </c>
      <c r="D68" s="1294">
        <v>114272.051287521</v>
      </c>
      <c r="E68" s="1294">
        <v>19</v>
      </c>
      <c r="F68" s="1294">
        <v>1020903.78332023</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132593387</v>
      </c>
      <c r="E73" s="455"/>
      <c r="F73" s="331"/>
    </row>
    <row r="74" spans="1:6">
      <c r="A74" s="1290" t="s">
        <v>63</v>
      </c>
      <c r="B74" s="1290" t="s">
        <v>773</v>
      </c>
      <c r="C74" s="1304" t="s">
        <v>774</v>
      </c>
      <c r="D74" s="1305">
        <v>15035424.91382774</v>
      </c>
      <c r="E74" s="455"/>
      <c r="F74" s="331"/>
    </row>
    <row r="75" spans="1:6">
      <c r="A75" s="1290" t="s">
        <v>64</v>
      </c>
      <c r="B75" s="1290" t="s">
        <v>771</v>
      </c>
      <c r="C75" s="1304" t="s">
        <v>775</v>
      </c>
      <c r="D75" s="1305">
        <v>46025088</v>
      </c>
      <c r="E75" s="455"/>
      <c r="F75" s="331"/>
    </row>
    <row r="76" spans="1:6">
      <c r="A76" s="1290" t="s">
        <v>64</v>
      </c>
      <c r="B76" s="1290" t="s">
        <v>773</v>
      </c>
      <c r="C76" s="1304" t="s">
        <v>776</v>
      </c>
      <c r="D76" s="1305">
        <v>1555696.913827739</v>
      </c>
      <c r="E76" s="455"/>
      <c r="F76" s="331"/>
    </row>
    <row r="77" spans="1:6">
      <c r="A77" s="1290" t="s">
        <v>65</v>
      </c>
      <c r="B77" s="1290" t="s">
        <v>771</v>
      </c>
      <c r="C77" s="1304" t="s">
        <v>777</v>
      </c>
      <c r="D77" s="1305">
        <v>49446477</v>
      </c>
      <c r="E77" s="455"/>
      <c r="F77" s="331"/>
    </row>
    <row r="78" spans="1:6">
      <c r="A78" s="1285" t="s">
        <v>65</v>
      </c>
      <c r="B78" s="1285" t="s">
        <v>773</v>
      </c>
      <c r="C78" s="1285" t="s">
        <v>778</v>
      </c>
      <c r="D78" s="1306">
        <v>5992862</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1031294.172344522</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2010.0290491088854</v>
      </c>
      <c r="C91" s="331"/>
      <c r="D91" s="331"/>
      <c r="E91" s="331"/>
      <c r="F91" s="331"/>
    </row>
    <row r="92" spans="1:6">
      <c r="A92" s="1285" t="s">
        <v>68</v>
      </c>
      <c r="B92" s="1286">
        <v>2460.3830532990005</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7932</v>
      </c>
      <c r="C97" s="331"/>
      <c r="D97" s="331"/>
      <c r="E97" s="331"/>
      <c r="F97" s="331"/>
    </row>
    <row r="98" spans="1:6">
      <c r="A98" s="1290" t="s">
        <v>71</v>
      </c>
      <c r="B98" s="1291">
        <v>4</v>
      </c>
      <c r="C98" s="331"/>
      <c r="D98" s="331"/>
      <c r="E98" s="331"/>
      <c r="F98" s="331"/>
    </row>
    <row r="99" spans="1:6">
      <c r="A99" s="1290" t="s">
        <v>72</v>
      </c>
      <c r="B99" s="1291">
        <v>90</v>
      </c>
      <c r="C99" s="331"/>
      <c r="D99" s="331"/>
      <c r="E99" s="331"/>
      <c r="F99" s="331"/>
    </row>
    <row r="100" spans="1:6">
      <c r="A100" s="1290" t="s">
        <v>73</v>
      </c>
      <c r="B100" s="1291">
        <v>630</v>
      </c>
      <c r="C100" s="331"/>
      <c r="D100" s="331"/>
      <c r="E100" s="331"/>
      <c r="F100" s="331"/>
    </row>
    <row r="101" spans="1:6">
      <c r="A101" s="1290" t="s">
        <v>74</v>
      </c>
      <c r="B101" s="1291">
        <v>56</v>
      </c>
      <c r="C101" s="331"/>
      <c r="D101" s="331"/>
      <c r="E101" s="331"/>
      <c r="F101" s="331"/>
    </row>
    <row r="102" spans="1:6">
      <c r="A102" s="1290" t="s">
        <v>75</v>
      </c>
      <c r="B102" s="1291">
        <v>307</v>
      </c>
      <c r="C102" s="331"/>
      <c r="D102" s="331"/>
      <c r="E102" s="331"/>
      <c r="F102" s="331"/>
    </row>
    <row r="103" spans="1:6">
      <c r="A103" s="1290" t="s">
        <v>76</v>
      </c>
      <c r="B103" s="1291">
        <v>329</v>
      </c>
      <c r="C103" s="331"/>
      <c r="D103" s="331"/>
      <c r="E103" s="331"/>
      <c r="F103" s="331"/>
    </row>
    <row r="104" spans="1:6">
      <c r="A104" s="1290" t="s">
        <v>77</v>
      </c>
      <c r="B104" s="1291">
        <v>4635</v>
      </c>
      <c r="C104" s="331"/>
      <c r="D104" s="331"/>
      <c r="E104" s="331"/>
      <c r="F104" s="331"/>
    </row>
    <row r="105" spans="1:6">
      <c r="A105" s="1285" t="s">
        <v>78</v>
      </c>
      <c r="B105" s="1294">
        <v>3</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4</v>
      </c>
      <c r="C123" s="1291">
        <v>6</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47</v>
      </c>
      <c r="C129" s="331"/>
      <c r="D129" s="331"/>
      <c r="E129" s="331"/>
      <c r="F129" s="331"/>
    </row>
    <row r="130" spans="1:6">
      <c r="A130" s="1290" t="s">
        <v>294</v>
      </c>
      <c r="B130" s="1291">
        <v>0</v>
      </c>
      <c r="C130" s="331"/>
      <c r="D130" s="331"/>
      <c r="E130" s="331"/>
      <c r="F130" s="331"/>
    </row>
    <row r="131" spans="1:6">
      <c r="A131" s="1290" t="s">
        <v>295</v>
      </c>
      <c r="B131" s="1291">
        <v>7</v>
      </c>
      <c r="C131" s="331"/>
      <c r="D131" s="331"/>
      <c r="E131" s="331"/>
      <c r="F131" s="331"/>
    </row>
    <row r="132" spans="1:6">
      <c r="A132" s="1285" t="s">
        <v>296</v>
      </c>
      <c r="B132" s="1286">
        <v>5</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266076.38673502783</v>
      </c>
      <c r="C3" s="43" t="s">
        <v>169</v>
      </c>
      <c r="D3" s="43"/>
      <c r="E3" s="156"/>
      <c r="F3" s="43"/>
      <c r="G3" s="43"/>
      <c r="H3" s="43"/>
      <c r="I3" s="43"/>
      <c r="J3" s="43"/>
      <c r="K3" s="96"/>
    </row>
    <row r="4" spans="1:11">
      <c r="A4" s="362" t="s">
        <v>170</v>
      </c>
      <c r="B4" s="49">
        <f>IF(ISERROR('SEAP template'!B78+'SEAP template'!C78),0,'SEAP template'!B78+'SEAP template'!C78)</f>
        <v>4470.4121024078859</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0.21728692689811666</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2459.7429999999999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2459.7429999999999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0.21728692689811666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534.46999742915409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52667.14632435263</v>
      </c>
      <c r="C5" s="17">
        <f>IF(ISERROR('Eigen informatie GS &amp; warmtenet'!B57),0,'Eigen informatie GS &amp; warmtenet'!B57)</f>
        <v>0</v>
      </c>
      <c r="D5" s="30">
        <f>(SUM(HH_hh_gas_kWh,HH_rest_gas_kWh)/1000)*0.902</f>
        <v>153882.73986347945</v>
      </c>
      <c r="E5" s="17">
        <f>B46*B57</f>
        <v>13226.288248244817</v>
      </c>
      <c r="F5" s="17">
        <f>B51*B62</f>
        <v>59244.145181002321</v>
      </c>
      <c r="G5" s="18"/>
      <c r="H5" s="17"/>
      <c r="I5" s="17"/>
      <c r="J5" s="17">
        <f>B50*B61+C50*C61</f>
        <v>3027.4684257202725</v>
      </c>
      <c r="K5" s="17"/>
      <c r="L5" s="17"/>
      <c r="M5" s="17"/>
      <c r="N5" s="17">
        <f>B48*B59+C48*C59</f>
        <v>7316.4811054258116</v>
      </c>
      <c r="O5" s="17">
        <f>B69*B70*B71</f>
        <v>82.856666666666683</v>
      </c>
      <c r="P5" s="17">
        <f>B77*B78*B79/1000-B77*B78*B79/1000/B80</f>
        <v>171.6</v>
      </c>
    </row>
    <row r="6" spans="1:16">
      <c r="A6" s="16" t="s">
        <v>631</v>
      </c>
      <c r="B6" s="776">
        <f>kWh_PV_kleiner_dan_10kW</f>
        <v>2010.0290491088854</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54677.175373461519</v>
      </c>
      <c r="C8" s="21">
        <f>C5</f>
        <v>0</v>
      </c>
      <c r="D8" s="21">
        <f>D5</f>
        <v>153882.73986347945</v>
      </c>
      <c r="E8" s="21">
        <f>E5</f>
        <v>13226.288248244817</v>
      </c>
      <c r="F8" s="21">
        <f>F5</f>
        <v>59244.145181002321</v>
      </c>
      <c r="G8" s="21"/>
      <c r="H8" s="21"/>
      <c r="I8" s="21"/>
      <c r="J8" s="21">
        <f>J5</f>
        <v>3027.4684257202725</v>
      </c>
      <c r="K8" s="21"/>
      <c r="L8" s="21">
        <f>L5</f>
        <v>0</v>
      </c>
      <c r="M8" s="21">
        <f>M5</f>
        <v>0</v>
      </c>
      <c r="N8" s="21">
        <f>N5</f>
        <v>7316.4811054258116</v>
      </c>
      <c r="O8" s="21">
        <f>O5</f>
        <v>82.856666666666683</v>
      </c>
      <c r="P8" s="21">
        <f>P5</f>
        <v>171.6</v>
      </c>
    </row>
    <row r="9" spans="1:16">
      <c r="B9" s="19"/>
      <c r="C9" s="19"/>
      <c r="D9" s="260"/>
      <c r="E9" s="19"/>
      <c r="F9" s="19"/>
      <c r="G9" s="19"/>
      <c r="H9" s="19"/>
      <c r="I9" s="19"/>
      <c r="J9" s="19"/>
      <c r="K9" s="19"/>
      <c r="L9" s="19"/>
      <c r="M9" s="19"/>
      <c r="N9" s="19"/>
      <c r="O9" s="19"/>
      <c r="P9" s="19"/>
    </row>
    <row r="10" spans="1:16">
      <c r="A10" s="24" t="s">
        <v>213</v>
      </c>
      <c r="B10" s="25">
        <f ca="1">'EF ele_warmte'!B12</f>
        <v>0.21728692689811666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11880.635408368837</v>
      </c>
      <c r="C12" s="23">
        <f ca="1">C10*C8</f>
        <v>0</v>
      </c>
      <c r="D12" s="23">
        <f>D8*D10</f>
        <v>31084.313452422852</v>
      </c>
      <c r="E12" s="23">
        <f>E10*E8</f>
        <v>3002.3674323515734</v>
      </c>
      <c r="F12" s="23">
        <f>F10*F8</f>
        <v>15818.18676332762</v>
      </c>
      <c r="G12" s="23"/>
      <c r="H12" s="23"/>
      <c r="I12" s="23"/>
      <c r="J12" s="23">
        <f>J10*J8</f>
        <v>1071.7238227049763</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7932</v>
      </c>
      <c r="C18" s="167" t="s">
        <v>110</v>
      </c>
      <c r="D18" s="229"/>
      <c r="E18" s="15"/>
    </row>
    <row r="19" spans="1:7">
      <c r="A19" s="172" t="s">
        <v>71</v>
      </c>
      <c r="B19" s="37">
        <f>aantalw2001_ander</f>
        <v>4</v>
      </c>
      <c r="C19" s="167" t="s">
        <v>110</v>
      </c>
      <c r="D19" s="230"/>
      <c r="E19" s="15"/>
    </row>
    <row r="20" spans="1:7">
      <c r="A20" s="172" t="s">
        <v>72</v>
      </c>
      <c r="B20" s="37">
        <f>aantalw2001_propaan</f>
        <v>90</v>
      </c>
      <c r="C20" s="168">
        <f>IF(ISERROR(B20/SUM($B$20,$B$21,$B$22)*100),0,B20/SUM($B$20,$B$21,$B$22)*100)</f>
        <v>11.597938144329897</v>
      </c>
      <c r="D20" s="230"/>
      <c r="E20" s="15"/>
    </row>
    <row r="21" spans="1:7">
      <c r="A21" s="172" t="s">
        <v>73</v>
      </c>
      <c r="B21" s="37">
        <f>aantalw2001_elektriciteit</f>
        <v>630</v>
      </c>
      <c r="C21" s="168">
        <f>IF(ISERROR(B21/SUM($B$20,$B$21,$B$22)*100),0,B21/SUM($B$20,$B$21,$B$22)*100)</f>
        <v>81.185567010309285</v>
      </c>
      <c r="D21" s="230"/>
      <c r="E21" s="15"/>
    </row>
    <row r="22" spans="1:7">
      <c r="A22" s="172" t="s">
        <v>74</v>
      </c>
      <c r="B22" s="37">
        <f>aantalw2001_hout</f>
        <v>56</v>
      </c>
      <c r="C22" s="168">
        <f>IF(ISERROR(B22/SUM($B$20,$B$21,$B$22)*100),0,B22/SUM($B$20,$B$21,$B$22)*100)</f>
        <v>7.216494845360824</v>
      </c>
      <c r="D22" s="230"/>
      <c r="E22" s="15"/>
    </row>
    <row r="23" spans="1:7">
      <c r="A23" s="172" t="s">
        <v>75</v>
      </c>
      <c r="B23" s="37">
        <f>aantalw2001_niet_gespec</f>
        <v>307</v>
      </c>
      <c r="C23" s="167" t="s">
        <v>110</v>
      </c>
      <c r="D23" s="229"/>
      <c r="E23" s="15"/>
    </row>
    <row r="24" spans="1:7">
      <c r="A24" s="172" t="s">
        <v>76</v>
      </c>
      <c r="B24" s="37">
        <f>aantalw2001_steenkool</f>
        <v>329</v>
      </c>
      <c r="C24" s="167" t="s">
        <v>110</v>
      </c>
      <c r="D24" s="230"/>
      <c r="E24" s="15"/>
    </row>
    <row r="25" spans="1:7">
      <c r="A25" s="172" t="s">
        <v>77</v>
      </c>
      <c r="B25" s="37">
        <f>aantalw2001_stookolie</f>
        <v>4635</v>
      </c>
      <c r="C25" s="167" t="s">
        <v>110</v>
      </c>
      <c r="D25" s="229"/>
      <c r="E25" s="52"/>
    </row>
    <row r="26" spans="1:7">
      <c r="A26" s="172" t="s">
        <v>78</v>
      </c>
      <c r="B26" s="37">
        <f>aantalw2001_WP</f>
        <v>3</v>
      </c>
      <c r="C26" s="167" t="s">
        <v>110</v>
      </c>
      <c r="D26" s="229"/>
      <c r="E26" s="15"/>
    </row>
    <row r="27" spans="1:7" s="15" customFormat="1">
      <c r="A27" s="172"/>
      <c r="B27" s="29"/>
      <c r="C27" s="36"/>
      <c r="D27" s="229"/>
    </row>
    <row r="28" spans="1:7" s="15" customFormat="1">
      <c r="A28" s="231" t="s">
        <v>711</v>
      </c>
      <c r="B28" s="37">
        <f>aantalHuishoudens</f>
        <v>14580</v>
      </c>
      <c r="C28" s="36"/>
      <c r="D28" s="229"/>
    </row>
    <row r="29" spans="1:7" s="15" customFormat="1">
      <c r="A29" s="231" t="s">
        <v>712</v>
      </c>
      <c r="B29" s="37">
        <f>SUM(HH_hh_gas_aantal,HH_rest_gas_aantal)</f>
        <v>10173</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10173</v>
      </c>
      <c r="C32" s="168">
        <f>IF(ISERROR(B32/SUM($B$32,$B$34,$B$35,$B$36,$B$38,$B$39)*100),0,B32/SUM($B$32,$B$34,$B$35,$B$36,$B$38,$B$39)*100)</f>
        <v>69.816759316450486</v>
      </c>
      <c r="D32" s="234"/>
      <c r="G32" s="15"/>
    </row>
    <row r="33" spans="1:7">
      <c r="A33" s="172" t="s">
        <v>71</v>
      </c>
      <c r="B33" s="34" t="s">
        <v>110</v>
      </c>
      <c r="C33" s="168"/>
      <c r="D33" s="234"/>
      <c r="G33" s="15"/>
    </row>
    <row r="34" spans="1:7">
      <c r="A34" s="172" t="s">
        <v>72</v>
      </c>
      <c r="B34" s="33">
        <f>IF((($B$28-$B$32-$B$39-$B$77-$B$38)*C20/100)&lt;0,0,($B$28-$B$32-$B$39-$B$77-$B$38)*C20/100)</f>
        <v>194.26546391752578</v>
      </c>
      <c r="C34" s="168">
        <f>IF(ISERROR(B34/SUM($B$32,$B$34,$B$35,$B$36,$B$38,$B$39)*100),0,B34/SUM($B$32,$B$34,$B$35,$B$36,$B$38,$B$39)*100)</f>
        <v>1.3332335729704603</v>
      </c>
      <c r="D34" s="234"/>
      <c r="G34" s="15"/>
    </row>
    <row r="35" spans="1:7">
      <c r="A35" s="172" t="s">
        <v>73</v>
      </c>
      <c r="B35" s="33">
        <f>IF((($B$28-$B$32-$B$39-$B$77-$B$38)*C21/100)&lt;0,0,($B$28-$B$32-$B$39-$B$77-$B$38)*C21/100)</f>
        <v>1359.8582474226805</v>
      </c>
      <c r="C35" s="168">
        <f>IF(ISERROR(B35/SUM($B$32,$B$34,$B$35,$B$36,$B$38,$B$39)*100),0,B35/SUM($B$32,$B$34,$B$35,$B$36,$B$38,$B$39)*100)</f>
        <v>9.3326350107932239</v>
      </c>
      <c r="D35" s="234"/>
      <c r="G35" s="15"/>
    </row>
    <row r="36" spans="1:7">
      <c r="A36" s="172" t="s">
        <v>74</v>
      </c>
      <c r="B36" s="33">
        <f>IF((($B$28-$B$32-$B$39-$B$77-$B$38)*C22/100)&lt;0,0,($B$28-$B$32-$B$39-$B$77-$B$38)*C22/100)</f>
        <v>120.87628865979381</v>
      </c>
      <c r="C36" s="168">
        <f>IF(ISERROR(B36/SUM($B$32,$B$34,$B$35,$B$36,$B$38,$B$39)*100),0,B36/SUM($B$32,$B$34,$B$35,$B$36,$B$38,$B$39)*100)</f>
        <v>0.82956755651495306</v>
      </c>
      <c r="D36" s="234"/>
      <c r="G36" s="15"/>
    </row>
    <row r="37" spans="1:7">
      <c r="A37" s="172" t="s">
        <v>75</v>
      </c>
      <c r="B37" s="34" t="s">
        <v>110</v>
      </c>
      <c r="C37" s="168"/>
      <c r="D37" s="174"/>
      <c r="G37" s="15"/>
    </row>
    <row r="38" spans="1:7">
      <c r="A38" s="172" t="s">
        <v>76</v>
      </c>
      <c r="B38" s="33">
        <f>IF((B24-(B29-B18)*0.1)&lt;0,0,B24-(B29-B18)*0.1)</f>
        <v>104.89999999999998</v>
      </c>
      <c r="C38" s="168">
        <f>IF(ISERROR(B38/SUM($B$32,$B$34,$B$35,$B$36,$B$38,$B$39)*100),0,B38/SUM($B$32,$B$34,$B$35,$B$36,$B$38,$B$39)*100)</f>
        <v>0.71992313499416638</v>
      </c>
      <c r="D38" s="235"/>
      <c r="G38" s="15"/>
    </row>
    <row r="39" spans="1:7">
      <c r="A39" s="172" t="s">
        <v>77</v>
      </c>
      <c r="B39" s="33">
        <f>IF((B25-(B29-B18))&lt;0,0,B25-(B29-B18)*0.9)</f>
        <v>2618.1</v>
      </c>
      <c r="C39" s="168">
        <f>IF(ISERROR(B39/SUM($B$32,$B$34,$B$35,$B$36,$B$38,$B$39)*100),0,B39/SUM($B$32,$B$34,$B$35,$B$36,$B$38,$B$39)*100)</f>
        <v>17.967881408276714</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10173</v>
      </c>
      <c r="C44" s="34" t="s">
        <v>110</v>
      </c>
      <c r="D44" s="175"/>
    </row>
    <row r="45" spans="1:7">
      <c r="A45" s="172" t="s">
        <v>71</v>
      </c>
      <c r="B45" s="33" t="str">
        <f t="shared" si="0"/>
        <v>-</v>
      </c>
      <c r="C45" s="34" t="s">
        <v>110</v>
      </c>
      <c r="D45" s="175"/>
    </row>
    <row r="46" spans="1:7">
      <c r="A46" s="172" t="s">
        <v>72</v>
      </c>
      <c r="B46" s="33">
        <f t="shared" si="0"/>
        <v>194.26546391752578</v>
      </c>
      <c r="C46" s="34" t="s">
        <v>110</v>
      </c>
      <c r="D46" s="175"/>
    </row>
    <row r="47" spans="1:7">
      <c r="A47" s="172" t="s">
        <v>73</v>
      </c>
      <c r="B47" s="33">
        <f t="shared" si="0"/>
        <v>1359.8582474226805</v>
      </c>
      <c r="C47" s="34" t="s">
        <v>110</v>
      </c>
      <c r="D47" s="175"/>
    </row>
    <row r="48" spans="1:7">
      <c r="A48" s="172" t="s">
        <v>74</v>
      </c>
      <c r="B48" s="33">
        <f t="shared" si="0"/>
        <v>120.87628865979381</v>
      </c>
      <c r="C48" s="33">
        <f>B48*10</f>
        <v>1208.7628865979382</v>
      </c>
      <c r="D48" s="235"/>
    </row>
    <row r="49" spans="1:6">
      <c r="A49" s="172" t="s">
        <v>75</v>
      </c>
      <c r="B49" s="33" t="str">
        <f t="shared" si="0"/>
        <v>-</v>
      </c>
      <c r="C49" s="34" t="s">
        <v>110</v>
      </c>
      <c r="D49" s="235"/>
    </row>
    <row r="50" spans="1:6">
      <c r="A50" s="172" t="s">
        <v>76</v>
      </c>
      <c r="B50" s="33">
        <f t="shared" si="0"/>
        <v>104.89999999999998</v>
      </c>
      <c r="C50" s="33">
        <f>B50*2</f>
        <v>209.79999999999995</v>
      </c>
      <c r="D50" s="235"/>
    </row>
    <row r="51" spans="1:6">
      <c r="A51" s="172" t="s">
        <v>77</v>
      </c>
      <c r="B51" s="33">
        <f t="shared" si="0"/>
        <v>2618.1</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53</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9</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53748.78110828792</v>
      </c>
      <c r="C5" s="17">
        <f>IF(ISERROR('Eigen informatie GS &amp; warmtenet'!B58),0,'Eigen informatie GS &amp; warmtenet'!B58)</f>
        <v>0</v>
      </c>
      <c r="D5" s="30">
        <f>SUM(D6:D12)</f>
        <v>72896.801244181828</v>
      </c>
      <c r="E5" s="17">
        <f>SUM(E6:E12)</f>
        <v>992.12882600955083</v>
      </c>
      <c r="F5" s="17">
        <f>SUM(F6:F12)</f>
        <v>10096.405395215344</v>
      </c>
      <c r="G5" s="18"/>
      <c r="H5" s="17"/>
      <c r="I5" s="17"/>
      <c r="J5" s="17">
        <f>SUM(J6:J12)</f>
        <v>0</v>
      </c>
      <c r="K5" s="17"/>
      <c r="L5" s="17"/>
      <c r="M5" s="17"/>
      <c r="N5" s="17">
        <f>SUM(N6:N12)</f>
        <v>1226.8082550111355</v>
      </c>
      <c r="O5" s="17">
        <f>B38*B39*B40</f>
        <v>0</v>
      </c>
      <c r="P5" s="17">
        <f>B46*B47*B48/1000-B46*B47*B48/1000/B49</f>
        <v>133.46666666666667</v>
      </c>
      <c r="R5" s="32"/>
    </row>
    <row r="6" spans="1:18">
      <c r="A6" s="32" t="s">
        <v>53</v>
      </c>
      <c r="B6" s="37">
        <f>B26</f>
        <v>16538.601266907302</v>
      </c>
      <c r="C6" s="33"/>
      <c r="D6" s="37">
        <f>IF(ISERROR(TER_kantoor_gas_kWh/1000),0,TER_kantoor_gas_kWh/1000)*0.902</f>
        <v>23297.436797563583</v>
      </c>
      <c r="E6" s="33">
        <f>$C$26*'E Balans VL '!I12/100/3.6*1000000</f>
        <v>578.91610300884088</v>
      </c>
      <c r="F6" s="33">
        <f>$C$26*('E Balans VL '!L12+'E Balans VL '!N12)/100/3.6*1000000</f>
        <v>2507.6070323528793</v>
      </c>
      <c r="G6" s="34"/>
      <c r="H6" s="33"/>
      <c r="I6" s="33"/>
      <c r="J6" s="33">
        <f>$C$26*('E Balans VL '!D12+'E Balans VL '!E12)/100/3.6*1000000</f>
        <v>0</v>
      </c>
      <c r="K6" s="33"/>
      <c r="L6" s="33"/>
      <c r="M6" s="33"/>
      <c r="N6" s="33">
        <f>$C$26*'E Balans VL '!Y12/100/3.6*1000000</f>
        <v>127.83821135345892</v>
      </c>
      <c r="O6" s="33"/>
      <c r="P6" s="33"/>
      <c r="R6" s="32"/>
    </row>
    <row r="7" spans="1:18">
      <c r="A7" s="32" t="s">
        <v>52</v>
      </c>
      <c r="B7" s="37">
        <f t="shared" ref="B7:B12" si="0">B27</f>
        <v>3659.4020884891302</v>
      </c>
      <c r="C7" s="33"/>
      <c r="D7" s="37">
        <f>IF(ISERROR(TER_horeca_gas_kWh/1000),0,TER_horeca_gas_kWh/1000)*0.902</f>
        <v>5081.4146876088253</v>
      </c>
      <c r="E7" s="33">
        <f>$C$27*'E Balans VL '!I9/100/3.6*1000000</f>
        <v>206.4389359882849</v>
      </c>
      <c r="F7" s="33">
        <f>$C$27*('E Balans VL '!L9+'E Balans VL '!N9)/100/3.6*1000000</f>
        <v>637.4880952059799</v>
      </c>
      <c r="G7" s="34"/>
      <c r="H7" s="33"/>
      <c r="I7" s="33"/>
      <c r="J7" s="33">
        <f>$C$27*('E Balans VL '!D9+'E Balans VL '!E9)/100/3.6*1000000</f>
        <v>0</v>
      </c>
      <c r="K7" s="33"/>
      <c r="L7" s="33"/>
      <c r="M7" s="33"/>
      <c r="N7" s="33">
        <f>$C$27*'E Balans VL '!Y9/100/3.6*1000000</f>
        <v>0</v>
      </c>
      <c r="O7" s="33"/>
      <c r="P7" s="33"/>
      <c r="R7" s="32"/>
    </row>
    <row r="8" spans="1:18">
      <c r="A8" s="6" t="s">
        <v>51</v>
      </c>
      <c r="B8" s="37">
        <f t="shared" si="0"/>
        <v>16354.286183982</v>
      </c>
      <c r="C8" s="33"/>
      <c r="D8" s="37">
        <f>IF(ISERROR(TER_handel_gas_kWh/1000),0,TER_handel_gas_kWh/1000)*0.902</f>
        <v>14741.36855909929</v>
      </c>
      <c r="E8" s="33">
        <f>$C$28*'E Balans VL '!I13/100/3.6*1000000</f>
        <v>83.961243697185679</v>
      </c>
      <c r="F8" s="33">
        <f>$C$28*('E Balans VL '!L13+'E Balans VL '!N13)/100/3.6*1000000</f>
        <v>2521.5782299077291</v>
      </c>
      <c r="G8" s="34"/>
      <c r="H8" s="33"/>
      <c r="I8" s="33"/>
      <c r="J8" s="33">
        <f>$C$28*('E Balans VL '!D13+'E Balans VL '!E13)/100/3.6*1000000</f>
        <v>0</v>
      </c>
      <c r="K8" s="33"/>
      <c r="L8" s="33"/>
      <c r="M8" s="33"/>
      <c r="N8" s="33">
        <f>$C$28*'E Balans VL '!Y13/100/3.6*1000000</f>
        <v>7.6490992791823285</v>
      </c>
      <c r="O8" s="33"/>
      <c r="P8" s="33"/>
      <c r="R8" s="32"/>
    </row>
    <row r="9" spans="1:18">
      <c r="A9" s="32" t="s">
        <v>50</v>
      </c>
      <c r="B9" s="37">
        <f t="shared" si="0"/>
        <v>8170.9252856144503</v>
      </c>
      <c r="C9" s="33"/>
      <c r="D9" s="37">
        <f>IF(ISERROR(TER_gezond_gas_kWh/1000),0,TER_gezond_gas_kWh/1000)*0.902</f>
        <v>17877.249033625925</v>
      </c>
      <c r="E9" s="33">
        <f>$C$29*'E Balans VL '!I10/100/3.6*1000000</f>
        <v>3.3867903396428671</v>
      </c>
      <c r="F9" s="33">
        <f>$C$29*('E Balans VL '!L10+'E Balans VL '!N10)/100/3.6*1000000</f>
        <v>2012.3817111464136</v>
      </c>
      <c r="G9" s="34"/>
      <c r="H9" s="33"/>
      <c r="I9" s="33"/>
      <c r="J9" s="33">
        <f>$C$29*('E Balans VL '!D10+'E Balans VL '!E10)/100/3.6*1000000</f>
        <v>0</v>
      </c>
      <c r="K9" s="33"/>
      <c r="L9" s="33"/>
      <c r="M9" s="33"/>
      <c r="N9" s="33">
        <f>$C$29*'E Balans VL '!Y10/100/3.6*1000000</f>
        <v>70.617018530119324</v>
      </c>
      <c r="O9" s="33"/>
      <c r="P9" s="33"/>
      <c r="R9" s="32"/>
    </row>
    <row r="10" spans="1:18">
      <c r="A10" s="32" t="s">
        <v>49</v>
      </c>
      <c r="B10" s="37">
        <f t="shared" si="0"/>
        <v>3872.8716530081101</v>
      </c>
      <c r="C10" s="33"/>
      <c r="D10" s="37">
        <f>IF(ISERROR(TER_ander_gas_kWh/1000),0,TER_ander_gas_kWh/1000)*0.902</f>
        <v>1961.8936566035898</v>
      </c>
      <c r="E10" s="33">
        <f>$C$30*'E Balans VL '!I14/100/3.6*1000000</f>
        <v>23.609121150928001</v>
      </c>
      <c r="F10" s="33">
        <f>$C$30*('E Balans VL '!L14+'E Balans VL '!N14)/100/3.6*1000000</f>
        <v>1026.7513275361096</v>
      </c>
      <c r="G10" s="34"/>
      <c r="H10" s="33"/>
      <c r="I10" s="33"/>
      <c r="J10" s="33">
        <f>$C$30*('E Balans VL '!D14+'E Balans VL '!E14)/100/3.6*1000000</f>
        <v>0</v>
      </c>
      <c r="K10" s="33"/>
      <c r="L10" s="33"/>
      <c r="M10" s="33"/>
      <c r="N10" s="33">
        <f>$C$30*'E Balans VL '!Y14/100/3.6*1000000</f>
        <v>892.61322942163429</v>
      </c>
      <c r="O10" s="33"/>
      <c r="P10" s="33"/>
      <c r="R10" s="32"/>
    </row>
    <row r="11" spans="1:18">
      <c r="A11" s="32" t="s">
        <v>54</v>
      </c>
      <c r="B11" s="37">
        <f t="shared" si="0"/>
        <v>710.34495351556802</v>
      </c>
      <c r="C11" s="33"/>
      <c r="D11" s="37">
        <f>IF(ISERROR(TER_onderwijs_gas_kWh/1000),0,TER_onderwijs_gas_kWh/1000)*0.902</f>
        <v>4636.1119069295919</v>
      </c>
      <c r="E11" s="33">
        <f>$C$31*'E Balans VL '!I11/100/3.6*1000000</f>
        <v>0.54131984263134658</v>
      </c>
      <c r="F11" s="33">
        <f>$C$31*('E Balans VL '!L11+'E Balans VL '!N11)/100/3.6*1000000</f>
        <v>514.04453688704905</v>
      </c>
      <c r="G11" s="34"/>
      <c r="H11" s="33"/>
      <c r="I11" s="33"/>
      <c r="J11" s="33">
        <f>$C$31*('E Balans VL '!D11+'E Balans VL '!E11)/100/3.6*1000000</f>
        <v>0</v>
      </c>
      <c r="K11" s="33"/>
      <c r="L11" s="33"/>
      <c r="M11" s="33"/>
      <c r="N11" s="33">
        <f>$C$31*'E Balans VL '!Y11/100/3.6*1000000</f>
        <v>2.0935563473607379</v>
      </c>
      <c r="O11" s="33"/>
      <c r="P11" s="33"/>
      <c r="R11" s="32"/>
    </row>
    <row r="12" spans="1:18">
      <c r="A12" s="32" t="s">
        <v>259</v>
      </c>
      <c r="B12" s="37">
        <f t="shared" si="0"/>
        <v>4442.3496767713696</v>
      </c>
      <c r="C12" s="33"/>
      <c r="D12" s="37">
        <f>IF(ISERROR(TER_rest_gas_kWh/1000),0,TER_rest_gas_kWh/1000)*0.902</f>
        <v>5301.326602751019</v>
      </c>
      <c r="E12" s="33">
        <f>$C$32*'E Balans VL '!I8/100/3.6*1000000</f>
        <v>95.27531198203728</v>
      </c>
      <c r="F12" s="33">
        <f>$C$32*('E Balans VL '!L8+'E Balans VL '!N8)/100/3.6*1000000</f>
        <v>876.55446217918245</v>
      </c>
      <c r="G12" s="34"/>
      <c r="H12" s="33"/>
      <c r="I12" s="33"/>
      <c r="J12" s="33">
        <f>$C$32*('E Balans VL '!D8+'E Balans VL '!E8)/100/3.6*1000000</f>
        <v>0</v>
      </c>
      <c r="K12" s="33"/>
      <c r="L12" s="33"/>
      <c r="M12" s="33"/>
      <c r="N12" s="33">
        <f>$C$32*'E Balans VL '!Y8/100/3.6*1000000</f>
        <v>125.99714007937988</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53748.78110828792</v>
      </c>
      <c r="C16" s="21">
        <f ca="1">C5+C13+C14</f>
        <v>0</v>
      </c>
      <c r="D16" s="21">
        <f t="shared" ref="D16:N16" ca="1" si="1">MAX((D5+D13+D14),0)</f>
        <v>72896.801244181828</v>
      </c>
      <c r="E16" s="21">
        <f t="shared" si="1"/>
        <v>992.12882600955083</v>
      </c>
      <c r="F16" s="21">
        <f t="shared" ca="1" si="1"/>
        <v>10096.405395215344</v>
      </c>
      <c r="G16" s="21">
        <f t="shared" si="1"/>
        <v>0</v>
      </c>
      <c r="H16" s="21">
        <f t="shared" si="1"/>
        <v>0</v>
      </c>
      <c r="I16" s="21">
        <f t="shared" si="1"/>
        <v>0</v>
      </c>
      <c r="J16" s="21">
        <f t="shared" si="1"/>
        <v>0</v>
      </c>
      <c r="K16" s="21">
        <f t="shared" si="1"/>
        <v>0</v>
      </c>
      <c r="L16" s="21">
        <f t="shared" ca="1" si="1"/>
        <v>0</v>
      </c>
      <c r="M16" s="21">
        <f t="shared" si="1"/>
        <v>0</v>
      </c>
      <c r="N16" s="21">
        <f t="shared" ca="1" si="1"/>
        <v>1226.8082550111355</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0.21728692689811666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11678.907471539431</v>
      </c>
      <c r="C20" s="23">
        <f t="shared" ref="C20:P20" ca="1" si="2">C16*C18</f>
        <v>0</v>
      </c>
      <c r="D20" s="23">
        <f t="shared" ca="1" si="2"/>
        <v>14725.153851324731</v>
      </c>
      <c r="E20" s="23">
        <f t="shared" si="2"/>
        <v>225.21324350416805</v>
      </c>
      <c r="F20" s="23">
        <f t="shared" ca="1" si="2"/>
        <v>2695.7402405224971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16538.601266907302</v>
      </c>
      <c r="C26" s="39">
        <f>IF(ISERROR(B26*3.6/1000000/'E Balans VL '!Z12*100),0,B26*3.6/1000000/'E Balans VL '!Z12*100)</f>
        <v>0.34802743645637502</v>
      </c>
      <c r="D26" s="238" t="s">
        <v>718</v>
      </c>
      <c r="F26" s="6"/>
    </row>
    <row r="27" spans="1:18">
      <c r="A27" s="232" t="s">
        <v>52</v>
      </c>
      <c r="B27" s="33">
        <f>IF(ISERROR(TER_horeca_ele_kWh/1000),0,TER_horeca_ele_kWh/1000)</f>
        <v>3659.4020884891302</v>
      </c>
      <c r="C27" s="39">
        <f>IF(ISERROR(B27*3.6/1000000/'E Balans VL '!Z9*100),0,B27*3.6/1000000/'E Balans VL '!Z9*100)</f>
        <v>0.30983129200773146</v>
      </c>
      <c r="D27" s="238" t="s">
        <v>718</v>
      </c>
      <c r="F27" s="6"/>
    </row>
    <row r="28" spans="1:18">
      <c r="A28" s="172" t="s">
        <v>51</v>
      </c>
      <c r="B28" s="33">
        <f>IF(ISERROR(TER_handel_ele_kWh/1000),0,TER_handel_ele_kWh/1000)</f>
        <v>16354.286183982</v>
      </c>
      <c r="C28" s="39">
        <f>IF(ISERROR(B28*3.6/1000000/'E Balans VL '!Z13*100),0,B28*3.6/1000000/'E Balans VL '!Z13*100)</f>
        <v>0.4527661515484549</v>
      </c>
      <c r="D28" s="238" t="s">
        <v>718</v>
      </c>
      <c r="F28" s="6"/>
    </row>
    <row r="29" spans="1:18">
      <c r="A29" s="232" t="s">
        <v>50</v>
      </c>
      <c r="B29" s="33">
        <f>IF(ISERROR(TER_gezond_ele_kWh/1000),0,TER_gezond_ele_kWh/1000)</f>
        <v>8170.9252856144503</v>
      </c>
      <c r="C29" s="39">
        <f>IF(ISERROR(B29*3.6/1000000/'E Balans VL '!Z10*100),0,B29*3.6/1000000/'E Balans VL '!Z10*100)</f>
        <v>1.0621297018617766</v>
      </c>
      <c r="D29" s="238" t="s">
        <v>718</v>
      </c>
      <c r="F29" s="6"/>
    </row>
    <row r="30" spans="1:18">
      <c r="A30" s="232" t="s">
        <v>49</v>
      </c>
      <c r="B30" s="33">
        <f>IF(ISERROR(TER_ander_ele_kWh/1000),0,TER_ander_ele_kWh/1000)</f>
        <v>3872.8716530081101</v>
      </c>
      <c r="C30" s="39">
        <f>IF(ISERROR(B30*3.6/1000000/'E Balans VL '!Z14*100),0,B30*3.6/1000000/'E Balans VL '!Z14*100)</f>
        <v>0.30018307005436229</v>
      </c>
      <c r="D30" s="238" t="s">
        <v>718</v>
      </c>
      <c r="F30" s="6"/>
    </row>
    <row r="31" spans="1:18">
      <c r="A31" s="232" t="s">
        <v>54</v>
      </c>
      <c r="B31" s="33">
        <f>IF(ISERROR(TER_onderwijs_ele_kWh/1000),0,TER_onderwijs_ele_kWh/1000)</f>
        <v>710.34495351556802</v>
      </c>
      <c r="C31" s="39">
        <f>IF(ISERROR(B31*3.6/1000000/'E Balans VL '!Z11*100),0,B31*3.6/1000000/'E Balans VL '!Z11*100)</f>
        <v>0.13590109362938904</v>
      </c>
      <c r="D31" s="238" t="s">
        <v>718</v>
      </c>
    </row>
    <row r="32" spans="1:18">
      <c r="A32" s="232" t="s">
        <v>259</v>
      </c>
      <c r="B32" s="33">
        <f>IF(ISERROR(TER_rest_ele_kWh/1000),0,TER_rest_ele_kWh/1000)</f>
        <v>4442.3496767713696</v>
      </c>
      <c r="C32" s="39">
        <f>IF(ISERROR(B32*3.6/1000000/'E Balans VL '!Z8*100),0,B32*3.6/1000000/'E Balans VL '!Z8*100)</f>
        <v>3.6630584434434107E-2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7</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140620.89114652219</v>
      </c>
      <c r="C5" s="17">
        <f>IF(ISERROR('Eigen informatie GS &amp; warmtenet'!B59),0,'Eigen informatie GS &amp; warmtenet'!B59)</f>
        <v>0</v>
      </c>
      <c r="D5" s="30">
        <f>SUM(D6:D15)</f>
        <v>29975.321252727408</v>
      </c>
      <c r="E5" s="17">
        <f>SUM(E6:E15)</f>
        <v>1163.4357010305885</v>
      </c>
      <c r="F5" s="17">
        <f>SUM(F6:F15)</f>
        <v>37736.224864624062</v>
      </c>
      <c r="G5" s="18"/>
      <c r="H5" s="17"/>
      <c r="I5" s="17"/>
      <c r="J5" s="17">
        <f>SUM(J6:J15)</f>
        <v>5139.0434292139244</v>
      </c>
      <c r="K5" s="17"/>
      <c r="L5" s="17"/>
      <c r="M5" s="17"/>
      <c r="N5" s="17">
        <f>SUM(N6:N15)</f>
        <v>2671.9303078092344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23087.802</v>
      </c>
      <c r="C7" s="33"/>
      <c r="D7" s="37">
        <f>IF( ISERROR(IND_nonf_gas_kWhh/1000),0,IND_nonf_gas_kWh/1000)*0.902</f>
        <v>0</v>
      </c>
      <c r="E7" s="33">
        <f>C29*'E Balans VL '!I17/100/3.6*1000000</f>
        <v>19.452279447919889</v>
      </c>
      <c r="F7" s="33">
        <f>C29*'E Balans VL '!L17/100/3.6*1000000+C29*'E Balans VL '!N17/100/3.6*1000000</f>
        <v>7985.3767584866828</v>
      </c>
      <c r="G7" s="34"/>
      <c r="H7" s="33"/>
      <c r="I7" s="33"/>
      <c r="J7" s="40">
        <f>C29*'E Balans VL '!D17/100/3.6*1000000+C29*'E Balans VL '!E17/100/3.6*1000000</f>
        <v>4334.6355344491903</v>
      </c>
      <c r="K7" s="33"/>
      <c r="L7" s="33"/>
      <c r="M7" s="33"/>
      <c r="N7" s="33">
        <f>C29*'E Balans VL '!Y17/100/3.6*1000000</f>
        <v>0</v>
      </c>
      <c r="O7" s="33"/>
      <c r="P7" s="33"/>
      <c r="R7" s="32"/>
    </row>
    <row r="8" spans="1:18">
      <c r="A8" s="6" t="s">
        <v>35</v>
      </c>
      <c r="B8" s="37">
        <f t="shared" si="0"/>
        <v>8942.3135860770199</v>
      </c>
      <c r="C8" s="33"/>
      <c r="D8" s="37">
        <f>IF( ISERROR(IND_metaal_Gas_kWH/1000),0,IND_metaal_Gas_kWH/1000)*0.902</f>
        <v>98.880255985895843</v>
      </c>
      <c r="E8" s="33">
        <f>C30*'E Balans VL '!I18/100/3.6*1000000</f>
        <v>62.835664537367698</v>
      </c>
      <c r="F8" s="33">
        <f>C30*'E Balans VL '!L18/100/3.6*1000000+C30*'E Balans VL '!N18/100/3.6*1000000</f>
        <v>981.81371406722508</v>
      </c>
      <c r="G8" s="34"/>
      <c r="H8" s="33"/>
      <c r="I8" s="33"/>
      <c r="J8" s="40">
        <f>C30*'E Balans VL '!D18/100/3.6*1000000+C30*'E Balans VL '!E18/100/3.6*1000000</f>
        <v>184.49920346989865</v>
      </c>
      <c r="K8" s="33"/>
      <c r="L8" s="33"/>
      <c r="M8" s="33"/>
      <c r="N8" s="33">
        <f>C30*'E Balans VL '!Y18/100/3.6*1000000</f>
        <v>33.516435345350345</v>
      </c>
      <c r="O8" s="33"/>
      <c r="P8" s="33"/>
      <c r="R8" s="32"/>
    </row>
    <row r="9" spans="1:18">
      <c r="A9" s="6" t="s">
        <v>32</v>
      </c>
      <c r="B9" s="37">
        <f t="shared" si="0"/>
        <v>12805.371330449299</v>
      </c>
      <c r="C9" s="33"/>
      <c r="D9" s="37">
        <f>IF( ISERROR(IND_andere_gas_kWh/1000),0,IND_andere_gas_kWh/1000)*0.902</f>
        <v>1522.0279317980307</v>
      </c>
      <c r="E9" s="33">
        <f>C31*'E Balans VL '!I19/100/3.6*1000000</f>
        <v>215.08189857563639</v>
      </c>
      <c r="F9" s="33">
        <f>C31*'E Balans VL '!L19/100/3.6*1000000+C31*'E Balans VL '!N19/100/3.6*1000000</f>
        <v>10010.509966652291</v>
      </c>
      <c r="G9" s="34"/>
      <c r="H9" s="33"/>
      <c r="I9" s="33"/>
      <c r="J9" s="40">
        <f>C31*'E Balans VL '!D19/100/3.6*1000000+C31*'E Balans VL '!E19/100/3.6*1000000</f>
        <v>1.1549314560648298</v>
      </c>
      <c r="K9" s="33"/>
      <c r="L9" s="33"/>
      <c r="M9" s="33"/>
      <c r="N9" s="33">
        <f>C31*'E Balans VL '!Y19/100/3.6*1000000</f>
        <v>949.08345968255333</v>
      </c>
      <c r="O9" s="33"/>
      <c r="P9" s="33"/>
      <c r="R9" s="32"/>
    </row>
    <row r="10" spans="1:18">
      <c r="A10" s="6" t="s">
        <v>40</v>
      </c>
      <c r="B10" s="37">
        <f t="shared" si="0"/>
        <v>10005.2280054681</v>
      </c>
      <c r="C10" s="33"/>
      <c r="D10" s="37">
        <f>IF( ISERROR(IND_voed_gas_kWh/1000),0,IND_voed_gas_kWh/1000)*0.902</f>
        <v>1021.1872264891028</v>
      </c>
      <c r="E10" s="33">
        <f>C32*'E Balans VL '!I20/100/3.6*1000000</f>
        <v>91.283542649593159</v>
      </c>
      <c r="F10" s="33">
        <f>C32*'E Balans VL '!L20/100/3.6*1000000+C32*'E Balans VL '!N20/100/3.6*1000000</f>
        <v>1614.1562224998238</v>
      </c>
      <c r="G10" s="34"/>
      <c r="H10" s="33"/>
      <c r="I10" s="33"/>
      <c r="J10" s="40">
        <f>C32*'E Balans VL '!D20/100/3.6*1000000+C32*'E Balans VL '!E20/100/3.6*1000000</f>
        <v>41.208088671523008</v>
      </c>
      <c r="K10" s="33"/>
      <c r="L10" s="33"/>
      <c r="M10" s="33"/>
      <c r="N10" s="33">
        <f>C32*'E Balans VL '!Y20/100/3.6*1000000</f>
        <v>146.36859637629314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40.340509061259205</v>
      </c>
      <c r="C12" s="33"/>
      <c r="D12" s="37">
        <f>IF( ISERROR(IND_min_gas_kWh/1000),0,IND_min_gas_kWh/1000)*0.902</f>
        <v>0</v>
      </c>
      <c r="E12" s="33">
        <f>C34*'E Balans VL '!I22/100/3.6*1000000</f>
        <v>1.0005757736632774</v>
      </c>
      <c r="F12" s="33">
        <f>C34*'E Balans VL '!L22/100/3.6*1000000+C34*'E Balans VL '!N22/100/3.6*1000000</f>
        <v>4.2865653479821928</v>
      </c>
      <c r="G12" s="34"/>
      <c r="H12" s="33"/>
      <c r="I12" s="33"/>
      <c r="J12" s="40">
        <f>C34*'E Balans VL '!D22/100/3.6*1000000+C34*'E Balans VL '!E22/100/3.6*1000000</f>
        <v>0.22915776175388478</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73.047546996071389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85739.835715466499</v>
      </c>
      <c r="C15" s="33"/>
      <c r="D15" s="37">
        <f>IF( ISERROR(IND_rest_gas_kWh/1000),0,IND_rest_gas_kWh/1000)*0.902</f>
        <v>27260.178291458305</v>
      </c>
      <c r="E15" s="33">
        <f>C37*'E Balans VL '!I15/100/3.6*1000000</f>
        <v>773.781740046408</v>
      </c>
      <c r="F15" s="33">
        <f>C37*'E Balans VL '!L15/100/3.6*1000000+C37*'E Balans VL '!N15/100/3.6*1000000</f>
        <v>17140.08163757006</v>
      </c>
      <c r="G15" s="34"/>
      <c r="H15" s="33"/>
      <c r="I15" s="33"/>
      <c r="J15" s="40">
        <f>C37*'E Balans VL '!D15/100/3.6*1000000+C37*'E Balans VL '!E15/100/3.6*1000000</f>
        <v>577.31651340549263</v>
      </c>
      <c r="K15" s="33"/>
      <c r="L15" s="33"/>
      <c r="M15" s="33"/>
      <c r="N15" s="33">
        <f>C37*'E Balans VL '!Y15/100/3.6*1000000</f>
        <v>1542.9618164050378</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140620.89114652219</v>
      </c>
      <c r="C18" s="21">
        <f>C5+C16</f>
        <v>0</v>
      </c>
      <c r="D18" s="21">
        <f>MAX((D5+D16),0)</f>
        <v>29975.321252727408</v>
      </c>
      <c r="E18" s="21">
        <f>MAX((E5+E16),0)</f>
        <v>1163.4357010305885</v>
      </c>
      <c r="F18" s="21">
        <f>MAX((F5+F16),0)</f>
        <v>37736.224864624062</v>
      </c>
      <c r="G18" s="21"/>
      <c r="H18" s="21"/>
      <c r="I18" s="21"/>
      <c r="J18" s="21">
        <f>MAX((J5+J16),0)</f>
        <v>5139.0434292139244</v>
      </c>
      <c r="K18" s="21"/>
      <c r="L18" s="21">
        <f>MAX((L5+L16),0)</f>
        <v>0</v>
      </c>
      <c r="M18" s="21"/>
      <c r="N18" s="21">
        <f>MAX((N5+N16),0)</f>
        <v>2671.9303078092344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0.21728692689811666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30555.081294902386</v>
      </c>
      <c r="C22" s="23">
        <f ca="1">C18*C20</f>
        <v>0</v>
      </c>
      <c r="D22" s="23">
        <f>D18*D20</f>
        <v>6055.0148930509367</v>
      </c>
      <c r="E22" s="23">
        <f>E18*E20</f>
        <v>264.0999041339436</v>
      </c>
      <c r="F22" s="23">
        <f>F18*F20</f>
        <v>10075.572038854625</v>
      </c>
      <c r="G22" s="23"/>
      <c r="H22" s="23"/>
      <c r="I22" s="23"/>
      <c r="J22" s="23">
        <f>J18*J20</f>
        <v>1819.2213739417291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23087.802</v>
      </c>
      <c r="C29" s="39">
        <f>IF(ISERROR(B29*3.6/1000000/'E Balans VL '!Z17*100),0,B29*3.6/1000000/'E Balans VL '!Z17*100)</f>
        <v>9.8347954041293644</v>
      </c>
      <c r="D29" s="238" t="s">
        <v>718</v>
      </c>
    </row>
    <row r="30" spans="1:18">
      <c r="A30" s="172" t="s">
        <v>35</v>
      </c>
      <c r="B30" s="37">
        <f>IF( ISERROR(IND_metaal_ele_kWh/1000),0,IND_metaal_ele_kWh/1000)</f>
        <v>8942.3135860770199</v>
      </c>
      <c r="C30" s="39">
        <f>IF(ISERROR(B30*3.6/1000000/'E Balans VL '!Z18*100),0,B30*3.6/1000000/'E Balans VL '!Z18*100)</f>
        <v>0.59529527605941435</v>
      </c>
      <c r="D30" s="238" t="s">
        <v>718</v>
      </c>
    </row>
    <row r="31" spans="1:18">
      <c r="A31" s="6" t="s">
        <v>32</v>
      </c>
      <c r="B31" s="37">
        <f>IF( ISERROR(IND_ander_ele_kWh/1000),0,IND_ander_ele_kWh/1000)</f>
        <v>12805.371330449299</v>
      </c>
      <c r="C31" s="39">
        <f>IF(ISERROR(B31*3.6/1000000/'E Balans VL '!Z19*100),0,B31*3.6/1000000/'E Balans VL '!Z19*100)</f>
        <v>0.56761136407281743</v>
      </c>
      <c r="D31" s="238" t="s">
        <v>718</v>
      </c>
    </row>
    <row r="32" spans="1:18">
      <c r="A32" s="172" t="s">
        <v>40</v>
      </c>
      <c r="B32" s="37">
        <f>IF( ISERROR(IND_voed_ele_kWh/1000),0,IND_voed_ele_kWh/1000)</f>
        <v>10005.2280054681</v>
      </c>
      <c r="C32" s="39">
        <f>IF(ISERROR(B32*3.6/1000000/'E Balans VL '!Z20*100),0,B32*3.6/1000000/'E Balans VL '!Z20*100)</f>
        <v>0.33420331666711006</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40.340509061259205</v>
      </c>
      <c r="C34" s="39">
        <f>IF(ISERROR(B34*3.6/1000000/'E Balans VL '!Z22*100),0,B34*3.6/1000000/'E Balans VL '!Z22*100)</f>
        <v>7.8457858971110756E-3</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85739.835715466499</v>
      </c>
      <c r="C37" s="39">
        <f>IF(ISERROR(B37*3.6/1000000/'E Balans VL '!Z15*100),0,B37*3.6/1000000/'E Balans VL '!Z15*100)</f>
        <v>0.63776469558238558</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11592.129696700491</v>
      </c>
      <c r="C5" s="17">
        <f>'Eigen informatie GS &amp; warmtenet'!B60</f>
        <v>0</v>
      </c>
      <c r="D5" s="30">
        <f>IF(ISERROR(SUM(LB_lb_gas_kWh,LB_rest_gas_kWh)/1000),0,SUM(LB_lb_gas_kWh,LB_rest_gas_kWh)/1000)*0.902</f>
        <v>11957.758865776701</v>
      </c>
      <c r="E5" s="17">
        <f>B17*'E Balans VL '!I25/3.6*1000000/100</f>
        <v>121.39529177758627</v>
      </c>
      <c r="F5" s="17">
        <f>B17*('E Balans VL '!L25/3.6*1000000+'E Balans VL '!N25/3.6*1000000)/100</f>
        <v>49623.123249779281</v>
      </c>
      <c r="G5" s="18"/>
      <c r="H5" s="17"/>
      <c r="I5" s="17"/>
      <c r="J5" s="17">
        <f>('E Balans VL '!D25+'E Balans VL '!E25)/3.6*1000000*landbouw!B17/100</f>
        <v>1035.2810839463589</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11592.129696700491</v>
      </c>
      <c r="C8" s="21">
        <f>C5+C6</f>
        <v>0</v>
      </c>
      <c r="D8" s="21">
        <f>MAX((D5+D6),0)</f>
        <v>11957.758865776701</v>
      </c>
      <c r="E8" s="21">
        <f>MAX((E5+E6),0)</f>
        <v>121.39529177758627</v>
      </c>
      <c r="F8" s="21">
        <f>MAX((F5+F6),0)</f>
        <v>49623.123249779281</v>
      </c>
      <c r="G8" s="21"/>
      <c r="H8" s="21"/>
      <c r="I8" s="21"/>
      <c r="J8" s="21">
        <f>MAX((J5+J6),0)</f>
        <v>1035.2810839463589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0.21728692689811666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2518.8182380004469</v>
      </c>
      <c r="C12" s="23">
        <f ca="1">C8*C10</f>
        <v>0</v>
      </c>
      <c r="D12" s="23">
        <f>D8*D10</f>
        <v>2415.4672908868938</v>
      </c>
      <c r="E12" s="23">
        <f>E8*E10</f>
        <v>27.556731233512082</v>
      </c>
      <c r="F12" s="23">
        <f>F8*F10</f>
        <v>13249.373907691068</v>
      </c>
      <c r="G12" s="23"/>
      <c r="H12" s="23"/>
      <c r="I12" s="23"/>
      <c r="J12" s="23">
        <f>J8*J10</f>
        <v>366.48950371701102</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1.784252529777598</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319.72855412329841</v>
      </c>
      <c r="C26" s="248">
        <f>B26*'GWP N2O_CH4'!B5</f>
        <v>6714.2996365892668</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73.732801634579559</v>
      </c>
      <c r="C27" s="248">
        <f>B27*'GWP N2O_CH4'!B5</f>
        <v>1548.3888343261708</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4.5941256761109059</v>
      </c>
      <c r="C28" s="248">
        <f>B28*'GWP N2O_CH4'!B4</f>
        <v>1424.1789595943808</v>
      </c>
      <c r="D28" s="50"/>
    </row>
    <row r="29" spans="1:4">
      <c r="A29" s="41" t="s">
        <v>276</v>
      </c>
      <c r="B29" s="248">
        <f>B34*'ha_N2O bodem landbouw'!B4</f>
        <v>41.737372314987184</v>
      </c>
      <c r="C29" s="248">
        <f>B29*'GWP N2O_CH4'!B4</f>
        <v>12938.585417646027</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6.8976489410421263E-3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5.7499975166439601E-6</v>
      </c>
      <c r="C5" s="443" t="s">
        <v>210</v>
      </c>
      <c r="D5" s="428">
        <f>SUM(D6:D11)</f>
        <v>3.1023587796559281E-5</v>
      </c>
      <c r="E5" s="428">
        <f>SUM(E6:E11)</f>
        <v>3.30094493084404E-3</v>
      </c>
      <c r="F5" s="441" t="s">
        <v>210</v>
      </c>
      <c r="G5" s="428">
        <f>SUM(G6:G11)</f>
        <v>0.649458542017878</v>
      </c>
      <c r="H5" s="428">
        <f>SUM(H6:H11)</f>
        <v>0.10785296409454379</v>
      </c>
      <c r="I5" s="443" t="s">
        <v>210</v>
      </c>
      <c r="J5" s="443" t="s">
        <v>210</v>
      </c>
      <c r="K5" s="443" t="s">
        <v>210</v>
      </c>
      <c r="L5" s="443" t="s">
        <v>210</v>
      </c>
      <c r="M5" s="428">
        <f>SUM(M6:M11)</f>
        <v>3.2942078704677663E-2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3.3429583953496348E-6</v>
      </c>
      <c r="C6" s="429"/>
      <c r="D6" s="429">
        <f>vkm_GW_PW*SUMIFS(TableVerdeelsleutelVkm[CNG],TableVerdeelsleutelVkm[Voertuigtype],"Lichte voertuigen")*SUMIFS(TableECFTransport[EnergieConsumptieFactor (PJ per km)],TableECFTransport[Index],CONCATENATE($A6,"_CNG_CNG"))</f>
        <v>1.585650493874811E-5</v>
      </c>
      <c r="E6" s="431">
        <f>vkm_GW_PW*SUMIFS(TableVerdeelsleutelVkm[LPG],TableVerdeelsleutelVkm[Voertuigtype],"Lichte voertuigen")*SUMIFS(TableECFTransport[EnergieConsumptieFactor (PJ per km)],TableECFTransport[Index],CONCATENATE($A6,"_LPG_LPG"))</f>
        <v>1.6408174908948579E-3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0.22224473086803448</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5.5336451727770464E-2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1.2120984457093252E-2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0.14124385605498169</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3.9226688300623784E-6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6.0848485865866529E-3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1.16038935129024E-6</v>
      </c>
      <c r="C8" s="429"/>
      <c r="D8" s="431">
        <f>vkm_NGW_PW*SUMIFS(TableVerdeelsleutelVkm[CNG],TableVerdeelsleutelVkm[Voertuigtype],"Lichte voertuigen")*SUMIFS(TableECFTransport[EnergieConsumptieFactor (PJ per km)],TableECFTransport[Index],CONCATENATE($A8,"_CNG_CNG"))</f>
        <v>9.3117752705272405E-6</v>
      </c>
      <c r="E8" s="431">
        <f>vkm_NGW_PW*SUMIFS(TableVerdeelsleutelVkm[LPG],TableVerdeelsleutelVkm[Voertuigtype],"Lichte voertuigen")*SUMIFS(TableECFTransport[EnergieConsumptieFactor (PJ per km)],TableECFTransport[Index],CONCATENATE($A8,"_LPG_LPG"))</f>
        <v>9.0282629308259424E-4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0.11720823478087737</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3.078449095884301E-2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6.466092853931283E-3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2.0228092241312796E-2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6.7641577259156933E-7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8.7144055065912238E-4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1.246649770004085E-6</v>
      </c>
      <c r="C10" s="429"/>
      <c r="D10" s="431">
        <f>vkm_SW_PW*SUMIFS(TableVerdeelsleutelVkm[CNG],TableVerdeelsleutelVkm[Voertuigtype],"Lichte voertuigen")*SUMIFS(TableECFTransport[EnergieConsumptieFactor (PJ per km)],TableECFTransport[Index],CONCATENATE($A10,"_CNG_CNG"))</f>
        <v>5.855307587283929E-6</v>
      </c>
      <c r="E10" s="431">
        <f>vkm_SW_PW*SUMIFS(TableVerdeelsleutelVkm[LPG],TableVerdeelsleutelVkm[Voertuigtype],"Lichte voertuigen")*SUMIFS(TableECFTransport[EnergieConsumptieFactor (PJ per km)],TableECFTransport[Index],CONCATENATE($A10,"_LPG_LPG"))</f>
        <v>7.5730114686658741E-4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9.4331440760900234E-2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2.1725841097099189E-2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5.0636542545030114E-3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5.4202187311771413E-2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1.5812262284849639E-6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2.3350580019043388E-3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1.5972215324010999</v>
      </c>
      <c r="C14" s="21"/>
      <c r="D14" s="21">
        <f t="shared" ref="D14:M14" si="0">((D5)*10^9/3600)+D12</f>
        <v>8.6176632768220216</v>
      </c>
      <c r="E14" s="21">
        <f t="shared" si="0"/>
        <v>916.92914745667781</v>
      </c>
      <c r="F14" s="21"/>
      <c r="G14" s="21">
        <f t="shared" si="0"/>
        <v>180405.1505605217</v>
      </c>
      <c r="H14" s="21">
        <f t="shared" si="0"/>
        <v>29959.156692928827</v>
      </c>
      <c r="I14" s="21"/>
      <c r="J14" s="21"/>
      <c r="K14" s="21"/>
      <c r="L14" s="21"/>
      <c r="M14" s="21">
        <f t="shared" si="0"/>
        <v>9150.5774179660184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0.21728692689811666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0.34705535835093565</v>
      </c>
      <c r="C18" s="23"/>
      <c r="D18" s="23">
        <f t="shared" ref="D18:M18" si="1">D14*D16</f>
        <v>1.7407679819180484</v>
      </c>
      <c r="E18" s="23">
        <f t="shared" si="1"/>
        <v>208.14291647266586</v>
      </c>
      <c r="F18" s="23"/>
      <c r="G18" s="23">
        <f t="shared" si="1"/>
        <v>48168.175199659294</v>
      </c>
      <c r="H18" s="23">
        <f t="shared" si="1"/>
        <v>7459.8300165392784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1.3604995455148506E-2</v>
      </c>
      <c r="H50" s="320">
        <f t="shared" si="2"/>
        <v>0</v>
      </c>
      <c r="I50" s="320">
        <f t="shared" si="2"/>
        <v>0</v>
      </c>
      <c r="J50" s="320">
        <f t="shared" si="2"/>
        <v>0</v>
      </c>
      <c r="K50" s="320">
        <f t="shared" si="2"/>
        <v>0</v>
      </c>
      <c r="L50" s="320">
        <f t="shared" si="2"/>
        <v>0</v>
      </c>
      <c r="M50" s="320">
        <f t="shared" si="2"/>
        <v>5.7853443167264903E-4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1.3604995455148506E-2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5.7853443167264903E-4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3779.1654042079181</v>
      </c>
      <c r="H54" s="21">
        <f t="shared" si="3"/>
        <v>0</v>
      </c>
      <c r="I54" s="21">
        <f t="shared" si="3"/>
        <v>0</v>
      </c>
      <c r="J54" s="21">
        <f t="shared" si="3"/>
        <v>0</v>
      </c>
      <c r="K54" s="21">
        <f t="shared" si="3"/>
        <v>0</v>
      </c>
      <c r="L54" s="21">
        <f t="shared" si="3"/>
        <v>0</v>
      </c>
      <c r="M54" s="21">
        <f t="shared" si="3"/>
        <v>160.70400879795807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0.21728692689811666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1009.0371629235142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56208.524108287922</v>
      </c>
      <c r="D10" s="684">
        <f ca="1">tertiair!C16</f>
        <v>0</v>
      </c>
      <c r="E10" s="684">
        <f ca="1">tertiair!D16</f>
        <v>72896.801244181828</v>
      </c>
      <c r="F10" s="684">
        <f>tertiair!E16</f>
        <v>992.12882600955083</v>
      </c>
      <c r="G10" s="684">
        <f ca="1">tertiair!F16</f>
        <v>10096.405395215344</v>
      </c>
      <c r="H10" s="684">
        <f>tertiair!G16</f>
        <v>0</v>
      </c>
      <c r="I10" s="684">
        <f>tertiair!H16</f>
        <v>0</v>
      </c>
      <c r="J10" s="684">
        <f>tertiair!I16</f>
        <v>0</v>
      </c>
      <c r="K10" s="684">
        <f>tertiair!J16</f>
        <v>0</v>
      </c>
      <c r="L10" s="684">
        <f>tertiair!K16</f>
        <v>0</v>
      </c>
      <c r="M10" s="684">
        <f ca="1">tertiair!L16</f>
        <v>0</v>
      </c>
      <c r="N10" s="684">
        <f>tertiair!M16</f>
        <v>0</v>
      </c>
      <c r="O10" s="684">
        <f ca="1">tertiair!N16</f>
        <v>1226.8082550111355</v>
      </c>
      <c r="P10" s="684">
        <f>tertiair!O16</f>
        <v>0</v>
      </c>
      <c r="Q10" s="685">
        <f>tertiair!P16</f>
        <v>133.46666666666667</v>
      </c>
      <c r="R10" s="687">
        <f ca="1">SUM(C10:Q10)</f>
        <v>141554.13449537245</v>
      </c>
      <c r="S10" s="67"/>
    </row>
    <row r="11" spans="1:19" s="453" customFormat="1">
      <c r="A11" s="799" t="s">
        <v>224</v>
      </c>
      <c r="B11" s="804"/>
      <c r="C11" s="684">
        <f>huishoudens!B8</f>
        <v>54677.175373461519</v>
      </c>
      <c r="D11" s="684">
        <f>huishoudens!C8</f>
        <v>0</v>
      </c>
      <c r="E11" s="684">
        <f>huishoudens!D8</f>
        <v>153882.73986347945</v>
      </c>
      <c r="F11" s="684">
        <f>huishoudens!E8</f>
        <v>13226.288248244817</v>
      </c>
      <c r="G11" s="684">
        <f>huishoudens!F8</f>
        <v>59244.145181002321</v>
      </c>
      <c r="H11" s="684">
        <f>huishoudens!G8</f>
        <v>0</v>
      </c>
      <c r="I11" s="684">
        <f>huishoudens!H8</f>
        <v>0</v>
      </c>
      <c r="J11" s="684">
        <f>huishoudens!I8</f>
        <v>0</v>
      </c>
      <c r="K11" s="684">
        <f>huishoudens!J8</f>
        <v>3027.4684257202725</v>
      </c>
      <c r="L11" s="684">
        <f>huishoudens!K8</f>
        <v>0</v>
      </c>
      <c r="M11" s="684">
        <f>huishoudens!L8</f>
        <v>0</v>
      </c>
      <c r="N11" s="684">
        <f>huishoudens!M8</f>
        <v>0</v>
      </c>
      <c r="O11" s="684">
        <f>huishoudens!N8</f>
        <v>7316.4811054258116</v>
      </c>
      <c r="P11" s="684">
        <f>huishoudens!O8</f>
        <v>82.856666666666683</v>
      </c>
      <c r="Q11" s="685">
        <f>huishoudens!P8</f>
        <v>171.6</v>
      </c>
      <c r="R11" s="687">
        <f>SUM(C11:Q11)</f>
        <v>291628.75486400083</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140620.89114652219</v>
      </c>
      <c r="D13" s="684">
        <f>industrie!C18</f>
        <v>0</v>
      </c>
      <c r="E13" s="684">
        <f>industrie!D18</f>
        <v>29975.321252727408</v>
      </c>
      <c r="F13" s="684">
        <f>industrie!E18</f>
        <v>1163.4357010305885</v>
      </c>
      <c r="G13" s="684">
        <f>industrie!F18</f>
        <v>37736.224864624062</v>
      </c>
      <c r="H13" s="684">
        <f>industrie!G18</f>
        <v>0</v>
      </c>
      <c r="I13" s="684">
        <f>industrie!H18</f>
        <v>0</v>
      </c>
      <c r="J13" s="684">
        <f>industrie!I18</f>
        <v>0</v>
      </c>
      <c r="K13" s="684">
        <f>industrie!J18</f>
        <v>5139.0434292139244</v>
      </c>
      <c r="L13" s="684">
        <f>industrie!K18</f>
        <v>0</v>
      </c>
      <c r="M13" s="684">
        <f>industrie!L18</f>
        <v>0</v>
      </c>
      <c r="N13" s="684">
        <f>industrie!M18</f>
        <v>0</v>
      </c>
      <c r="O13" s="684">
        <f>industrie!N18</f>
        <v>2671.9303078092344</v>
      </c>
      <c r="P13" s="684">
        <f>industrie!O18</f>
        <v>0</v>
      </c>
      <c r="Q13" s="685">
        <f>industrie!P18</f>
        <v>0</v>
      </c>
      <c r="R13" s="687">
        <f>SUM(C13:Q13)</f>
        <v>217306.84670192742</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251506.59062827163</v>
      </c>
      <c r="D16" s="717">
        <f t="shared" ref="D16:R16" ca="1" si="0">SUM(D9:D15)</f>
        <v>0</v>
      </c>
      <c r="E16" s="717">
        <f t="shared" ca="1" si="0"/>
        <v>256754.86236038868</v>
      </c>
      <c r="F16" s="717">
        <f t="shared" si="0"/>
        <v>15381.852775284957</v>
      </c>
      <c r="G16" s="717">
        <f t="shared" ca="1" si="0"/>
        <v>107076.77544084172</v>
      </c>
      <c r="H16" s="717">
        <f t="shared" si="0"/>
        <v>0</v>
      </c>
      <c r="I16" s="717">
        <f t="shared" si="0"/>
        <v>0</v>
      </c>
      <c r="J16" s="717">
        <f t="shared" si="0"/>
        <v>0</v>
      </c>
      <c r="K16" s="717">
        <f t="shared" si="0"/>
        <v>8166.5118549341969</v>
      </c>
      <c r="L16" s="717">
        <f t="shared" si="0"/>
        <v>0</v>
      </c>
      <c r="M16" s="717">
        <f t="shared" ca="1" si="0"/>
        <v>0</v>
      </c>
      <c r="N16" s="717">
        <f t="shared" si="0"/>
        <v>0</v>
      </c>
      <c r="O16" s="717">
        <f t="shared" ca="1" si="0"/>
        <v>11215.219668246182</v>
      </c>
      <c r="P16" s="717">
        <f t="shared" si="0"/>
        <v>82.856666666666683</v>
      </c>
      <c r="Q16" s="717">
        <f t="shared" si="0"/>
        <v>305.06666666666666</v>
      </c>
      <c r="R16" s="717">
        <f t="shared" ca="1" si="0"/>
        <v>650489.73606130062</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3779.1654042079181</v>
      </c>
      <c r="I19" s="684">
        <f>transport!H54</f>
        <v>0</v>
      </c>
      <c r="J19" s="684">
        <f>transport!I54</f>
        <v>0</v>
      </c>
      <c r="K19" s="684">
        <f>transport!J54</f>
        <v>0</v>
      </c>
      <c r="L19" s="684">
        <f>transport!K54</f>
        <v>0</v>
      </c>
      <c r="M19" s="684">
        <f>transport!L54</f>
        <v>0</v>
      </c>
      <c r="N19" s="684">
        <f>transport!M54</f>
        <v>160.70400879795807</v>
      </c>
      <c r="O19" s="684">
        <f>transport!N54</f>
        <v>0</v>
      </c>
      <c r="P19" s="684">
        <f>transport!O54</f>
        <v>0</v>
      </c>
      <c r="Q19" s="685">
        <f>transport!P54</f>
        <v>0</v>
      </c>
      <c r="R19" s="687">
        <f>SUM(C19:Q19)</f>
        <v>3939.8694130058761</v>
      </c>
      <c r="S19" s="67"/>
    </row>
    <row r="20" spans="1:19" s="453" customFormat="1">
      <c r="A20" s="799" t="s">
        <v>306</v>
      </c>
      <c r="B20" s="804"/>
      <c r="C20" s="684">
        <f>transport!B14</f>
        <v>1.5972215324010999</v>
      </c>
      <c r="D20" s="684">
        <f>transport!C14</f>
        <v>0</v>
      </c>
      <c r="E20" s="684">
        <f>transport!D14</f>
        <v>8.6176632768220216</v>
      </c>
      <c r="F20" s="684">
        <f>transport!E14</f>
        <v>916.92914745667781</v>
      </c>
      <c r="G20" s="684">
        <f>transport!F14</f>
        <v>0</v>
      </c>
      <c r="H20" s="684">
        <f>transport!G14</f>
        <v>180405.1505605217</v>
      </c>
      <c r="I20" s="684">
        <f>transport!H14</f>
        <v>29959.156692928827</v>
      </c>
      <c r="J20" s="684">
        <f>transport!I14</f>
        <v>0</v>
      </c>
      <c r="K20" s="684">
        <f>transport!J14</f>
        <v>0</v>
      </c>
      <c r="L20" s="684">
        <f>transport!K14</f>
        <v>0</v>
      </c>
      <c r="M20" s="684">
        <f>transport!L14</f>
        <v>0</v>
      </c>
      <c r="N20" s="684">
        <f>transport!M14</f>
        <v>9150.5774179660184</v>
      </c>
      <c r="O20" s="684">
        <f>transport!N14</f>
        <v>0</v>
      </c>
      <c r="P20" s="684">
        <f>transport!O14</f>
        <v>0</v>
      </c>
      <c r="Q20" s="685">
        <f>transport!P14</f>
        <v>0</v>
      </c>
      <c r="R20" s="687">
        <f>SUM(C20:Q20)</f>
        <v>220442.02870368244</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1.5972215324010999</v>
      </c>
      <c r="D22" s="802">
        <f t="shared" ref="D22:R22" si="1">SUM(D18:D21)</f>
        <v>0</v>
      </c>
      <c r="E22" s="802">
        <f t="shared" si="1"/>
        <v>8.6176632768220216</v>
      </c>
      <c r="F22" s="802">
        <f t="shared" si="1"/>
        <v>916.92914745667781</v>
      </c>
      <c r="G22" s="802">
        <f t="shared" si="1"/>
        <v>0</v>
      </c>
      <c r="H22" s="802">
        <f t="shared" si="1"/>
        <v>184184.31596472961</v>
      </c>
      <c r="I22" s="802">
        <f t="shared" si="1"/>
        <v>29959.156692928827</v>
      </c>
      <c r="J22" s="802">
        <f t="shared" si="1"/>
        <v>0</v>
      </c>
      <c r="K22" s="802">
        <f t="shared" si="1"/>
        <v>0</v>
      </c>
      <c r="L22" s="802">
        <f t="shared" si="1"/>
        <v>0</v>
      </c>
      <c r="M22" s="802">
        <f t="shared" si="1"/>
        <v>0</v>
      </c>
      <c r="N22" s="802">
        <f t="shared" si="1"/>
        <v>9311.2814267639769</v>
      </c>
      <c r="O22" s="802">
        <f t="shared" si="1"/>
        <v>0</v>
      </c>
      <c r="P22" s="802">
        <f t="shared" si="1"/>
        <v>0</v>
      </c>
      <c r="Q22" s="802">
        <f t="shared" si="1"/>
        <v>0</v>
      </c>
      <c r="R22" s="802">
        <f t="shared" si="1"/>
        <v>224381.89811668833</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11592.129696700491</v>
      </c>
      <c r="D24" s="684">
        <f>+landbouw!C8</f>
        <v>0</v>
      </c>
      <c r="E24" s="684">
        <f>+landbouw!D8</f>
        <v>11957.758865776701</v>
      </c>
      <c r="F24" s="684">
        <f>+landbouw!E8</f>
        <v>121.39529177758627</v>
      </c>
      <c r="G24" s="684">
        <f>+landbouw!F8</f>
        <v>49623.123249779281</v>
      </c>
      <c r="H24" s="684">
        <f>+landbouw!G8</f>
        <v>0</v>
      </c>
      <c r="I24" s="684">
        <f>+landbouw!H8</f>
        <v>0</v>
      </c>
      <c r="J24" s="684">
        <f>+landbouw!I8</f>
        <v>0</v>
      </c>
      <c r="K24" s="684">
        <f>+landbouw!J8</f>
        <v>1035.2810839463589</v>
      </c>
      <c r="L24" s="684">
        <f>+landbouw!K8</f>
        <v>0</v>
      </c>
      <c r="M24" s="684">
        <f>+landbouw!L8</f>
        <v>0</v>
      </c>
      <c r="N24" s="684">
        <f>+landbouw!M8</f>
        <v>0</v>
      </c>
      <c r="O24" s="684">
        <f>+landbouw!N8</f>
        <v>0</v>
      </c>
      <c r="P24" s="684">
        <f>+landbouw!O8</f>
        <v>0</v>
      </c>
      <c r="Q24" s="685">
        <f>+landbouw!P8</f>
        <v>0</v>
      </c>
      <c r="R24" s="687">
        <f>SUM(C24:Q24)</f>
        <v>74329.688187980428</v>
      </c>
      <c r="S24" s="67"/>
    </row>
    <row r="25" spans="1:19" s="453" customFormat="1" ht="15" thickBot="1">
      <c r="A25" s="821" t="s">
        <v>912</v>
      </c>
      <c r="B25" s="978"/>
      <c r="C25" s="979">
        <f>IF(Onbekend_ele_kWh="---",0,Onbekend_ele_kWh)/1000+IF(REST_rest_ele_kWh="---",0,REST_rest_ele_kWh)/1000</f>
        <v>2976.06918852333</v>
      </c>
      <c r="D25" s="979"/>
      <c r="E25" s="979">
        <f>IF(onbekend_gas_kWh="---",0,onbekend_gas_kWh)/1000+IF(REST_rest_gas_kWh="---",0,REST_rest_gas_kWh)/1000</f>
        <v>7948.6679930517403</v>
      </c>
      <c r="F25" s="979"/>
      <c r="G25" s="979"/>
      <c r="H25" s="979"/>
      <c r="I25" s="979"/>
      <c r="J25" s="979"/>
      <c r="K25" s="979"/>
      <c r="L25" s="979"/>
      <c r="M25" s="979"/>
      <c r="N25" s="979"/>
      <c r="O25" s="979"/>
      <c r="P25" s="979"/>
      <c r="Q25" s="980"/>
      <c r="R25" s="687">
        <f>SUM(C25:Q25)</f>
        <v>10924.73718157507</v>
      </c>
      <c r="S25" s="67"/>
    </row>
    <row r="26" spans="1:19" s="453" customFormat="1" ht="15.75" thickBot="1">
      <c r="A26" s="690" t="s">
        <v>913</v>
      </c>
      <c r="B26" s="807"/>
      <c r="C26" s="802">
        <f>SUM(C24:C25)</f>
        <v>14568.198885223821</v>
      </c>
      <c r="D26" s="802">
        <f t="shared" ref="D26:R26" si="2">SUM(D24:D25)</f>
        <v>0</v>
      </c>
      <c r="E26" s="802">
        <f t="shared" si="2"/>
        <v>19906.426858828439</v>
      </c>
      <c r="F26" s="802">
        <f t="shared" si="2"/>
        <v>121.39529177758627</v>
      </c>
      <c r="G26" s="802">
        <f t="shared" si="2"/>
        <v>49623.123249779281</v>
      </c>
      <c r="H26" s="802">
        <f t="shared" si="2"/>
        <v>0</v>
      </c>
      <c r="I26" s="802">
        <f t="shared" si="2"/>
        <v>0</v>
      </c>
      <c r="J26" s="802">
        <f t="shared" si="2"/>
        <v>0</v>
      </c>
      <c r="K26" s="802">
        <f t="shared" si="2"/>
        <v>1035.2810839463589</v>
      </c>
      <c r="L26" s="802">
        <f t="shared" si="2"/>
        <v>0</v>
      </c>
      <c r="M26" s="802">
        <f t="shared" si="2"/>
        <v>0</v>
      </c>
      <c r="N26" s="802">
        <f t="shared" si="2"/>
        <v>0</v>
      </c>
      <c r="O26" s="802">
        <f t="shared" si="2"/>
        <v>0</v>
      </c>
      <c r="P26" s="802">
        <f t="shared" si="2"/>
        <v>0</v>
      </c>
      <c r="Q26" s="802">
        <f t="shared" si="2"/>
        <v>0</v>
      </c>
      <c r="R26" s="802">
        <f t="shared" si="2"/>
        <v>85254.425369555494</v>
      </c>
      <c r="S26" s="67"/>
    </row>
    <row r="27" spans="1:19" s="453" customFormat="1" ht="17.25" thickTop="1" thickBot="1">
      <c r="A27" s="691" t="s">
        <v>115</v>
      </c>
      <c r="B27" s="794"/>
      <c r="C27" s="692">
        <f ca="1">C22+C16+C26</f>
        <v>266076.38673502783</v>
      </c>
      <c r="D27" s="692">
        <f t="shared" ref="D27:R27" ca="1" si="3">D22+D16+D26</f>
        <v>0</v>
      </c>
      <c r="E27" s="692">
        <f t="shared" ca="1" si="3"/>
        <v>276669.90688249393</v>
      </c>
      <c r="F27" s="692">
        <f t="shared" si="3"/>
        <v>16420.177214519223</v>
      </c>
      <c r="G27" s="692">
        <f t="shared" ca="1" si="3"/>
        <v>156699.89869062102</v>
      </c>
      <c r="H27" s="692">
        <f t="shared" si="3"/>
        <v>184184.31596472961</v>
      </c>
      <c r="I27" s="692">
        <f t="shared" si="3"/>
        <v>29959.156692928827</v>
      </c>
      <c r="J27" s="692">
        <f t="shared" si="3"/>
        <v>0</v>
      </c>
      <c r="K27" s="692">
        <f t="shared" si="3"/>
        <v>9201.7929388805551</v>
      </c>
      <c r="L27" s="692">
        <f t="shared" si="3"/>
        <v>0</v>
      </c>
      <c r="M27" s="692">
        <f t="shared" ca="1" si="3"/>
        <v>0</v>
      </c>
      <c r="N27" s="692">
        <f t="shared" si="3"/>
        <v>9311.2814267639769</v>
      </c>
      <c r="O27" s="692">
        <f t="shared" ca="1" si="3"/>
        <v>11215.219668246182</v>
      </c>
      <c r="P27" s="692">
        <f t="shared" si="3"/>
        <v>82.856666666666683</v>
      </c>
      <c r="Q27" s="692">
        <f t="shared" si="3"/>
        <v>305.06666666666666</v>
      </c>
      <c r="R27" s="692">
        <f t="shared" ca="1" si="3"/>
        <v>960126.05954754446</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12213.377468968585</v>
      </c>
      <c r="D40" s="684">
        <f ca="1">tertiair!C20</f>
        <v>0</v>
      </c>
      <c r="E40" s="684">
        <f ca="1">tertiair!D20</f>
        <v>14725.153851324731</v>
      </c>
      <c r="F40" s="684">
        <f>tertiair!E20</f>
        <v>225.21324350416805</v>
      </c>
      <c r="G40" s="684">
        <f ca="1">tertiair!F20</f>
        <v>2695.7402405224971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29859.484804319982</v>
      </c>
    </row>
    <row r="41" spans="1:18">
      <c r="A41" s="812" t="s">
        <v>224</v>
      </c>
      <c r="B41" s="819"/>
      <c r="C41" s="684">
        <f ca="1">huishoudens!B12</f>
        <v>11880.635408368837</v>
      </c>
      <c r="D41" s="684">
        <f ca="1">huishoudens!C12</f>
        <v>0</v>
      </c>
      <c r="E41" s="684">
        <f>huishoudens!D12</f>
        <v>31084.313452422852</v>
      </c>
      <c r="F41" s="684">
        <f>huishoudens!E12</f>
        <v>3002.3674323515734</v>
      </c>
      <c r="G41" s="684">
        <f>huishoudens!F12</f>
        <v>15818.18676332762</v>
      </c>
      <c r="H41" s="684">
        <f>huishoudens!G12</f>
        <v>0</v>
      </c>
      <c r="I41" s="684">
        <f>huishoudens!H12</f>
        <v>0</v>
      </c>
      <c r="J41" s="684">
        <f>huishoudens!I12</f>
        <v>0</v>
      </c>
      <c r="K41" s="684">
        <f>huishoudens!J12</f>
        <v>1071.7238227049763</v>
      </c>
      <c r="L41" s="684">
        <f>huishoudens!K12</f>
        <v>0</v>
      </c>
      <c r="M41" s="684">
        <f>huishoudens!L12</f>
        <v>0</v>
      </c>
      <c r="N41" s="684">
        <f>huishoudens!M12</f>
        <v>0</v>
      </c>
      <c r="O41" s="684">
        <f>huishoudens!N12</f>
        <v>0</v>
      </c>
      <c r="P41" s="684">
        <f>huishoudens!O12</f>
        <v>0</v>
      </c>
      <c r="Q41" s="759">
        <f>huishoudens!P12</f>
        <v>0</v>
      </c>
      <c r="R41" s="840">
        <f t="shared" ca="1" si="4"/>
        <v>62857.226879175854</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30555.081294902386</v>
      </c>
      <c r="D43" s="684">
        <f ca="1">industrie!C22</f>
        <v>0</v>
      </c>
      <c r="E43" s="684">
        <f>industrie!D22</f>
        <v>6055.0148930509367</v>
      </c>
      <c r="F43" s="684">
        <f>industrie!E22</f>
        <v>264.0999041339436</v>
      </c>
      <c r="G43" s="684">
        <f>industrie!F22</f>
        <v>10075.572038854625</v>
      </c>
      <c r="H43" s="684">
        <f>industrie!G22</f>
        <v>0</v>
      </c>
      <c r="I43" s="684">
        <f>industrie!H22</f>
        <v>0</v>
      </c>
      <c r="J43" s="684">
        <f>industrie!I22</f>
        <v>0</v>
      </c>
      <c r="K43" s="684">
        <f>industrie!J22</f>
        <v>1819.2213739417291</v>
      </c>
      <c r="L43" s="684">
        <f>industrie!K22</f>
        <v>0</v>
      </c>
      <c r="M43" s="684">
        <f>industrie!L22</f>
        <v>0</v>
      </c>
      <c r="N43" s="684">
        <f>industrie!M22</f>
        <v>0</v>
      </c>
      <c r="O43" s="684">
        <f>industrie!N22</f>
        <v>0</v>
      </c>
      <c r="P43" s="684">
        <f>industrie!O22</f>
        <v>0</v>
      </c>
      <c r="Q43" s="759">
        <f>industrie!P22</f>
        <v>0</v>
      </c>
      <c r="R43" s="839">
        <f t="shared" ca="1" si="4"/>
        <v>48768.989504883619</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54649.094172239813</v>
      </c>
      <c r="D46" s="717">
        <f t="shared" ref="D46:Q46" ca="1" si="5">SUM(D39:D45)</f>
        <v>0</v>
      </c>
      <c r="E46" s="717">
        <f t="shared" ca="1" si="5"/>
        <v>51864.482196798519</v>
      </c>
      <c r="F46" s="717">
        <f t="shared" si="5"/>
        <v>3491.6805799896852</v>
      </c>
      <c r="G46" s="717">
        <f t="shared" ca="1" si="5"/>
        <v>28589.499042704741</v>
      </c>
      <c r="H46" s="717">
        <f t="shared" si="5"/>
        <v>0</v>
      </c>
      <c r="I46" s="717">
        <f t="shared" si="5"/>
        <v>0</v>
      </c>
      <c r="J46" s="717">
        <f t="shared" si="5"/>
        <v>0</v>
      </c>
      <c r="K46" s="717">
        <f t="shared" si="5"/>
        <v>2890.9451966467054</v>
      </c>
      <c r="L46" s="717">
        <f t="shared" si="5"/>
        <v>0</v>
      </c>
      <c r="M46" s="717">
        <f t="shared" ca="1" si="5"/>
        <v>0</v>
      </c>
      <c r="N46" s="717">
        <f t="shared" si="5"/>
        <v>0</v>
      </c>
      <c r="O46" s="717">
        <f t="shared" ca="1" si="5"/>
        <v>0</v>
      </c>
      <c r="P46" s="717">
        <f t="shared" si="5"/>
        <v>0</v>
      </c>
      <c r="Q46" s="717">
        <f t="shared" si="5"/>
        <v>0</v>
      </c>
      <c r="R46" s="717">
        <f ca="1">SUM(R39:R45)</f>
        <v>141485.70118837946</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1009.0371629235142</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1009.0371629235142</v>
      </c>
    </row>
    <row r="50" spans="1:18">
      <c r="A50" s="815" t="s">
        <v>306</v>
      </c>
      <c r="B50" s="825"/>
      <c r="C50" s="985">
        <f ca="1">transport!B18</f>
        <v>0.34705535835093565</v>
      </c>
      <c r="D50" s="985">
        <f>transport!C18</f>
        <v>0</v>
      </c>
      <c r="E50" s="985">
        <f>transport!D18</f>
        <v>1.7407679819180484</v>
      </c>
      <c r="F50" s="985">
        <f>transport!E18</f>
        <v>208.14291647266586</v>
      </c>
      <c r="G50" s="985">
        <f>transport!F18</f>
        <v>0</v>
      </c>
      <c r="H50" s="985">
        <f>transport!G18</f>
        <v>48168.175199659294</v>
      </c>
      <c r="I50" s="985">
        <f>transport!H18</f>
        <v>7459.8300165392784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55838.235956011507</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0.34705535835093565</v>
      </c>
      <c r="D52" s="717">
        <f t="shared" ref="D52:Q52" ca="1" si="6">SUM(D48:D51)</f>
        <v>0</v>
      </c>
      <c r="E52" s="717">
        <f t="shared" si="6"/>
        <v>1.7407679819180484</v>
      </c>
      <c r="F52" s="717">
        <f t="shared" si="6"/>
        <v>208.14291647266586</v>
      </c>
      <c r="G52" s="717">
        <f t="shared" si="6"/>
        <v>0</v>
      </c>
      <c r="H52" s="717">
        <f t="shared" si="6"/>
        <v>49177.21236258281</v>
      </c>
      <c r="I52" s="717">
        <f t="shared" si="6"/>
        <v>7459.8300165392784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56847.273118935023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2518.8182380004469</v>
      </c>
      <c r="D54" s="985">
        <f ca="1">+landbouw!C12</f>
        <v>0</v>
      </c>
      <c r="E54" s="985">
        <f>+landbouw!D12</f>
        <v>2415.4672908868938</v>
      </c>
      <c r="F54" s="985">
        <f>+landbouw!E12</f>
        <v>27.556731233512082</v>
      </c>
      <c r="G54" s="985">
        <f>+landbouw!F12</f>
        <v>13249.373907691068</v>
      </c>
      <c r="H54" s="985">
        <f>+landbouw!G12</f>
        <v>0</v>
      </c>
      <c r="I54" s="985">
        <f>+landbouw!H12</f>
        <v>0</v>
      </c>
      <c r="J54" s="985">
        <f>+landbouw!I12</f>
        <v>0</v>
      </c>
      <c r="K54" s="985">
        <f>+landbouw!J12</f>
        <v>366.48950371701102</v>
      </c>
      <c r="L54" s="985">
        <f>+landbouw!K12</f>
        <v>0</v>
      </c>
      <c r="M54" s="985">
        <f>+landbouw!L12</f>
        <v>0</v>
      </c>
      <c r="N54" s="985">
        <f>+landbouw!M12</f>
        <v>0</v>
      </c>
      <c r="O54" s="985">
        <f>+landbouw!N12</f>
        <v>0</v>
      </c>
      <c r="P54" s="985">
        <f>+landbouw!O12</f>
        <v>0</v>
      </c>
      <c r="Q54" s="986">
        <f>+landbouw!P12</f>
        <v>0</v>
      </c>
      <c r="R54" s="716">
        <f ca="1">SUM(C54:Q54)</f>
        <v>18577.705671528933</v>
      </c>
    </row>
    <row r="55" spans="1:18" ht="15" thickBot="1">
      <c r="A55" s="815" t="s">
        <v>912</v>
      </c>
      <c r="B55" s="825"/>
      <c r="C55" s="985">
        <f ca="1">C25*'EF ele_warmte'!B12</f>
        <v>646.66092821040615</v>
      </c>
      <c r="D55" s="985"/>
      <c r="E55" s="985">
        <f>E25*EF_CO2_aardgas</f>
        <v>1605.6309345964517</v>
      </c>
      <c r="F55" s="985"/>
      <c r="G55" s="985"/>
      <c r="H55" s="985"/>
      <c r="I55" s="985"/>
      <c r="J55" s="985"/>
      <c r="K55" s="985"/>
      <c r="L55" s="985"/>
      <c r="M55" s="985"/>
      <c r="N55" s="985"/>
      <c r="O55" s="985"/>
      <c r="P55" s="985"/>
      <c r="Q55" s="986"/>
      <c r="R55" s="716">
        <f ca="1">SUM(C55:Q55)</f>
        <v>2252.2918628068578</v>
      </c>
    </row>
    <row r="56" spans="1:18" ht="15.75" thickBot="1">
      <c r="A56" s="813" t="s">
        <v>913</v>
      </c>
      <c r="B56" s="826"/>
      <c r="C56" s="717">
        <f ca="1">SUM(C54:C55)</f>
        <v>3165.4791662108528</v>
      </c>
      <c r="D56" s="717">
        <f t="shared" ref="D56:Q56" ca="1" si="7">SUM(D54:D55)</f>
        <v>0</v>
      </c>
      <c r="E56" s="717">
        <f t="shared" si="7"/>
        <v>4021.0982254833452</v>
      </c>
      <c r="F56" s="717">
        <f t="shared" si="7"/>
        <v>27.556731233512082</v>
      </c>
      <c r="G56" s="717">
        <f t="shared" si="7"/>
        <v>13249.373907691068</v>
      </c>
      <c r="H56" s="717">
        <f t="shared" si="7"/>
        <v>0</v>
      </c>
      <c r="I56" s="717">
        <f t="shared" si="7"/>
        <v>0</v>
      </c>
      <c r="J56" s="717">
        <f t="shared" si="7"/>
        <v>0</v>
      </c>
      <c r="K56" s="717">
        <f t="shared" si="7"/>
        <v>366.48950371701102</v>
      </c>
      <c r="L56" s="717">
        <f t="shared" si="7"/>
        <v>0</v>
      </c>
      <c r="M56" s="717">
        <f t="shared" si="7"/>
        <v>0</v>
      </c>
      <c r="N56" s="717">
        <f t="shared" si="7"/>
        <v>0</v>
      </c>
      <c r="O56" s="717">
        <f t="shared" si="7"/>
        <v>0</v>
      </c>
      <c r="P56" s="717">
        <f t="shared" si="7"/>
        <v>0</v>
      </c>
      <c r="Q56" s="718">
        <f t="shared" si="7"/>
        <v>0</v>
      </c>
      <c r="R56" s="719">
        <f ca="1">SUM(R54:R55)</f>
        <v>20829.997534335791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57814.920393809021</v>
      </c>
      <c r="D61" s="725">
        <f t="shared" ref="D61:Q61" ca="1" si="8">D46+D52+D56</f>
        <v>0</v>
      </c>
      <c r="E61" s="725">
        <f t="shared" ca="1" si="8"/>
        <v>55887.321190263778</v>
      </c>
      <c r="F61" s="725">
        <f t="shared" si="8"/>
        <v>3727.3802276958631</v>
      </c>
      <c r="G61" s="725">
        <f t="shared" ca="1" si="8"/>
        <v>41838.872950395809</v>
      </c>
      <c r="H61" s="725">
        <f t="shared" si="8"/>
        <v>49177.21236258281</v>
      </c>
      <c r="I61" s="725">
        <f t="shared" si="8"/>
        <v>7459.8300165392784</v>
      </c>
      <c r="J61" s="725">
        <f t="shared" si="8"/>
        <v>0</v>
      </c>
      <c r="K61" s="725">
        <f t="shared" si="8"/>
        <v>3257.4347003637163</v>
      </c>
      <c r="L61" s="725">
        <f t="shared" si="8"/>
        <v>0</v>
      </c>
      <c r="M61" s="725">
        <f t="shared" ca="1" si="8"/>
        <v>0</v>
      </c>
      <c r="N61" s="725">
        <f t="shared" si="8"/>
        <v>0</v>
      </c>
      <c r="O61" s="725">
        <f t="shared" ca="1" si="8"/>
        <v>0</v>
      </c>
      <c r="P61" s="725">
        <f t="shared" si="8"/>
        <v>0</v>
      </c>
      <c r="Q61" s="725">
        <f t="shared" si="8"/>
        <v>0</v>
      </c>
      <c r="R61" s="725">
        <f ca="1">R46+R52+R56</f>
        <v>219162.97184165029</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0.21728692689811671</v>
      </c>
      <c r="D63" s="769">
        <f t="shared" ca="1" si="9"/>
        <v>0</v>
      </c>
      <c r="E63" s="987">
        <f t="shared" ca="1" si="9"/>
        <v>0.20200000000000001</v>
      </c>
      <c r="F63" s="769">
        <f t="shared" si="9"/>
        <v>0.22699999999999998</v>
      </c>
      <c r="G63" s="769">
        <f t="shared" ca="1" si="9"/>
        <v>0.26699999999999996</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4470.4121024078859</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4470.4121024078859</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4470.4121024078859</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4470.4121024078859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54677.175373461519</v>
      </c>
      <c r="C4" s="457">
        <f>huishoudens!C8</f>
        <v>0</v>
      </c>
      <c r="D4" s="457">
        <f>huishoudens!D8</f>
        <v>153882.73986347945</v>
      </c>
      <c r="E4" s="457">
        <f>huishoudens!E8</f>
        <v>13226.288248244817</v>
      </c>
      <c r="F4" s="457">
        <f>huishoudens!F8</f>
        <v>59244.145181002321</v>
      </c>
      <c r="G4" s="457">
        <f>huishoudens!G8</f>
        <v>0</v>
      </c>
      <c r="H4" s="457">
        <f>huishoudens!H8</f>
        <v>0</v>
      </c>
      <c r="I4" s="457">
        <f>huishoudens!I8</f>
        <v>0</v>
      </c>
      <c r="J4" s="457">
        <f>huishoudens!J8</f>
        <v>3027.4684257202725</v>
      </c>
      <c r="K4" s="457">
        <f>huishoudens!K8</f>
        <v>0</v>
      </c>
      <c r="L4" s="457">
        <f>huishoudens!L8</f>
        <v>0</v>
      </c>
      <c r="M4" s="457">
        <f>huishoudens!M8</f>
        <v>0</v>
      </c>
      <c r="N4" s="457">
        <f>huishoudens!N8</f>
        <v>7316.4811054258116</v>
      </c>
      <c r="O4" s="457">
        <f>huishoudens!O8</f>
        <v>82.856666666666683</v>
      </c>
      <c r="P4" s="458">
        <f>huishoudens!P8</f>
        <v>171.6</v>
      </c>
      <c r="Q4" s="459">
        <f>SUM(B4:P4)</f>
        <v>291628.75486400083</v>
      </c>
    </row>
    <row r="5" spans="1:17">
      <c r="A5" s="456" t="s">
        <v>155</v>
      </c>
      <c r="B5" s="457">
        <f ca="1">tertiair!B16</f>
        <v>53748.78110828792</v>
      </c>
      <c r="C5" s="457">
        <f ca="1">tertiair!C16</f>
        <v>0</v>
      </c>
      <c r="D5" s="457">
        <f ca="1">tertiair!D16</f>
        <v>72896.801244181828</v>
      </c>
      <c r="E5" s="457">
        <f>tertiair!E16</f>
        <v>992.12882600955083</v>
      </c>
      <c r="F5" s="457">
        <f ca="1">tertiair!F16</f>
        <v>10096.405395215344</v>
      </c>
      <c r="G5" s="457">
        <f>tertiair!G16</f>
        <v>0</v>
      </c>
      <c r="H5" s="457">
        <f>tertiair!H16</f>
        <v>0</v>
      </c>
      <c r="I5" s="457">
        <f>tertiair!I16</f>
        <v>0</v>
      </c>
      <c r="J5" s="457">
        <f>tertiair!J16</f>
        <v>0</v>
      </c>
      <c r="K5" s="457">
        <f>tertiair!K16</f>
        <v>0</v>
      </c>
      <c r="L5" s="457">
        <f ca="1">tertiair!L16</f>
        <v>0</v>
      </c>
      <c r="M5" s="457">
        <f>tertiair!M16</f>
        <v>0</v>
      </c>
      <c r="N5" s="457">
        <f ca="1">tertiair!N16</f>
        <v>1226.8082550111355</v>
      </c>
      <c r="O5" s="457">
        <f>tertiair!O16</f>
        <v>0</v>
      </c>
      <c r="P5" s="458">
        <f>tertiair!P16</f>
        <v>133.46666666666667</v>
      </c>
      <c r="Q5" s="456">
        <f t="shared" ref="Q5:Q14" ca="1" si="0">SUM(B5:P5)</f>
        <v>139094.39149537243</v>
      </c>
    </row>
    <row r="6" spans="1:17">
      <c r="A6" s="456" t="s">
        <v>193</v>
      </c>
      <c r="B6" s="457">
        <f>'openbare verlichting'!B8</f>
        <v>2459.7429999999999</v>
      </c>
      <c r="C6" s="457"/>
      <c r="D6" s="457"/>
      <c r="E6" s="457"/>
      <c r="F6" s="457"/>
      <c r="G6" s="457"/>
      <c r="H6" s="457"/>
      <c r="I6" s="457"/>
      <c r="J6" s="457"/>
      <c r="K6" s="457"/>
      <c r="L6" s="457"/>
      <c r="M6" s="457"/>
      <c r="N6" s="457"/>
      <c r="O6" s="457"/>
      <c r="P6" s="458"/>
      <c r="Q6" s="456">
        <f t="shared" si="0"/>
        <v>2459.7429999999999</v>
      </c>
    </row>
    <row r="7" spans="1:17">
      <c r="A7" s="456" t="s">
        <v>111</v>
      </c>
      <c r="B7" s="457">
        <f>landbouw!B8</f>
        <v>11592.129696700491</v>
      </c>
      <c r="C7" s="457">
        <f>landbouw!C8</f>
        <v>0</v>
      </c>
      <c r="D7" s="457">
        <f>landbouw!D8</f>
        <v>11957.758865776701</v>
      </c>
      <c r="E7" s="457">
        <f>landbouw!E8</f>
        <v>121.39529177758627</v>
      </c>
      <c r="F7" s="457">
        <f>landbouw!F8</f>
        <v>49623.123249779281</v>
      </c>
      <c r="G7" s="457">
        <f>landbouw!G8</f>
        <v>0</v>
      </c>
      <c r="H7" s="457">
        <f>landbouw!H8</f>
        <v>0</v>
      </c>
      <c r="I7" s="457">
        <f>landbouw!I8</f>
        <v>0</v>
      </c>
      <c r="J7" s="457">
        <f>landbouw!J8</f>
        <v>1035.2810839463589</v>
      </c>
      <c r="K7" s="457">
        <f>landbouw!K8</f>
        <v>0</v>
      </c>
      <c r="L7" s="457">
        <f>landbouw!L8</f>
        <v>0</v>
      </c>
      <c r="M7" s="457">
        <f>landbouw!M8</f>
        <v>0</v>
      </c>
      <c r="N7" s="457">
        <f>landbouw!N8</f>
        <v>0</v>
      </c>
      <c r="O7" s="457">
        <f>landbouw!O8</f>
        <v>0</v>
      </c>
      <c r="P7" s="458">
        <f>landbouw!P8</f>
        <v>0</v>
      </c>
      <c r="Q7" s="456">
        <f t="shared" si="0"/>
        <v>74329.688187980428</v>
      </c>
    </row>
    <row r="8" spans="1:17">
      <c r="A8" s="456" t="s">
        <v>654</v>
      </c>
      <c r="B8" s="457">
        <f>industrie!B18</f>
        <v>140620.89114652219</v>
      </c>
      <c r="C8" s="457">
        <f>industrie!C18</f>
        <v>0</v>
      </c>
      <c r="D8" s="457">
        <f>industrie!D18</f>
        <v>29975.321252727408</v>
      </c>
      <c r="E8" s="457">
        <f>industrie!E18</f>
        <v>1163.4357010305885</v>
      </c>
      <c r="F8" s="457">
        <f>industrie!F18</f>
        <v>37736.224864624062</v>
      </c>
      <c r="G8" s="457">
        <f>industrie!G18</f>
        <v>0</v>
      </c>
      <c r="H8" s="457">
        <f>industrie!H18</f>
        <v>0</v>
      </c>
      <c r="I8" s="457">
        <f>industrie!I18</f>
        <v>0</v>
      </c>
      <c r="J8" s="457">
        <f>industrie!J18</f>
        <v>5139.0434292139244</v>
      </c>
      <c r="K8" s="457">
        <f>industrie!K18</f>
        <v>0</v>
      </c>
      <c r="L8" s="457">
        <f>industrie!L18</f>
        <v>0</v>
      </c>
      <c r="M8" s="457">
        <f>industrie!M18</f>
        <v>0</v>
      </c>
      <c r="N8" s="457">
        <f>industrie!N18</f>
        <v>2671.9303078092344</v>
      </c>
      <c r="O8" s="457">
        <f>industrie!O18</f>
        <v>0</v>
      </c>
      <c r="P8" s="458">
        <f>industrie!P18</f>
        <v>0</v>
      </c>
      <c r="Q8" s="456">
        <f t="shared" si="0"/>
        <v>217306.84670192742</v>
      </c>
    </row>
    <row r="9" spans="1:17" s="462" customFormat="1">
      <c r="A9" s="460" t="s">
        <v>572</v>
      </c>
      <c r="B9" s="461">
        <f>transport!B14</f>
        <v>1.5972215324010999</v>
      </c>
      <c r="C9" s="461">
        <f>transport!C14</f>
        <v>0</v>
      </c>
      <c r="D9" s="461">
        <f>transport!D14</f>
        <v>8.6176632768220216</v>
      </c>
      <c r="E9" s="461">
        <f>transport!E14</f>
        <v>916.92914745667781</v>
      </c>
      <c r="F9" s="461">
        <f>transport!F14</f>
        <v>0</v>
      </c>
      <c r="G9" s="461">
        <f>transport!G14</f>
        <v>180405.1505605217</v>
      </c>
      <c r="H9" s="461">
        <f>transport!H14</f>
        <v>29959.156692928827</v>
      </c>
      <c r="I9" s="461">
        <f>transport!I14</f>
        <v>0</v>
      </c>
      <c r="J9" s="461">
        <f>transport!J14</f>
        <v>0</v>
      </c>
      <c r="K9" s="461">
        <f>transport!K14</f>
        <v>0</v>
      </c>
      <c r="L9" s="461">
        <f>transport!L14</f>
        <v>0</v>
      </c>
      <c r="M9" s="461">
        <f>transport!M14</f>
        <v>9150.5774179660184</v>
      </c>
      <c r="N9" s="461">
        <f>transport!N14</f>
        <v>0</v>
      </c>
      <c r="O9" s="461">
        <f>transport!O14</f>
        <v>0</v>
      </c>
      <c r="P9" s="461">
        <f>transport!P14</f>
        <v>0</v>
      </c>
      <c r="Q9" s="460">
        <f>SUM(B9:P9)</f>
        <v>220442.02870368244</v>
      </c>
    </row>
    <row r="10" spans="1:17">
      <c r="A10" s="456" t="s">
        <v>562</v>
      </c>
      <c r="B10" s="457">
        <f>transport!B54</f>
        <v>0</v>
      </c>
      <c r="C10" s="457">
        <f>transport!C54</f>
        <v>0</v>
      </c>
      <c r="D10" s="457">
        <f>transport!D54</f>
        <v>0</v>
      </c>
      <c r="E10" s="457">
        <f>transport!E54</f>
        <v>0</v>
      </c>
      <c r="F10" s="457">
        <f>transport!F54</f>
        <v>0</v>
      </c>
      <c r="G10" s="457">
        <f>transport!G54</f>
        <v>3779.1654042079181</v>
      </c>
      <c r="H10" s="457">
        <f>transport!H54</f>
        <v>0</v>
      </c>
      <c r="I10" s="457">
        <f>transport!I54</f>
        <v>0</v>
      </c>
      <c r="J10" s="457">
        <f>transport!J54</f>
        <v>0</v>
      </c>
      <c r="K10" s="457">
        <f>transport!K54</f>
        <v>0</v>
      </c>
      <c r="L10" s="457">
        <f>transport!L54</f>
        <v>0</v>
      </c>
      <c r="M10" s="457">
        <f>transport!M54</f>
        <v>160.70400879795807</v>
      </c>
      <c r="N10" s="457">
        <f>transport!N54</f>
        <v>0</v>
      </c>
      <c r="O10" s="457">
        <f>transport!O54</f>
        <v>0</v>
      </c>
      <c r="P10" s="458">
        <f>transport!P54</f>
        <v>0</v>
      </c>
      <c r="Q10" s="456">
        <f t="shared" si="0"/>
        <v>3939.8694130058761</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2976.06918852333</v>
      </c>
      <c r="C14" s="464"/>
      <c r="D14" s="464">
        <f>'SEAP template'!E25</f>
        <v>7948.6679930517403</v>
      </c>
      <c r="E14" s="464"/>
      <c r="F14" s="464"/>
      <c r="G14" s="464"/>
      <c r="H14" s="464"/>
      <c r="I14" s="464"/>
      <c r="J14" s="464"/>
      <c r="K14" s="464"/>
      <c r="L14" s="464"/>
      <c r="M14" s="464"/>
      <c r="N14" s="464"/>
      <c r="O14" s="464"/>
      <c r="P14" s="465"/>
      <c r="Q14" s="456">
        <f t="shared" si="0"/>
        <v>10924.73718157507</v>
      </c>
    </row>
    <row r="15" spans="1:17" s="469" customFormat="1">
      <c r="A15" s="466" t="s">
        <v>566</v>
      </c>
      <c r="B15" s="467">
        <f ca="1">SUM(B4:B14)</f>
        <v>266076.38673502789</v>
      </c>
      <c r="C15" s="467">
        <f t="shared" ref="C15:Q15" ca="1" si="1">SUM(C4:C14)</f>
        <v>0</v>
      </c>
      <c r="D15" s="467">
        <f t="shared" ca="1" si="1"/>
        <v>276669.90688249399</v>
      </c>
      <c r="E15" s="467">
        <f t="shared" si="1"/>
        <v>16420.177214519219</v>
      </c>
      <c r="F15" s="467">
        <f t="shared" ca="1" si="1"/>
        <v>156699.89869062102</v>
      </c>
      <c r="G15" s="467">
        <f t="shared" si="1"/>
        <v>184184.31596472961</v>
      </c>
      <c r="H15" s="467">
        <f t="shared" si="1"/>
        <v>29959.156692928827</v>
      </c>
      <c r="I15" s="467">
        <f t="shared" si="1"/>
        <v>0</v>
      </c>
      <c r="J15" s="467">
        <f t="shared" si="1"/>
        <v>9201.7929388805569</v>
      </c>
      <c r="K15" s="467">
        <f t="shared" si="1"/>
        <v>0</v>
      </c>
      <c r="L15" s="467">
        <f t="shared" ca="1" si="1"/>
        <v>0</v>
      </c>
      <c r="M15" s="467">
        <f t="shared" si="1"/>
        <v>9311.2814267639769</v>
      </c>
      <c r="N15" s="467">
        <f t="shared" ca="1" si="1"/>
        <v>11215.219668246182</v>
      </c>
      <c r="O15" s="467">
        <f t="shared" si="1"/>
        <v>82.856666666666683</v>
      </c>
      <c r="P15" s="467">
        <f t="shared" si="1"/>
        <v>305.06666666666666</v>
      </c>
      <c r="Q15" s="467">
        <f t="shared" ca="1" si="1"/>
        <v>960126.05954754457</v>
      </c>
    </row>
    <row r="17" spans="1:17">
      <c r="A17" s="470" t="s">
        <v>567</v>
      </c>
      <c r="B17" s="774">
        <f ca="1">huishoudens!B10</f>
        <v>0.21728692689811666</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11880.635408368837</v>
      </c>
      <c r="C22" s="457">
        <f t="shared" ref="C22:C32" ca="1" si="3">C4*$C$17</f>
        <v>0</v>
      </c>
      <c r="D22" s="457">
        <f t="shared" ref="D22:D32" si="4">D4*$D$17</f>
        <v>31084.313452422852</v>
      </c>
      <c r="E22" s="457">
        <f t="shared" ref="E22:E32" si="5">E4*$E$17</f>
        <v>3002.3674323515734</v>
      </c>
      <c r="F22" s="457">
        <f t="shared" ref="F22:F32" si="6">F4*$F$17</f>
        <v>15818.18676332762</v>
      </c>
      <c r="G22" s="457">
        <f t="shared" ref="G22:G32" si="7">G4*$G$17</f>
        <v>0</v>
      </c>
      <c r="H22" s="457">
        <f t="shared" ref="H22:H32" si="8">H4*$H$17</f>
        <v>0</v>
      </c>
      <c r="I22" s="457">
        <f t="shared" ref="I22:I32" si="9">I4*$I$17</f>
        <v>0</v>
      </c>
      <c r="J22" s="457">
        <f t="shared" ref="J22:J32" si="10">J4*$J$17</f>
        <v>1071.7238227049763</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62857.226879175854</v>
      </c>
    </row>
    <row r="23" spans="1:17">
      <c r="A23" s="456" t="s">
        <v>155</v>
      </c>
      <c r="B23" s="457">
        <f t="shared" ca="1" si="2"/>
        <v>11678.907471539431</v>
      </c>
      <c r="C23" s="457">
        <f t="shared" ca="1" si="3"/>
        <v>0</v>
      </c>
      <c r="D23" s="457">
        <f t="shared" ca="1" si="4"/>
        <v>14725.153851324731</v>
      </c>
      <c r="E23" s="457">
        <f t="shared" si="5"/>
        <v>225.21324350416805</v>
      </c>
      <c r="F23" s="457">
        <f t="shared" ca="1" si="6"/>
        <v>2695.7402405224971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29325.014806890824</v>
      </c>
    </row>
    <row r="24" spans="1:17">
      <c r="A24" s="456" t="s">
        <v>193</v>
      </c>
      <c r="B24" s="457">
        <f t="shared" ca="1" si="2"/>
        <v>534.46999742915409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534.46999742915409</v>
      </c>
    </row>
    <row r="25" spans="1:17">
      <c r="A25" s="456" t="s">
        <v>111</v>
      </c>
      <c r="B25" s="457">
        <f t="shared" ca="1" si="2"/>
        <v>2518.8182380004469</v>
      </c>
      <c r="C25" s="457">
        <f t="shared" ca="1" si="3"/>
        <v>0</v>
      </c>
      <c r="D25" s="457">
        <f t="shared" si="4"/>
        <v>2415.4672908868938</v>
      </c>
      <c r="E25" s="457">
        <f t="shared" si="5"/>
        <v>27.556731233512082</v>
      </c>
      <c r="F25" s="457">
        <f t="shared" si="6"/>
        <v>13249.373907691068</v>
      </c>
      <c r="G25" s="457">
        <f t="shared" si="7"/>
        <v>0</v>
      </c>
      <c r="H25" s="457">
        <f t="shared" si="8"/>
        <v>0</v>
      </c>
      <c r="I25" s="457">
        <f t="shared" si="9"/>
        <v>0</v>
      </c>
      <c r="J25" s="457">
        <f t="shared" si="10"/>
        <v>366.48950371701102</v>
      </c>
      <c r="K25" s="457">
        <f t="shared" si="11"/>
        <v>0</v>
      </c>
      <c r="L25" s="457">
        <f t="shared" si="12"/>
        <v>0</v>
      </c>
      <c r="M25" s="457">
        <f t="shared" si="13"/>
        <v>0</v>
      </c>
      <c r="N25" s="457">
        <f t="shared" si="14"/>
        <v>0</v>
      </c>
      <c r="O25" s="457">
        <f t="shared" si="15"/>
        <v>0</v>
      </c>
      <c r="P25" s="458">
        <f t="shared" si="16"/>
        <v>0</v>
      </c>
      <c r="Q25" s="456">
        <f t="shared" ca="1" si="17"/>
        <v>18577.705671528933</v>
      </c>
    </row>
    <row r="26" spans="1:17">
      <c r="A26" s="456" t="s">
        <v>654</v>
      </c>
      <c r="B26" s="457">
        <f t="shared" ca="1" si="2"/>
        <v>30555.081294902386</v>
      </c>
      <c r="C26" s="457">
        <f t="shared" ca="1" si="3"/>
        <v>0</v>
      </c>
      <c r="D26" s="457">
        <f t="shared" si="4"/>
        <v>6055.0148930509367</v>
      </c>
      <c r="E26" s="457">
        <f t="shared" si="5"/>
        <v>264.0999041339436</v>
      </c>
      <c r="F26" s="457">
        <f t="shared" si="6"/>
        <v>10075.572038854625</v>
      </c>
      <c r="G26" s="457">
        <f t="shared" si="7"/>
        <v>0</v>
      </c>
      <c r="H26" s="457">
        <f t="shared" si="8"/>
        <v>0</v>
      </c>
      <c r="I26" s="457">
        <f t="shared" si="9"/>
        <v>0</v>
      </c>
      <c r="J26" s="457">
        <f t="shared" si="10"/>
        <v>1819.2213739417291</v>
      </c>
      <c r="K26" s="457">
        <f t="shared" si="11"/>
        <v>0</v>
      </c>
      <c r="L26" s="457">
        <f t="shared" si="12"/>
        <v>0</v>
      </c>
      <c r="M26" s="457">
        <f t="shared" si="13"/>
        <v>0</v>
      </c>
      <c r="N26" s="457">
        <f t="shared" si="14"/>
        <v>0</v>
      </c>
      <c r="O26" s="457">
        <f t="shared" si="15"/>
        <v>0</v>
      </c>
      <c r="P26" s="458">
        <f t="shared" si="16"/>
        <v>0</v>
      </c>
      <c r="Q26" s="456">
        <f t="shared" ca="1" si="17"/>
        <v>48768.989504883619</v>
      </c>
    </row>
    <row r="27" spans="1:17" s="462" customFormat="1">
      <c r="A27" s="460" t="s">
        <v>572</v>
      </c>
      <c r="B27" s="768">
        <f t="shared" ca="1" si="2"/>
        <v>0.34705535835093565</v>
      </c>
      <c r="C27" s="461">
        <f t="shared" ca="1" si="3"/>
        <v>0</v>
      </c>
      <c r="D27" s="461">
        <f t="shared" si="4"/>
        <v>1.7407679819180484</v>
      </c>
      <c r="E27" s="461">
        <f t="shared" si="5"/>
        <v>208.14291647266586</v>
      </c>
      <c r="F27" s="461">
        <f t="shared" si="6"/>
        <v>0</v>
      </c>
      <c r="G27" s="461">
        <f t="shared" si="7"/>
        <v>48168.175199659294</v>
      </c>
      <c r="H27" s="461">
        <f t="shared" si="8"/>
        <v>7459.8300165392784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55838.235956011507</v>
      </c>
    </row>
    <row r="28" spans="1:17">
      <c r="A28" s="456" t="s">
        <v>562</v>
      </c>
      <c r="B28" s="457">
        <f t="shared" ca="1" si="2"/>
        <v>0</v>
      </c>
      <c r="C28" s="457">
        <f t="shared" ca="1" si="3"/>
        <v>0</v>
      </c>
      <c r="D28" s="457">
        <f t="shared" si="4"/>
        <v>0</v>
      </c>
      <c r="E28" s="457">
        <f t="shared" si="5"/>
        <v>0</v>
      </c>
      <c r="F28" s="457">
        <f t="shared" si="6"/>
        <v>0</v>
      </c>
      <c r="G28" s="457">
        <f t="shared" si="7"/>
        <v>1009.0371629235142</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1009.0371629235142</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646.66092821040615</v>
      </c>
      <c r="C32" s="457">
        <f t="shared" ca="1" si="3"/>
        <v>0</v>
      </c>
      <c r="D32" s="457">
        <f t="shared" si="4"/>
        <v>1605.6309345964517</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2252.2918628068578</v>
      </c>
    </row>
    <row r="33" spans="1:17" s="469" customFormat="1">
      <c r="A33" s="466" t="s">
        <v>566</v>
      </c>
      <c r="B33" s="467">
        <f ca="1">SUM(B22:B32)</f>
        <v>57814.920393809014</v>
      </c>
      <c r="C33" s="467">
        <f t="shared" ref="C33:Q33" ca="1" si="19">SUM(C22:C32)</f>
        <v>0</v>
      </c>
      <c r="D33" s="467">
        <f t="shared" ca="1" si="19"/>
        <v>55887.321190263785</v>
      </c>
      <c r="E33" s="467">
        <f t="shared" si="19"/>
        <v>3727.3802276958631</v>
      </c>
      <c r="F33" s="467">
        <f t="shared" ca="1" si="19"/>
        <v>41838.872950395809</v>
      </c>
      <c r="G33" s="467">
        <f t="shared" si="19"/>
        <v>49177.21236258281</v>
      </c>
      <c r="H33" s="467">
        <f t="shared" si="19"/>
        <v>7459.8300165392784</v>
      </c>
      <c r="I33" s="467">
        <f t="shared" si="19"/>
        <v>0</v>
      </c>
      <c r="J33" s="467">
        <f t="shared" si="19"/>
        <v>3257.4347003637167</v>
      </c>
      <c r="K33" s="467">
        <f t="shared" si="19"/>
        <v>0</v>
      </c>
      <c r="L33" s="467">
        <f t="shared" ca="1" si="19"/>
        <v>0</v>
      </c>
      <c r="M33" s="467">
        <f t="shared" si="19"/>
        <v>0</v>
      </c>
      <c r="N33" s="467">
        <f t="shared" ca="1" si="19"/>
        <v>0</v>
      </c>
      <c r="O33" s="467">
        <f t="shared" si="19"/>
        <v>0</v>
      </c>
      <c r="P33" s="467">
        <f t="shared" si="19"/>
        <v>0</v>
      </c>
      <c r="Q33" s="467">
        <f t="shared" ca="1" si="19"/>
        <v>219162.97184165026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4470.4121024078859</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4470.4121024078859</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0.21728692689811666</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0.21728692689811666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2020-06-20T16:39:28Z</dcterms:modified>
</cp:coreProperties>
</file>