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1\"/>
    </mc:Choice>
  </mc:AlternateContent>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Z25" i="5" l="1"/>
  <c r="AC25" i="5"/>
  <c r="AB25" i="5"/>
  <c r="AA25" i="5"/>
  <c r="Y25" i="5"/>
  <c r="X25" i="5"/>
  <c r="W25" i="5"/>
  <c r="V25" i="5"/>
  <c r="T25" i="5"/>
  <c r="U25" i="5"/>
  <c r="S25" i="5"/>
  <c r="R25" i="5"/>
  <c r="F25" i="5"/>
  <c r="H25" i="5"/>
  <c r="I25" i="5"/>
  <c r="J25" i="5"/>
  <c r="K25" i="5"/>
  <c r="L25" i="5"/>
  <c r="M25" i="5"/>
  <c r="N25" i="5"/>
  <c r="O25" i="5"/>
  <c r="P25" i="5"/>
  <c r="Q25" i="5"/>
  <c r="G25" i="5"/>
  <c r="E25" i="5"/>
  <c r="D25" i="5"/>
  <c r="C25" i="5"/>
  <c r="P7" i="55" l="1"/>
  <c r="P6" i="55"/>
  <c r="P5" i="55"/>
  <c r="P4" i="55"/>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U36" i="18"/>
  <c r="T36" i="18"/>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D20" i="18"/>
  <c r="G12" i="18"/>
  <c r="F12" i="18"/>
  <c r="E12" i="18"/>
  <c r="D12" i="18"/>
  <c r="C12" i="18"/>
  <c r="L10" i="18"/>
  <c r="K10" i="18"/>
  <c r="G10" i="18"/>
  <c r="D10" i="18"/>
  <c r="B6" i="18"/>
  <c r="B5" i="18"/>
  <c r="B4" i="18"/>
  <c r="F20" i="18" l="1"/>
  <c r="I9" i="18"/>
  <c r="G20" i="18"/>
  <c r="K20" i="18"/>
  <c r="B45" i="18"/>
  <c r="I49" i="18" s="1"/>
  <c r="H17" i="18" s="1"/>
  <c r="J9" i="18"/>
  <c r="O9" i="18" s="1"/>
  <c r="B17" i="18"/>
  <c r="B20" i="18" s="1"/>
  <c r="C45" i="18"/>
  <c r="H48" i="18" s="1"/>
  <c r="O19" i="18"/>
  <c r="O18" i="18"/>
  <c r="L20" i="18"/>
  <c r="B10" i="18"/>
  <c r="D49" i="18"/>
  <c r="I15" i="48"/>
  <c r="K15" i="48"/>
  <c r="I33" i="48"/>
  <c r="K33" i="48"/>
  <c r="E32" i="48"/>
  <c r="F32" i="48"/>
  <c r="G32" i="48"/>
  <c r="H32" i="48"/>
  <c r="I32" i="48"/>
  <c r="J32" i="48"/>
  <c r="K32" i="48"/>
  <c r="L32" i="48"/>
  <c r="M32" i="48"/>
  <c r="N32" i="48"/>
  <c r="O32" i="48"/>
  <c r="P32" i="48"/>
  <c r="P7" i="48"/>
  <c r="O7" i="48"/>
  <c r="O25" i="48" s="1"/>
  <c r="M7" i="48"/>
  <c r="K7" i="48"/>
  <c r="K25" i="48" s="1"/>
  <c r="I7" i="48"/>
  <c r="H7" i="48"/>
  <c r="H25" i="48" s="1"/>
  <c r="G7" i="48"/>
  <c r="P10" i="48"/>
  <c r="O10" i="48"/>
  <c r="O28" i="48" s="1"/>
  <c r="N10" i="48"/>
  <c r="L10" i="48"/>
  <c r="K10" i="48"/>
  <c r="J10" i="48"/>
  <c r="I10" i="48"/>
  <c r="H10" i="48"/>
  <c r="F10" i="48"/>
  <c r="E10" i="48"/>
  <c r="D10" i="48"/>
  <c r="C10" i="48"/>
  <c r="P9" i="48"/>
  <c r="O9" i="48"/>
  <c r="N9" i="48"/>
  <c r="L9" i="48"/>
  <c r="K9" i="48"/>
  <c r="J9" i="48"/>
  <c r="I9" i="48"/>
  <c r="F9" i="48"/>
  <c r="C9" i="48"/>
  <c r="P13" i="48"/>
  <c r="P31" i="48" s="1"/>
  <c r="O13" i="48"/>
  <c r="N13" i="48"/>
  <c r="L13" i="48"/>
  <c r="L31" i="48" s="1"/>
  <c r="K13" i="48"/>
  <c r="J13" i="48"/>
  <c r="I13" i="48"/>
  <c r="F13" i="48"/>
  <c r="E13" i="48"/>
  <c r="E31" i="48" s="1"/>
  <c r="D13" i="48"/>
  <c r="D31" i="48" s="1"/>
  <c r="C13" i="48"/>
  <c r="B13" i="48"/>
  <c r="M8" i="48"/>
  <c r="K8" i="48"/>
  <c r="K26" i="48" s="1"/>
  <c r="I8" i="48"/>
  <c r="H8" i="48"/>
  <c r="G8" i="48"/>
  <c r="G26" i="48" s="1"/>
  <c r="B12" i="48"/>
  <c r="P17" i="48"/>
  <c r="P30" i="48" s="1"/>
  <c r="O17" i="48"/>
  <c r="O24" i="48" s="1"/>
  <c r="N17" i="48"/>
  <c r="M17" i="48"/>
  <c r="L17" i="48"/>
  <c r="K17" i="48"/>
  <c r="K30" i="48" s="1"/>
  <c r="J17" i="48"/>
  <c r="I17" i="48"/>
  <c r="H17" i="48"/>
  <c r="H30" i="48" s="1"/>
  <c r="G17" i="48"/>
  <c r="G30" i="48" s="1"/>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K31" i="48"/>
  <c r="M30" i="48"/>
  <c r="L30" i="48"/>
  <c r="I30" i="48"/>
  <c r="E30" i="48"/>
  <c r="D30" i="48"/>
  <c r="L29" i="48"/>
  <c r="K29" i="48"/>
  <c r="D29" i="48"/>
  <c r="L28" i="48"/>
  <c r="I28" i="48"/>
  <c r="E28" i="48"/>
  <c r="D28" i="48"/>
  <c r="L27" i="48"/>
  <c r="I27" i="48"/>
  <c r="M26" i="48"/>
  <c r="I26" i="48"/>
  <c r="H26" i="48"/>
  <c r="P25" i="48"/>
  <c r="M25" i="48"/>
  <c r="I25" i="48"/>
  <c r="P24" i="48"/>
  <c r="M24" i="48"/>
  <c r="L24" i="48"/>
  <c r="I24" i="48"/>
  <c r="E24" i="48"/>
  <c r="D24" i="48"/>
  <c r="L22" i="48"/>
  <c r="G23" i="48"/>
  <c r="I31" i="48"/>
  <c r="O29" i="48"/>
  <c r="M23" i="48"/>
  <c r="I23" i="48"/>
  <c r="H23" i="48"/>
  <c r="B19" i="6"/>
  <c r="B18" i="6"/>
  <c r="B5" i="6"/>
  <c r="B6" i="6"/>
  <c r="C64" i="14" s="1"/>
  <c r="O89" i="14"/>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i="14"/>
  <c r="M18" i="55" s="1"/>
  <c r="L88" i="14"/>
  <c r="L18" i="55" s="1"/>
  <c r="K88" i="14"/>
  <c r="K18" i="55" s="1"/>
  <c r="J88" i="14"/>
  <c r="J18" i="55" s="1"/>
  <c r="I88" i="14"/>
  <c r="I18" i="55" s="1"/>
  <c r="H88" i="14"/>
  <c r="H18" i="55" s="1"/>
  <c r="G88" i="14"/>
  <c r="G18" i="55" s="1"/>
  <c r="F88" i="14"/>
  <c r="E88" i="14"/>
  <c r="D88" i="14"/>
  <c r="D18" i="55" s="1"/>
  <c r="O87" i="14"/>
  <c r="O17" i="55" s="1"/>
  <c r="N87" i="14"/>
  <c r="N17" i="55" s="1"/>
  <c r="L87" i="14"/>
  <c r="L17" i="55" s="1"/>
  <c r="K87" i="14"/>
  <c r="K17" i="55" s="1"/>
  <c r="H87" i="14"/>
  <c r="H17" i="55" s="1"/>
  <c r="G87" i="14"/>
  <c r="G17" i="55" s="1"/>
  <c r="E87" i="14"/>
  <c r="E17" i="55" s="1"/>
  <c r="O77" i="14"/>
  <c r="N77" i="14"/>
  <c r="M77" i="14"/>
  <c r="M9" i="55" s="1"/>
  <c r="L77" i="14"/>
  <c r="L9" i="55" s="1"/>
  <c r="K77" i="14"/>
  <c r="K9" i="55" s="1"/>
  <c r="I77" i="14"/>
  <c r="I9" i="55" s="1"/>
  <c r="H77" i="14"/>
  <c r="H9" i="55" s="1"/>
  <c r="G77" i="14"/>
  <c r="F77" i="14"/>
  <c r="E77" i="14"/>
  <c r="E9" i="55" s="1"/>
  <c r="D77" i="14"/>
  <c r="D9" i="55" s="1"/>
  <c r="O76" i="14"/>
  <c r="O8" i="55" s="1"/>
  <c r="N76" i="14"/>
  <c r="N8" i="55" s="1"/>
  <c r="L76" i="14"/>
  <c r="K76" i="14"/>
  <c r="K8" i="55" s="1"/>
  <c r="H76" i="14"/>
  <c r="H8" i="55" s="1"/>
  <c r="G76" i="14"/>
  <c r="G8" i="55" s="1"/>
  <c r="E76" i="14"/>
  <c r="E8" i="55" s="1"/>
  <c r="B75" i="14"/>
  <c r="B7" i="55" s="1"/>
  <c r="B74" i="14"/>
  <c r="B6" i="55" s="1"/>
  <c r="B73" i="14"/>
  <c r="B5" i="55" s="1"/>
  <c r="B72" i="14"/>
  <c r="B4" i="55" s="1"/>
  <c r="C29" i="14"/>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 i="14" s="1"/>
  <c r="C25" i="14"/>
  <c r="B14" i="48" s="1"/>
  <c r="R90" i="14"/>
  <c r="R78" i="14"/>
  <c r="N56" i="14"/>
  <c r="J56" i="14"/>
  <c r="Q56" i="14"/>
  <c r="P56" i="14"/>
  <c r="I56" i="14"/>
  <c r="P52" i="14"/>
  <c r="O52" i="14"/>
  <c r="L52" i="14"/>
  <c r="K52" i="14"/>
  <c r="J52" i="14"/>
  <c r="G52" i="14"/>
  <c r="H46" i="14"/>
  <c r="R44" i="14"/>
  <c r="I46" i="14"/>
  <c r="P26" i="14"/>
  <c r="L26" i="14"/>
  <c r="H26" i="14"/>
  <c r="E25" i="14"/>
  <c r="D14" i="48" s="1"/>
  <c r="D32" i="48" s="1"/>
  <c r="Q26" i="14"/>
  <c r="N26" i="14"/>
  <c r="J26" i="14"/>
  <c r="I26" i="14"/>
  <c r="J22" i="14"/>
  <c r="N16" i="14"/>
  <c r="J16" i="14"/>
  <c r="R12" i="14"/>
  <c r="L16" i="14"/>
  <c r="H16" i="14"/>
  <c r="D5" i="17"/>
  <c r="Q14" i="48" l="1"/>
  <c r="E55" i="14"/>
  <c r="R25" i="14"/>
  <c r="B49" i="18"/>
  <c r="C17" i="18" s="1"/>
  <c r="D87" i="14" s="1"/>
  <c r="D17" i="55" s="1"/>
  <c r="D20" i="55" s="1"/>
  <c r="L20" i="55"/>
  <c r="F49" i="18"/>
  <c r="J77" i="14"/>
  <c r="J9" i="55" s="1"/>
  <c r="H49" i="18"/>
  <c r="H20" i="18"/>
  <c r="M87" i="14"/>
  <c r="M17" i="55" s="1"/>
  <c r="M20" i="55" s="1"/>
  <c r="C49" i="18"/>
  <c r="E49" i="18"/>
  <c r="E17" i="18" s="1"/>
  <c r="G49" i="18"/>
  <c r="I17" i="18" s="1"/>
  <c r="K10" i="55"/>
  <c r="C48" i="18"/>
  <c r="E48" i="18"/>
  <c r="E8" i="18" s="1"/>
  <c r="G48" i="18"/>
  <c r="I48" i="18"/>
  <c r="H8" i="18" s="1"/>
  <c r="B48" i="18"/>
  <c r="C8" i="18" s="1"/>
  <c r="D76" i="14" s="1"/>
  <c r="D8" i="55" s="1"/>
  <c r="D10" i="55" s="1"/>
  <c r="D48" i="18"/>
  <c r="F48" i="18"/>
  <c r="F9" i="55"/>
  <c r="N78" i="14"/>
  <c r="N9" i="55"/>
  <c r="N10" i="55" s="1"/>
  <c r="E90" i="14"/>
  <c r="E18" i="55"/>
  <c r="E20" i="55" s="1"/>
  <c r="H90" i="14"/>
  <c r="E10" i="55"/>
  <c r="G78" i="14"/>
  <c r="G9" i="55"/>
  <c r="G10" i="55" s="1"/>
  <c r="O78" i="14"/>
  <c r="O9" i="55"/>
  <c r="O10" i="55" s="1"/>
  <c r="H20" i="55"/>
  <c r="F18" i="55"/>
  <c r="N90" i="14"/>
  <c r="N18" i="55"/>
  <c r="N20" i="55" s="1"/>
  <c r="L90" i="14"/>
  <c r="L78" i="14"/>
  <c r="L8" i="55"/>
  <c r="L10" i="55" s="1"/>
  <c r="H10" i="55"/>
  <c r="G20" i="55"/>
  <c r="K20" i="55"/>
  <c r="O20" i="55"/>
  <c r="H78" i="14"/>
  <c r="C88" i="14"/>
  <c r="C18" i="55" s="1"/>
  <c r="C20" i="18"/>
  <c r="E78" i="14"/>
  <c r="G90" i="14"/>
  <c r="O90" i="14"/>
  <c r="Q88" i="14"/>
  <c r="P18" i="55" s="1"/>
  <c r="Q89" i="14"/>
  <c r="P19" i="55" s="1"/>
  <c r="K78" i="14"/>
  <c r="B88" i="14"/>
  <c r="B18" i="55" s="1"/>
  <c r="C89" i="14"/>
  <c r="C19" i="55" s="1"/>
  <c r="B89" i="14"/>
  <c r="B19" i="55" s="1"/>
  <c r="K27" i="48"/>
  <c r="O27" i="48"/>
  <c r="O31" i="48"/>
  <c r="H28" i="48"/>
  <c r="H29" i="48"/>
  <c r="H24" i="48"/>
  <c r="P27" i="48"/>
  <c r="P28" i="48"/>
  <c r="P29" i="48"/>
  <c r="J30" i="48"/>
  <c r="J24" i="48"/>
  <c r="Q11" i="48"/>
  <c r="F29" i="48"/>
  <c r="N29" i="48"/>
  <c r="Q12" i="48"/>
  <c r="K24" i="48"/>
  <c r="G25" i="48"/>
  <c r="K28" i="48"/>
  <c r="G29" i="48"/>
  <c r="F28" i="48"/>
  <c r="J28" i="48"/>
  <c r="N28" i="48"/>
  <c r="F31" i="48"/>
  <c r="J31" i="48"/>
  <c r="N31" i="48"/>
  <c r="H22" i="48"/>
  <c r="G24" i="48"/>
  <c r="O30" i="48"/>
  <c r="F30" i="48"/>
  <c r="F24" i="48"/>
  <c r="N30" i="48"/>
  <c r="N24" i="48"/>
  <c r="J29" i="48"/>
  <c r="G22" i="48"/>
  <c r="I22" i="48"/>
  <c r="M22" i="48"/>
  <c r="F27" i="48"/>
  <c r="J27" i="48"/>
  <c r="N27" i="48"/>
  <c r="K22" i="48"/>
  <c r="K23" i="48"/>
  <c r="Q77" i="14"/>
  <c r="L27" i="14"/>
  <c r="L63" i="14"/>
  <c r="J27" i="14"/>
  <c r="J63" i="14" s="1"/>
  <c r="D78" i="14"/>
  <c r="K90" i="14"/>
  <c r="M90" i="14" l="1"/>
  <c r="B77" i="14"/>
  <c r="B9" i="55" s="1"/>
  <c r="C77" i="14"/>
  <c r="C9" i="55" s="1"/>
  <c r="C10" i="18"/>
  <c r="J8" i="18"/>
  <c r="J76" i="14" s="1"/>
  <c r="J17" i="18"/>
  <c r="J20" i="18" s="1"/>
  <c r="E20" i="18"/>
  <c r="F87" i="14"/>
  <c r="Q87" i="14" s="1"/>
  <c r="I8" i="18"/>
  <c r="I10" i="18" s="1"/>
  <c r="H10" i="18"/>
  <c r="M76" i="14"/>
  <c r="E10" i="18"/>
  <c r="F76" i="14"/>
  <c r="O17" i="18"/>
  <c r="O20" i="18" s="1"/>
  <c r="P9" i="55"/>
  <c r="I76" i="14"/>
  <c r="I8" i="55" s="1"/>
  <c r="I10" i="55" s="1"/>
  <c r="I20" i="18"/>
  <c r="I87" i="14"/>
  <c r="I17" i="55" s="1"/>
  <c r="I20" i="55" s="1"/>
  <c r="O8" i="18"/>
  <c r="O10" i="18" s="1"/>
  <c r="J10" i="18"/>
  <c r="D90" i="14"/>
  <c r="J87" i="14" l="1"/>
  <c r="F17" i="55"/>
  <c r="F20" i="55" s="1"/>
  <c r="F90" i="14"/>
  <c r="M8" i="55"/>
  <c r="M10" i="55" s="1"/>
  <c r="M78" i="14"/>
  <c r="F8" i="55"/>
  <c r="F10" i="55" s="1"/>
  <c r="Q76" i="14"/>
  <c r="F78" i="14"/>
  <c r="J90" i="14"/>
  <c r="J17" i="55"/>
  <c r="J20" i="55" s="1"/>
  <c r="J78" i="14"/>
  <c r="J8" i="55"/>
  <c r="J10" i="55" s="1"/>
  <c r="Q90" i="14"/>
  <c r="B17" i="6" s="1"/>
  <c r="P17" i="55"/>
  <c r="P20" i="55" s="1"/>
  <c r="I78" i="14"/>
  <c r="C76" i="14"/>
  <c r="B76" i="14"/>
  <c r="I90" i="14"/>
  <c r="B87" i="14"/>
  <c r="C87" i="14"/>
  <c r="H14" i="15"/>
  <c r="H16" i="15" s="1"/>
  <c r="G14" i="15"/>
  <c r="G16" i="15" s="1"/>
  <c r="P8" i="55" l="1"/>
  <c r="P10" i="55" s="1"/>
  <c r="Q78" i="14"/>
  <c r="B9" i="6" s="1"/>
  <c r="C90" i="14"/>
  <c r="C17" i="55"/>
  <c r="C20" i="55" s="1"/>
  <c r="B90" i="14"/>
  <c r="B17" i="55"/>
  <c r="B20" i="55" s="1"/>
  <c r="C78" i="14"/>
  <c r="C8" i="55"/>
  <c r="C10" i="55" s="1"/>
  <c r="B78" i="14"/>
  <c r="B8" i="55"/>
  <c r="B10" i="55" s="1"/>
  <c r="N25" i="22"/>
  <c r="N24" i="22"/>
  <c r="B4" i="6" l="1"/>
  <c r="A6" i="23"/>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2" i="23"/>
  <c r="D11" i="22" l="1"/>
  <c r="D9" i="22"/>
  <c r="D7" i="22"/>
  <c r="D8" i="22"/>
  <c r="E11" i="22"/>
  <c r="B10" i="22"/>
  <c r="E7" i="22"/>
  <c r="B6" i="22"/>
  <c r="B11" i="22"/>
  <c r="E10" i="22"/>
  <c r="B9" i="22"/>
  <c r="E8" i="22"/>
  <c r="B7" i="22"/>
  <c r="E6" i="22"/>
  <c r="D10" i="22"/>
  <c r="D6" i="22"/>
  <c r="E9" i="22"/>
  <c r="B8" i="22"/>
  <c r="B52" i="22"/>
  <c r="O15" i="19" l="1"/>
  <c r="O19" i="19"/>
  <c r="P15" i="19"/>
  <c r="E35" i="50" l="1"/>
  <c r="E33" i="50"/>
  <c r="E31" i="50"/>
  <c r="E29" i="50"/>
  <c r="H10" i="22" l="1"/>
  <c r="H11" i="22"/>
  <c r="H8" i="22"/>
  <c r="H6" i="22"/>
  <c r="H7" i="22"/>
  <c r="H9" i="22"/>
  <c r="B28" i="17"/>
  <c r="B27" i="17"/>
  <c r="B26" i="17"/>
  <c r="B31" i="19" l="1"/>
  <c r="B24" i="19"/>
  <c r="B69" i="13" l="1"/>
  <c r="B35" i="19" l="1"/>
  <c r="B27" i="19"/>
  <c r="B26" i="19"/>
  <c r="B6" i="13" l="1"/>
  <c r="B17" i="17" l="1"/>
  <c r="B34" i="17" l="1"/>
  <c r="B18" i="13" l="1"/>
  <c r="B19" i="13"/>
  <c r="B20" i="13"/>
  <c r="B21" i="13"/>
  <c r="B6" i="16" l="1"/>
  <c r="F6" i="17" l="1"/>
  <c r="D6" i="17"/>
  <c r="F13" i="15"/>
  <c r="D13" i="15"/>
  <c r="C13" i="15"/>
  <c r="B13" i="15"/>
  <c r="F16" i="16"/>
  <c r="D16" i="16"/>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H5" i="22"/>
  <c r="B29" i="17"/>
  <c r="C29" i="17" s="1"/>
  <c r="C28" i="17"/>
  <c r="C27" i="17"/>
  <c r="C26" i="17"/>
  <c r="J5" i="17"/>
  <c r="N10" i="17"/>
  <c r="M10" i="17"/>
  <c r="M12" i="17" s="1"/>
  <c r="L10" i="17"/>
  <c r="K10" i="17"/>
  <c r="J10" i="17"/>
  <c r="I10" i="17"/>
  <c r="H10" i="17"/>
  <c r="G10" i="17"/>
  <c r="F10" i="17"/>
  <c r="E10" i="17"/>
  <c r="D10" i="17"/>
  <c r="C6"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C16"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H27" i="20" s="1"/>
  <c r="G26" i="20"/>
  <c r="E26" i="20"/>
  <c r="E27" i="20" s="1"/>
  <c r="D26" i="20"/>
  <c r="D27" i="20" s="1"/>
  <c r="B26" i="20"/>
  <c r="B27" i="20" s="1"/>
  <c r="N17" i="49"/>
  <c r="M17" i="49"/>
  <c r="L17" i="49"/>
  <c r="K17" i="49"/>
  <c r="J17" i="49"/>
  <c r="I17" i="49"/>
  <c r="F17" i="49"/>
  <c r="E17" i="49"/>
  <c r="D17" i="49"/>
  <c r="B15" i="49"/>
  <c r="B6" i="9" s="1"/>
  <c r="N17" i="19"/>
  <c r="N19" i="19" s="1"/>
  <c r="M17" i="19"/>
  <c r="L17" i="19"/>
  <c r="K17" i="19"/>
  <c r="J17" i="19"/>
  <c r="J19" i="19" s="1"/>
  <c r="I17" i="19"/>
  <c r="F17" i="19"/>
  <c r="E17" i="19"/>
  <c r="D17" i="19"/>
  <c r="P19" i="19"/>
  <c r="N15" i="19"/>
  <c r="N14" i="15" s="1"/>
  <c r="M15" i="19"/>
  <c r="M14" i="15" s="1"/>
  <c r="M16" i="15" s="1"/>
  <c r="L15" i="19"/>
  <c r="L14" i="15" s="1"/>
  <c r="K15" i="19"/>
  <c r="K14" i="15" s="1"/>
  <c r="K16" i="15" s="1"/>
  <c r="J15" i="19"/>
  <c r="J14" i="15" s="1"/>
  <c r="I15" i="19"/>
  <c r="I14" i="15" s="1"/>
  <c r="I16" i="15" s="1"/>
  <c r="F15" i="19"/>
  <c r="F14" i="15" s="1"/>
  <c r="E15" i="19"/>
  <c r="E14" i="15" s="1"/>
  <c r="D15" i="19"/>
  <c r="C15" i="19"/>
  <c r="C14" i="15" s="1"/>
  <c r="B15" i="19"/>
  <c r="B14" i="15" s="1"/>
  <c r="A7" i="31"/>
  <c r="A6" i="31"/>
  <c r="B7" i="48" l="1"/>
  <c r="C24" i="14"/>
  <c r="C26" i="14" s="1"/>
  <c r="C11" i="14"/>
  <c r="B4" i="48"/>
  <c r="B11" i="16"/>
  <c r="C18" i="16"/>
  <c r="C8" i="48" s="1"/>
  <c r="D4" i="48"/>
  <c r="D22" i="48" s="1"/>
  <c r="E11" i="14"/>
  <c r="O4" i="48"/>
  <c r="O22" i="48" s="1"/>
  <c r="P11" i="14"/>
  <c r="B8" i="9"/>
  <c r="B6" i="48" s="1"/>
  <c r="Q6" i="48" s="1"/>
  <c r="P4" i="48"/>
  <c r="P22" i="48" s="1"/>
  <c r="Q11" i="14"/>
  <c r="Q10" i="14"/>
  <c r="P5" i="48"/>
  <c r="C19" i="14"/>
  <c r="B10" i="48"/>
  <c r="H12" i="22"/>
  <c r="I18" i="14"/>
  <c r="H13" i="48"/>
  <c r="H31" i="48" s="1"/>
  <c r="D13" i="14"/>
  <c r="B16" i="16"/>
  <c r="D8" i="17"/>
  <c r="E8" i="16"/>
  <c r="F19" i="19"/>
  <c r="L19" i="19"/>
  <c r="L12" i="13"/>
  <c r="M12" i="13"/>
  <c r="N16" i="16"/>
  <c r="D12" i="22"/>
  <c r="D31" i="20"/>
  <c r="E12" i="22"/>
  <c r="B12" i="22"/>
  <c r="B13" i="16"/>
  <c r="C35" i="16"/>
  <c r="D14" i="15"/>
  <c r="K19" i="19"/>
  <c r="I19" i="19"/>
  <c r="P18" i="16"/>
  <c r="J8" i="17"/>
  <c r="L16" i="16"/>
  <c r="L18" i="16" s="1"/>
  <c r="N6" i="17"/>
  <c r="E31" i="20"/>
  <c r="H14" i="22"/>
  <c r="F8" i="17"/>
  <c r="M19" i="19"/>
  <c r="J7" i="15"/>
  <c r="O5" i="16"/>
  <c r="C16" i="15"/>
  <c r="L6" i="17"/>
  <c r="N13" i="15"/>
  <c r="L13" i="15"/>
  <c r="L16" i="15" s="1"/>
  <c r="K20" i="15"/>
  <c r="G27" i="20"/>
  <c r="G7" i="22"/>
  <c r="G10" i="22"/>
  <c r="G6" i="22"/>
  <c r="G9" i="22"/>
  <c r="G11" i="22"/>
  <c r="G8" i="22"/>
  <c r="M7" i="22"/>
  <c r="M10" i="22"/>
  <c r="M8" i="22"/>
  <c r="M11" i="22"/>
  <c r="M9" i="22"/>
  <c r="M6" i="22"/>
  <c r="M27" i="20"/>
  <c r="J11" i="15"/>
  <c r="N7" i="15"/>
  <c r="B11" i="15"/>
  <c r="N11" i="15"/>
  <c r="F11" i="15"/>
  <c r="B38" i="13"/>
  <c r="B50" i="13" s="1"/>
  <c r="B7" i="15"/>
  <c r="E58" i="22"/>
  <c r="J58" i="22"/>
  <c r="L58" i="22"/>
  <c r="N58" i="22"/>
  <c r="O58" i="22"/>
  <c r="H58" i="22"/>
  <c r="I58" i="22"/>
  <c r="K58" i="22"/>
  <c r="P58" i="22"/>
  <c r="D58" i="22"/>
  <c r="F58" i="22"/>
  <c r="H31" i="20"/>
  <c r="I48" i="14" s="1"/>
  <c r="G31" i="20"/>
  <c r="H48" i="14" s="1"/>
  <c r="C78" i="22"/>
  <c r="E7" i="15"/>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P15" i="48"/>
  <c r="P23" i="48"/>
  <c r="P33" i="48" s="1"/>
  <c r="O5" i="48"/>
  <c r="P10" i="14"/>
  <c r="G11" i="14"/>
  <c r="F4" i="48"/>
  <c r="F22" i="48" s="1"/>
  <c r="M13" i="48"/>
  <c r="M31" i="48" s="1"/>
  <c r="N18" i="14"/>
  <c r="G12" i="22"/>
  <c r="G13" i="48"/>
  <c r="H18" i="14"/>
  <c r="H9" i="48"/>
  <c r="I20" i="14"/>
  <c r="I22" i="14" s="1"/>
  <c r="I27" i="14" s="1"/>
  <c r="J7" i="48"/>
  <c r="J25" i="48" s="1"/>
  <c r="K24" i="14"/>
  <c r="K26" i="14" s="1"/>
  <c r="C7" i="48"/>
  <c r="D24" i="14"/>
  <c r="E24" i="14"/>
  <c r="E26" i="14" s="1"/>
  <c r="D7" i="48"/>
  <c r="D25" i="48" s="1"/>
  <c r="M13" i="14"/>
  <c r="L8" i="48"/>
  <c r="L26" i="48" s="1"/>
  <c r="G24" i="14"/>
  <c r="G26" i="14" s="1"/>
  <c r="F7" i="48"/>
  <c r="F25" i="48" s="1"/>
  <c r="D12" i="17"/>
  <c r="E54" i="14" s="1"/>
  <c r="E56" i="14" s="1"/>
  <c r="M10" i="14"/>
  <c r="L5" i="48"/>
  <c r="D10" i="14"/>
  <c r="C5" i="48"/>
  <c r="C15" i="48" s="1"/>
  <c r="E10" i="14"/>
  <c r="D5" i="48"/>
  <c r="F12" i="17"/>
  <c r="G54" i="14" s="1"/>
  <c r="G56" i="14" s="1"/>
  <c r="L5" i="17"/>
  <c r="L8" i="17" s="1"/>
  <c r="B35" i="13"/>
  <c r="N5" i="17"/>
  <c r="N8" i="17" s="1"/>
  <c r="M31" i="20"/>
  <c r="N48" i="14" s="1"/>
  <c r="M12" i="22"/>
  <c r="O18" i="16"/>
  <c r="B34" i="13"/>
  <c r="B46" i="13" s="1"/>
  <c r="E5" i="13" s="1"/>
  <c r="E8" i="13" s="1"/>
  <c r="L22" i="16"/>
  <c r="M43" i="14" s="1"/>
  <c r="B36" i="13"/>
  <c r="E8" i="17"/>
  <c r="D18" i="16"/>
  <c r="B14" i="22"/>
  <c r="E14" i="22"/>
  <c r="D14" i="22"/>
  <c r="M51" i="22"/>
  <c r="M50" i="22" s="1"/>
  <c r="M54" i="22" s="1"/>
  <c r="G51" i="22"/>
  <c r="G50" i="22" s="1"/>
  <c r="G54" i="22" s="1"/>
  <c r="H18" i="22"/>
  <c r="I50" i="14" s="1"/>
  <c r="I52" i="14" s="1"/>
  <c r="I61" i="14" s="1"/>
  <c r="M5" i="22"/>
  <c r="G5" i="22"/>
  <c r="G14" i="22" s="1"/>
  <c r="E5" i="15"/>
  <c r="O20" i="15"/>
  <c r="P40" i="14" s="1"/>
  <c r="P20" i="15"/>
  <c r="Q40" i="14" s="1"/>
  <c r="Q46" i="14" s="1"/>
  <c r="Q61" i="14" s="1"/>
  <c r="Q63" i="14" s="1"/>
  <c r="J5" i="15"/>
  <c r="D20" i="15"/>
  <c r="E40" i="14" s="1"/>
  <c r="F5" i="15"/>
  <c r="F16" i="15" s="1"/>
  <c r="B5" i="15"/>
  <c r="B16" i="15" s="1"/>
  <c r="B5" i="16"/>
  <c r="B18" i="16" s="1"/>
  <c r="N5" i="15"/>
  <c r="N16" i="15" s="1"/>
  <c r="F12" i="13"/>
  <c r="G41" i="14" s="1"/>
  <c r="F13" i="16"/>
  <c r="E13" i="16"/>
  <c r="N13" i="16"/>
  <c r="J13" i="16"/>
  <c r="B47" i="13"/>
  <c r="N12" i="16"/>
  <c r="J12" i="16"/>
  <c r="F12" i="16"/>
  <c r="E12" i="16"/>
  <c r="B48" i="13"/>
  <c r="C48" i="13" s="1"/>
  <c r="N5" i="13" s="1"/>
  <c r="N8" i="13" s="1"/>
  <c r="C50" i="13"/>
  <c r="J5" i="13" s="1"/>
  <c r="J8" i="13" s="1"/>
  <c r="O8" i="48" l="1"/>
  <c r="O26" i="48" s="1"/>
  <c r="P13" i="14"/>
  <c r="P16" i="14" s="1"/>
  <c r="P27" i="14" s="1"/>
  <c r="O15" i="48"/>
  <c r="O23" i="48"/>
  <c r="O33" i="48" s="1"/>
  <c r="K11" i="14"/>
  <c r="J4" i="48"/>
  <c r="J22" i="48" s="1"/>
  <c r="O11" i="14"/>
  <c r="N4" i="48"/>
  <c r="N22" i="48" s="1"/>
  <c r="E12" i="13"/>
  <c r="F41" i="14" s="1"/>
  <c r="F11" i="14"/>
  <c r="E4" i="48"/>
  <c r="R18" i="14"/>
  <c r="I63" i="14"/>
  <c r="M10" i="48"/>
  <c r="M28" i="48" s="1"/>
  <c r="N19" i="14"/>
  <c r="G31" i="48"/>
  <c r="Q13" i="48"/>
  <c r="H19" i="14"/>
  <c r="R19" i="14" s="1"/>
  <c r="G10" i="48"/>
  <c r="B9" i="48"/>
  <c r="C20" i="14"/>
  <c r="H20" i="14"/>
  <c r="H22" i="14" s="1"/>
  <c r="H27" i="14" s="1"/>
  <c r="G9" i="48"/>
  <c r="D9" i="48"/>
  <c r="D27" i="48" s="1"/>
  <c r="E20" i="14"/>
  <c r="E22" i="14" s="1"/>
  <c r="E9" i="48"/>
  <c r="E27" i="48" s="1"/>
  <c r="F20" i="14"/>
  <c r="F22" i="14" s="1"/>
  <c r="H15" i="48"/>
  <c r="H27" i="48"/>
  <c r="H33" i="48" s="1"/>
  <c r="E7" i="48"/>
  <c r="E25" i="48" s="1"/>
  <c r="F24" i="14"/>
  <c r="F26" i="14" s="1"/>
  <c r="E12" i="17"/>
  <c r="F54" i="14" s="1"/>
  <c r="F56" i="14" s="1"/>
  <c r="B8" i="48"/>
  <c r="C13" i="14"/>
  <c r="D22" i="16"/>
  <c r="E43" i="14" s="1"/>
  <c r="E13" i="14"/>
  <c r="D8" i="48"/>
  <c r="D26" i="48" s="1"/>
  <c r="D26" i="14"/>
  <c r="O24" i="14"/>
  <c r="O26" i="14" s="1"/>
  <c r="N7" i="48"/>
  <c r="N25" i="48" s="1"/>
  <c r="L7" i="48"/>
  <c r="L25" i="48" s="1"/>
  <c r="M24" i="14"/>
  <c r="M26" i="14" s="1"/>
  <c r="C10" i="14"/>
  <c r="B5" i="48"/>
  <c r="G10" i="14"/>
  <c r="F5" i="48"/>
  <c r="O10" i="14"/>
  <c r="N5" i="48"/>
  <c r="L12" i="17"/>
  <c r="M54" i="14" s="1"/>
  <c r="M56" i="14" s="1"/>
  <c r="N12" i="17"/>
  <c r="O54" i="14" s="1"/>
  <c r="O56" i="14" s="1"/>
  <c r="E16" i="15"/>
  <c r="J16" i="15"/>
  <c r="M14" i="22"/>
  <c r="O22" i="16"/>
  <c r="P43" i="14" s="1"/>
  <c r="P46" i="14" s="1"/>
  <c r="P61" i="14" s="1"/>
  <c r="P63" i="14" s="1"/>
  <c r="D18" i="22"/>
  <c r="E50" i="14" s="1"/>
  <c r="E52" i="14" s="1"/>
  <c r="E18" i="22"/>
  <c r="F50" i="14" s="1"/>
  <c r="F52" i="14" s="1"/>
  <c r="M58" i="22"/>
  <c r="N49" i="14" s="1"/>
  <c r="G18" i="22"/>
  <c r="H50" i="14" s="1"/>
  <c r="G58" i="22"/>
  <c r="H49" i="14" s="1"/>
  <c r="J20" i="15"/>
  <c r="K40" i="14" s="1"/>
  <c r="N20" i="15"/>
  <c r="O40" i="14" s="1"/>
  <c r="F20" i="15"/>
  <c r="G40" i="14" s="1"/>
  <c r="N5" i="16"/>
  <c r="E5" i="16"/>
  <c r="J5" i="16"/>
  <c r="C35" i="13"/>
  <c r="F5" i="16"/>
  <c r="C36" i="13"/>
  <c r="N12" i="13"/>
  <c r="O41" i="14" s="1"/>
  <c r="C38" i="13"/>
  <c r="C39" i="13"/>
  <c r="C32" i="13"/>
  <c r="C34" i="13"/>
  <c r="J12" i="13"/>
  <c r="K41" i="14" s="1"/>
  <c r="L20" i="15"/>
  <c r="M40" i="14" s="1"/>
  <c r="R11" i="14" l="1"/>
  <c r="E22" i="48"/>
  <c r="Q4" i="48"/>
  <c r="H52" i="14"/>
  <c r="H61" i="14" s="1"/>
  <c r="H63" i="14" s="1"/>
  <c r="G28" i="48"/>
  <c r="Q10" i="48"/>
  <c r="M18" i="22"/>
  <c r="N50" i="14" s="1"/>
  <c r="N52" i="14" s="1"/>
  <c r="N61" i="14" s="1"/>
  <c r="M9" i="48"/>
  <c r="Q9" i="48" s="1"/>
  <c r="N20" i="14"/>
  <c r="N22" i="14" s="1"/>
  <c r="N27" i="14" s="1"/>
  <c r="C22" i="14"/>
  <c r="G27" i="48"/>
  <c r="G15" i="48"/>
  <c r="B15" i="48"/>
  <c r="D15" i="48"/>
  <c r="J5" i="48"/>
  <c r="K10" i="14"/>
  <c r="E20" i="15"/>
  <c r="F40" i="14" s="1"/>
  <c r="E5" i="48"/>
  <c r="F10" i="14"/>
  <c r="L15" i="48"/>
  <c r="Q7" i="48"/>
  <c r="R24" i="14"/>
  <c r="R26" i="14" s="1"/>
  <c r="J18" i="16"/>
  <c r="N18" i="16"/>
  <c r="E18" i="16"/>
  <c r="F18" i="16"/>
  <c r="F22" i="16" s="1"/>
  <c r="G43" i="14" s="1"/>
  <c r="G33" i="48" l="1"/>
  <c r="N63" i="14"/>
  <c r="M27" i="48"/>
  <c r="M33" i="48" s="1"/>
  <c r="M15" i="48"/>
  <c r="R20" i="14"/>
  <c r="R22" i="14" s="1"/>
  <c r="E22" i="16"/>
  <c r="F43" i="14" s="1"/>
  <c r="F46" i="14" s="1"/>
  <c r="F61" i="14" s="1"/>
  <c r="E8" i="48"/>
  <c r="E26" i="48" s="1"/>
  <c r="F13" i="14"/>
  <c r="F16" i="14" s="1"/>
  <c r="F27" i="14" s="1"/>
  <c r="K13" i="14"/>
  <c r="K16" i="14" s="1"/>
  <c r="K27" i="14" s="1"/>
  <c r="J8" i="48"/>
  <c r="J26" i="48" s="1"/>
  <c r="J23" i="48"/>
  <c r="E23" i="48"/>
  <c r="E15" i="48"/>
  <c r="F8" i="48"/>
  <c r="G13" i="14"/>
  <c r="N8" i="48"/>
  <c r="O13" i="14"/>
  <c r="N22" i="16"/>
  <c r="O43" i="14" s="1"/>
  <c r="J22" i="16"/>
  <c r="K43" i="14" s="1"/>
  <c r="K46" i="14" s="1"/>
  <c r="K61" i="14" s="1"/>
  <c r="E33" i="48" l="1"/>
  <c r="K63" i="14"/>
  <c r="F63" i="14"/>
  <c r="J33" i="48"/>
  <c r="J15" i="48"/>
  <c r="N26" i="48"/>
  <c r="N15" i="48"/>
  <c r="R13" i="14"/>
  <c r="F26" i="48"/>
  <c r="F15" i="48"/>
  <c r="Q8" i="48"/>
  <c r="M16" i="14"/>
  <c r="M27" i="14" s="1"/>
  <c r="D16" i="14"/>
  <c r="D27" i="14" s="1"/>
  <c r="B20" i="6" s="1"/>
  <c r="Q5" i="48" l="1"/>
  <c r="Q15" i="48" s="1"/>
  <c r="O16" i="14"/>
  <c r="O27" i="14" s="1"/>
  <c r="E16" i="14"/>
  <c r="E27" i="14" s="1"/>
  <c r="L23" i="48"/>
  <c r="L33" i="48" s="1"/>
  <c r="G16" i="14"/>
  <c r="G27" i="14" s="1"/>
  <c r="R10" i="14"/>
  <c r="R16" i="14" s="1"/>
  <c r="R27" i="14" s="1"/>
  <c r="C16" i="14"/>
  <c r="C27" i="14" s="1"/>
  <c r="B3" i="6" s="1"/>
  <c r="E46" i="14"/>
  <c r="E61" i="14" s="1"/>
  <c r="O46" i="14"/>
  <c r="O61" i="14" s="1"/>
  <c r="G46" i="14"/>
  <c r="G61" i="14" s="1"/>
  <c r="M46" i="14"/>
  <c r="M61" i="14" s="1"/>
  <c r="M63" i="14" s="1"/>
  <c r="O63" i="14" l="1"/>
  <c r="N23" i="48"/>
  <c r="N33" i="48" s="1"/>
  <c r="G63" i="14"/>
  <c r="E63" i="14"/>
  <c r="F23" i="48"/>
  <c r="F33" i="48" s="1"/>
  <c r="D23" i="48"/>
  <c r="D33" i="48" s="1"/>
  <c r="B22" i="6"/>
  <c r="C22" i="55" s="1"/>
  <c r="B12" i="6"/>
  <c r="C12" i="55" s="1"/>
  <c r="C10" i="13" l="1"/>
  <c r="C17" i="48" s="1"/>
  <c r="C32" i="48" s="1"/>
  <c r="C29" i="20"/>
  <c r="C17" i="49"/>
  <c r="C17" i="19"/>
  <c r="C19" i="19" s="1"/>
  <c r="D39" i="14" s="1"/>
  <c r="C18" i="15"/>
  <c r="C20" i="15" s="1"/>
  <c r="D40" i="14" s="1"/>
  <c r="C16" i="22"/>
  <c r="C10" i="17"/>
  <c r="C12" i="17" s="1"/>
  <c r="D54" i="14" s="1"/>
  <c r="D56" i="14" s="1"/>
  <c r="C20" i="16"/>
  <c r="C22" i="16" s="1"/>
  <c r="D43" i="14" s="1"/>
  <c r="C56" i="22"/>
  <c r="C58" i="22" s="1"/>
  <c r="D49" i="14" s="1"/>
  <c r="D52" i="14" s="1"/>
  <c r="C55" i="14"/>
  <c r="R55" i="14" s="1"/>
  <c r="B20" i="16"/>
  <c r="B22" i="16" s="1"/>
  <c r="C43" i="14" s="1"/>
  <c r="B17" i="49"/>
  <c r="B19" i="49" s="1"/>
  <c r="C42" i="14" s="1"/>
  <c r="B10" i="13"/>
  <c r="B17" i="48" s="1"/>
  <c r="B32" i="48" s="1"/>
  <c r="B10" i="9"/>
  <c r="B12" i="9" s="1"/>
  <c r="B17" i="19"/>
  <c r="B19" i="19" s="1"/>
  <c r="C39" i="14" s="1"/>
  <c r="B56" i="22"/>
  <c r="B58" i="22" s="1"/>
  <c r="C49" i="14" s="1"/>
  <c r="B29" i="20"/>
  <c r="B31" i="20" s="1"/>
  <c r="C48" i="14" s="1"/>
  <c r="B16" i="22"/>
  <c r="B18" i="22" s="1"/>
  <c r="C50" i="14" s="1"/>
  <c r="B18" i="15"/>
  <c r="B20" i="15" s="1"/>
  <c r="B10" i="17"/>
  <c r="B12" i="17" s="1"/>
  <c r="C54" i="14" s="1"/>
  <c r="Q32" i="48" l="1"/>
  <c r="C24" i="48"/>
  <c r="C22" i="48"/>
  <c r="C30" i="48"/>
  <c r="C31" i="48"/>
  <c r="C26" i="48"/>
  <c r="C29" i="48"/>
  <c r="C25" i="48"/>
  <c r="C28" i="48"/>
  <c r="C27" i="48"/>
  <c r="C23" i="48"/>
  <c r="C40" i="14"/>
  <c r="B12" i="13"/>
  <c r="C41" i="14" s="1"/>
  <c r="C12" i="13"/>
  <c r="D41" i="14" s="1"/>
  <c r="D46" i="14" s="1"/>
  <c r="D61" i="14" s="1"/>
  <c r="D63" i="14" s="1"/>
  <c r="C33" i="48" l="1"/>
  <c r="R49" i="14" l="1"/>
  <c r="R50" i="14"/>
  <c r="R43" i="14"/>
  <c r="R42" i="14"/>
  <c r="B24" i="48" l="1"/>
  <c r="Q24" i="48" s="1"/>
  <c r="B29" i="48"/>
  <c r="Q29" i="48" s="1"/>
  <c r="B30" i="48"/>
  <c r="Q30" i="48" s="1"/>
  <c r="B27" i="48"/>
  <c r="Q27" i="48" s="1"/>
  <c r="B26" i="48"/>
  <c r="Q26" i="48" s="1"/>
  <c r="B28" i="48"/>
  <c r="Q28" i="48" s="1"/>
  <c r="B22" i="48"/>
  <c r="B25" i="48"/>
  <c r="Q25" i="48" s="1"/>
  <c r="B31" i="48"/>
  <c r="Q31" i="48" s="1"/>
  <c r="B23" i="48"/>
  <c r="Q23" i="48" s="1"/>
  <c r="C52" i="14"/>
  <c r="R48" i="14"/>
  <c r="R52" i="14" s="1"/>
  <c r="R39" i="14"/>
  <c r="R54" i="14"/>
  <c r="R56" i="14" s="1"/>
  <c r="C56" i="14"/>
  <c r="R40" i="14"/>
  <c r="R41" i="14"/>
  <c r="B33" i="48" l="1"/>
  <c r="Q22" i="48"/>
  <c r="Q33" i="48" s="1"/>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<sst xmlns="http://schemas.openxmlformats.org/spreadsheetml/2006/main" count="2513" uniqueCount="971">
  <si>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</si>
  <si>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</si>
  <si>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</si>
  <si>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</si>
  <si>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</si>
  <si>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</si>
  <si>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</si>
  <si>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</si>
  <si>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</si>
  <si>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</si>
  <si>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</si>
  <si>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</si>
  <si>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</si>
  <si>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</si>
  <si>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</si>
  <si>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</si>
  <si>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</si>
  <si>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</si>
  <si>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</si>
  <si>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</si>
  <si>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</si>
  <si>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</si>
  <si>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</si>
  <si>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</si>
  <si>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</si>
  <si>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</si>
  <si>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</si>
  <si>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</si>
  <si>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</si>
  <si>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</si>
  <si>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</si>
  <si>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</si>
  <si>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</si>
  <si>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</si>
  <si>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</si>
  <si>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</si>
  <si>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</si>
  <si>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</si>
  <si>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</si>
  <si>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</si>
  <si>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</si>
  <si>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</si>
  <si>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</si>
  <si>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</si>
  <si>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</si>
  <si>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</si>
  <si>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</si>
  <si>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</si>
  <si>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</si>
  <si>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</si>
  <si>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</si>
  <si>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</si>
  <si>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</si>
  <si>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</si>
  <si>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</si>
  <si>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</si>
  <si>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</si>
  <si>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</si>
  <si>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</si>
  <si>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</si>
  <si>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</si>
  <si>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</si>
  <si>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</si>
  <si>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</si>
  <si>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</si>
  <si>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</si>
  <si>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</si>
  <si>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</si>
  <si>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</si>
  <si>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</si>
  <si>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</si>
  <si>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</si>
  <si>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</si>
  <si>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</si>
  <si>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</si>
  <si>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</si>
  <si>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</si>
  <si>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</si>
  <si>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</si>
  <si>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</si>
  <si>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</si>
  <si>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</si>
  <si>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</si>
  <si>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</si>
  <si>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</si>
  <si>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</si>
  <si>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</si>
  <si>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</si>
  <si>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</si>
  <si>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</si>
  <si>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</si>
  <si>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</si>
  <si>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</si>
  <si>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</si>
  <si>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</si>
  <si>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</si>
  <si>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</si>
  <si>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</si>
  <si>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</si>
  <si>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</si>
  <si>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</si>
  <si>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</si>
  <si>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</si>
  <si>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</si>
  <si>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</si>
  <si>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</si>
  <si>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</si>
  <si>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</si>
  <si>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</si>
  <si>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</si>
  <si>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</si>
  <si>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</si>
  <si>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</si>
  <si>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</si>
  <si>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</si>
  <si>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</si>
  <si>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</si>
  <si>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</si>
  <si>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</si>
  <si>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</si>
  <si>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</si>
  <si>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</si>
  <si>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</si>
  <si>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</si>
  <si>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</si>
  <si>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</si>
  <si>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</si>
  <si>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</si>
  <si>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</si>
  <si>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</si>
  <si>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</si>
  <si>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</si>
  <si>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</si>
  <si>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</si>
  <si>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</si>
  <si>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</si>
  <si>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</si>
  <si>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</si>
  <si>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</si>
  <si>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</si>
  <si>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</si>
  <si>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</si>
  <si>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</si>
  <si>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</si>
  <si>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</si>
  <si>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</si>
  <si>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</si>
  <si>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</si>
  <si>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</si>
  <si>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</si>
  <si>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</si>
  <si>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</si>
  <si>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</si>
  <si>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</si>
  <si>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</si>
  <si>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</si>
  <si>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</si>
  <si>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</si>
  <si>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</si>
  <si>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</si>
  <si>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</si>
  <si>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</si>
  <si>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</si>
  <si>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</si>
  <si>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</si>
  <si>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</si>
  <si>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</si>
  <si>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</si>
  <si>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</si>
  <si>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</si>
  <si>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</si>
  <si>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</si>
  <si>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</si>
  <si>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</si>
  <si>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</si>
  <si>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</si>
  <si>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</si>
  <si>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</si>
  <si>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</si>
  <si>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</si>
  <si>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</si>
  <si>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</si>
  <si>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</si>
  <si>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</si>
  <si>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</si>
  <si>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</si>
  <si>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</si>
  <si>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</si>
  <si>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</si>
  <si>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</si>
  <si>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</si>
  <si>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</si>
  <si>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</si>
  <si>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</si>
  <si>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</si>
  <si>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</si>
  <si>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</si>
  <si>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</si>
  <si>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</si>
  <si>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</si>
  <si>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</si>
  <si>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</si>
  <si>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</si>
  <si>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</si>
  <si>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</si>
  <si>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</si>
  <si>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</si>
  <si>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</si>
  <si>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</si>
  <si>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</si>
  <si>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</si>
  <si>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</si>
  <si>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</si>
  <si>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</si>
  <si>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</si>
  <si>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</si>
  <si>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</si>
  <si>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</si>
  <si>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</si>
  <si>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</si>
  <si>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</si>
  <si>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</si>
  <si>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</si>
  <si>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</si>
  <si>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</si>
  <si>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</si>
  <si>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</si>
  <si>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</si>
  <si>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</si>
  <si>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</si>
  <si>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</si>
  <si>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</si>
  <si>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</si>
  <si>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</si>
  <si>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</si>
  <si>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</si>
  <si>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</si>
  <si>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</si>
  <si>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</si>
  <si>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</si>
  <si>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</si>
  <si>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</si>
  <si>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</si>
  <si>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</si>
  <si>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</si>
  <si>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</si>
  <si>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</si>
  <si>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</si>
  <si>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</si>
  <si>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</si>
  <si>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</si>
  <si>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</si>
  <si>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</si>
  <si>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</si>
  <si>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</si>
  <si>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</si>
  <si>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</si>
  <si>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</si>
  <si>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</si>
  <si>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</si>
  <si>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</si>
  <si>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</si>
  <si>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</si>
  <si>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</si>
  <si>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</si>
  <si>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</si>
  <si>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</si>
  <si>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</si>
  <si>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</si>
  <si>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</si>
  <si>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</si>
  <si>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</si>
  <si>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</si>
  <si>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</si>
  <si>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</si>
  <si>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</si>
  <si>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</si>
  <si>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</si>
  <si>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</si>
  <si>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</si>
  <si>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</si>
  <si>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</si>
  <si>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</si>
  <si>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</si>
  <si>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</si>
  <si>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</si>
  <si>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</si>
  <si>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</si>
  <si>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</si>
  <si>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</si>
  <si>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</si>
  <si>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</si>
  <si>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</si>
  <si>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</si>
  <si>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</si>
  <si>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</si>
  <si>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</si>
  <si>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</si>
  <si>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</si>
  <si>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</si>
  <si>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</si>
  <si>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</si>
  <si>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</si>
  <si>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</si>
  <si>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</si>
  <si>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</si>
  <si>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</si>
  <si>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</si>
  <si>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</si>
  <si>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</si>
  <si>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</si>
  <si>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</si>
  <si>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</si>
  <si>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</si>
  <si>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</si>
  <si>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</si>
  <si>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</si>
  <si>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</si>
  <si>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</si>
  <si>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</si>
  <si>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</si>
  <si>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</si>
  <si>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</si>
  <si>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</si>
  <si>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</si>
  <si>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</si>
  <si>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</si>
  <si>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</si>
  <si>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</si>
  <si>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</si>
  <si>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</si>
  <si>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</si>
  <si>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</si>
  <si>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</si>
  <si>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</si>
  <si>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</si>
  <si>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</si>
  <si>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</si>
  <si>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</si>
  <si>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</si>
  <si>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</si>
  <si>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</si>
  <si>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</si>
  <si>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</si>
  <si>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</si>
  <si>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</si>
  <si>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</si>
  <si>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</si>
  <si>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</si>
  <si>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</si>
  <si>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</si>
  <si>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</si>
  <si>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</si>
  <si>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</si>
  <si>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</si>
  <si>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</si>
  <si>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</si>
  <si>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</si>
  <si>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</si>
  <si>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</si>
  <si>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</si>
  <si>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</si>
  <si>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</si>
  <si>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</si>
  <si>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</si>
  <si>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</si>
  <si>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</si>
  <si>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</si>
  <si>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</si>
  <si>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</si>
  <si>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</si>
  <si>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</si>
  <si>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</si>
  <si>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</si>
  <si>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</si>
  <si>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</si>
  <si>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</si>
  <si>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</si>
  <si>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</si>
  <si>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</si>
  <si>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</si>
  <si>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</si>
  <si>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</si>
  <si>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</si>
  <si>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</si>
  <si>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</si>
  <si>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</si>
  <si>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</si>
  <si>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</si>
  <si>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</si>
  <si>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</si>
  <si>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</si>
  <si>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</si>
  <si>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</si>
  <si>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</si>
  <si>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</si>
  <si>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</si>
  <si>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</si>
  <si>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</si>
  <si>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</si>
  <si>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</si>
  <si>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</si>
  <si>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</si>
  <si>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</si>
  <si>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</si>
  <si>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</si>
  <si>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</si>
  <si>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</si>
  <si>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</si>
  <si>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</si>
  <si>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</si>
  <si>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</si>
  <si>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</si>
  <si>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</si>
  <si>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</si>
  <si>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</si>
  <si>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</si>
  <si>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</si>
  <si>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</si>
  <si>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</si>
  <si>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</si>
  <si>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</si>
  <si>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</si>
  <si>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</si>
  <si>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</si>
  <si>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</si>
  <si>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</si>
  <si>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</si>
  <si>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</si>
  <si>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</si>
  <si>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</si>
  <si>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</si>
  <si>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</si>
  <si>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</si>
  <si>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</si>
  <si>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</si>
  <si>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</si>
  <si>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</si>
  <si>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</si>
  <si>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</si>
  <si>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</si>
  <si>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</si>
  <si>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</si>
  <si>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</si>
  <si>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</si>
  <si>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</si>
  <si>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</si>
  <si>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</si>
  <si>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</si>
  <si>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</si>
  <si>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</si>
  <si>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</si>
  <si>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</si>
  <si>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</si>
  <si>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</si>
  <si>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</si>
  <si>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</si>
  <si>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</si>
  <si>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</si>
  <si>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</si>
  <si>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</si>
  <si>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</si>
  <si>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</si>
  <si>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</si>
  <si>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</si>
  <si>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</si>
  <si>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</si>
  <si>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</si>
  <si>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</si>
  <si>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</si>
  <si>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</si>
  <si>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</si>
  <si>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</si>
  <si>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</si>
  <si>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</si>
  <si>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</si>
  <si>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</si>
  <si>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</si>
  <si>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</si>
  <si>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</si>
  <si>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</si>
  <si>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</si>
  <si>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</si>
  <si>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</si>
  <si>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</si>
  <si>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</si>
  <si>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</si>
  <si>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</si>
  <si>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</si>
  <si>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</si>
  <si>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</si>
  <si>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</si>
  <si>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</si>
  <si>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</si>
  <si>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</si>
  <si>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</si>
  <si>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</si>
  <si>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</si>
  <si>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</si>
  <si>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</si>
  <si>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</si>
  <si>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</si>
  <si>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</si>
  <si>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</si>
  <si>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</si>
  <si>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</si>
  <si>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</si>
  <si>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</si>
  <si>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</si>
  <si>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</si>
  <si>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</si>
  <si>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</si>
  <si>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</si>
  <si>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</si>
  <si>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</si>
  <si>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</si>
  <si>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</si>
  <si>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</si>
  <si>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</si>
  <si>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</si>
  <si>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</si>
  <si>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</si>
  <si>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</si>
  <si>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</si>
  <si>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</si>
  <si>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</si>
  <si>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</si>
  <si>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</si>
  <si>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</si>
  <si>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</si>
  <si>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</si>
  <si>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</si>
  <si>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</si>
  <si>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</si>
  <si>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</si>
  <si>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</si>
  <si>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</si>
  <si>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</si>
  <si>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</si>
  <si>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</si>
  <si>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</si>
  <si>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</si>
  <si>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</si>
  <si>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</si>
  <si>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</si>
  <si>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</si>
  <si>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</si>
  <si>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</si>
  <si>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</si>
  <si>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</si>
  <si>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</si>
  <si>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</si>
  <si>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</si>
  <si>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</si>
  <si>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</si>
  <si>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</si>
  <si>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</si>
  <si>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</si>
  <si>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</si>
  <si>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</si>
  <si>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</si>
  <si>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</si>
  <si>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</si>
  <si>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</si>
  <si>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</si>
  <si>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</si>
  <si>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</si>
  <si>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</si>
  <si>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</si>
  <si>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</si>
  <si>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</si>
  <si>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</si>
  <si>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</si>
  <si>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</si>
  <si>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</si>
  <si>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</si>
  <si>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</si>
  <si>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</si>
  <si>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</si>
  <si>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</si>
  <si>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</si>
  <si>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</si>
  <si>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</si>
  <si>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</si>
  <si>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</si>
  <si>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</si>
  <si>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</si>
  <si>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</si>
  <si>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</si>
  <si>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</si>
  <si>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</si>
  <si>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</si>
  <si>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</si>
  <si>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</si>
  <si>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</si>
  <si>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</si>
  <si>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</si>
  <si>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</si>
  <si>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</si>
  <si>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</si>
  <si>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</si>
  <si>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</si>
  <si>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</si>
  <si>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</si>
  <si>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</si>
  <si>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</si>
  <si>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</si>
  <si>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</si>
  <si>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</si>
  <si>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</si>
  <si>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</si>
  <si>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</si>
  <si>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</si>
  <si>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</si>
  <si>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</si>
  <si>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</si>
  <si>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</si>
  <si>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</si>
  <si>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</si>
  <si>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</si>
  <si>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</si>
  <si>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</si>
  <si>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</si>
  <si>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</si>
  <si>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</si>
  <si>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</si>
  <si>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</si>
  <si>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</si>
  <si>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</si>
  <si>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</si>
  <si>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</si>
  <si>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</si>
  <si>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</si>
  <si>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</si>
  <si>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</si>
  <si>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</si>
  <si>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</si>
  <si>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</si>
  <si>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</si>
  <si>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</si>
  <si>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</si>
  <si>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</si>
  <si>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</si>
  <si>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</si>
  <si>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</si>
  <si>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</si>
  <si>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</si>
  <si>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</si>
  <si>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</si>
  <si>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</si>
  <si>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</si>
  <si>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</si>
  <si>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</si>
  <si>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</si>
  <si>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</si>
  <si>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</si>
  <si>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</si>
  <si>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</si>
  <si>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</si>
  <si>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</si>
  <si>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</si>
  <si>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</si>
  <si>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</si>
  <si>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</si>
  <si>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</si>
  <si>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</si>
  <si>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</si>
  <si>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</si>
  <si>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</si>
  <si>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</si>
  <si>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</si>
  <si>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</si>
  <si>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</si>
  <si>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</si>
  <si>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</si>
  <si>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</si>
  <si>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</si>
  <si>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</si>
  <si>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</si>
  <si>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</si>
  <si>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</si>
  <si>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</si>
  <si>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</si>
  <si>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</si>
  <si>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</si>
  <si>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</si>
  <si>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</si>
  <si>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</si>
  <si>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</si>
  <si>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</si>
  <si>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</si>
  <si>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</si>
  <si>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</si>
  <si>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</si>
  <si>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</si>
  <si>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</si>
  <si>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</si>
  <si>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</si>
  <si>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</si>
  <si>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</si>
  <si>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</si>
  <si>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</si>
  <si>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</si>
  <si>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</si>
  <si>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</si>
  <si>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</si>
  <si>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</si>
  <si>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</si>
  <si>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</si>
  <si>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</si>
  <si>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</si>
  <si>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</si>
  <si>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</si>
  <si>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</si>
  <si>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</si>
  <si>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</si>
  <si>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</si>
  <si>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</si>
  <si>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</si>
  <si>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</si>
  <si>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</si>
  <si>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</si>
  <si>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</si>
  <si>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</si>
  <si>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</si>
  <si>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</si>
  <si>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</si>
  <si>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</si>
  <si>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</si>
  <si>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</si>
  <si>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</si>
  <si>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</si>
  <si>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</si>
  <si>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</si>
  <si>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</si>
  <si>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</si>
  <si>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</si>
  <si>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</si>
  <si>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</si>
  <si>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</si>
  <si>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</si>
  <si>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</si>
  <si>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</si>
  <si>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</si>
  <si>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</si>
  <si>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</si>
  <si>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</si>
  <si>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</si>
  <si>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</si>
  <si>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</si>
  <si>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</si>
  <si>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</si>
  <si>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</si>
  <si>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</si>
  <si>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</si>
  <si>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</si>
  <si>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</si>
  <si>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</si>
  <si>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</si>
  <si>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</si>
  <si>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</si>
  <si>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</si>
  <si>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</si>
  <si>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</si>
  <si>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</si>
  <si>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</si>
  <si>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</si>
  <si>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</si>
  <si>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</si>
  <si>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</si>
  <si>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</si>
  <si>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</si>
  <si>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</si>
  <si>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</si>
  <si>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</si>
  <si>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</si>
  <si>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</si>
  <si>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</si>
  <si>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</si>
  <si>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</si>
  <si>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</si>
  <si>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</si>
  <si>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</si>
  <si>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</si>
  <si>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</si>
  <si>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</si>
  <si>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</si>
  <si>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</si>
  <si>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</si>
  <si>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</si>
  <si>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</si>
  <si>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</si>
  <si>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</si>
  <si>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</si>
  <si>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</si>
  <si>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</si>
  <si>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</si>
  <si>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</si>
  <si>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</si>
  <si>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</si>
  <si>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</si>
  <si>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</si>
  <si>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</si>
  <si>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</si>
  <si>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</si>
  <si>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</si>
  <si>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</si>
  <si>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</si>
  <si>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</si>
  <si>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</si>
  <si>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</si>
  <si>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Caroline De Bosscher</t>
  </si>
  <si>
    <t xml:space="preserve">053 / 72 66 55 </t>
  </si>
  <si>
    <t xml:space="preserve">c.debosscher@vmm.be </t>
  </si>
  <si>
    <t>Wilfrid Degroot</t>
  </si>
  <si>
    <t>015 / 408 791</t>
  </si>
  <si>
    <t>Wilfrid.degroot@delijn.be</t>
  </si>
  <si>
    <t>standaardwaardes in COPERT-tool</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</si>
  <si>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</si>
  <si>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</si>
  <si>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</si>
  <si>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</si>
  <si>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</si>
  <si>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</si>
  <si>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</si>
  <si>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</si>
  <si>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</si>
  <si>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</si>
  <si>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</si>
  <si>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</si>
  <si>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</si>
  <si>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</si>
  <si>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</si>
  <si>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</si>
  <si>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</si>
  <si>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</si>
  <si>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</si>
  <si>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</si>
  <si>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</si>
  <si>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</si>
  <si>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</si>
  <si>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</si>
  <si>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</si>
  <si>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</si>
  <si>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</si>
  <si>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</si>
  <si>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</si>
  <si>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</si>
  <si>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</si>
  <si>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</si>
  <si>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</si>
  <si>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</si>
  <si>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</si>
  <si>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</si>
  <si>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</si>
  <si>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</si>
  <si>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</si>
  <si>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</si>
  <si>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</si>
  <si>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</si>
  <si>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</si>
  <si>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</si>
  <si>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</si>
  <si>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</si>
  <si>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</si>
  <si>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</si>
  <si>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</si>
  <si>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</si>
  <si>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</si>
  <si>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</si>
  <si>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</si>
  <si>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</si>
  <si>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</si>
  <si>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</si>
  <si>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</si>
  <si>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</si>
  <si>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</si>
  <si>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</si>
  <si>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</si>
  <si>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</si>
  <si>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</si>
  <si>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</si>
  <si>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</si>
  <si>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</si>
  <si>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</si>
  <si>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</si>
  <si>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</si>
  <si>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</si>
  <si>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</si>
  <si>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</si>
  <si>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</si>
  <si>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</si>
  <si>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</si>
  <si>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</si>
  <si>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</si>
  <si>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</si>
  <si>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</si>
  <si>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</si>
  <si>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</si>
  <si>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</si>
  <si>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</si>
  <si>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</si>
  <si>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</si>
  <si>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</si>
  <si>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</si>
  <si>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</si>
  <si>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</si>
  <si>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</si>
  <si>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</si>
  <si>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</si>
  <si>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</si>
  <si>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</si>
  <si>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</si>
  <si>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</si>
  <si>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</si>
  <si>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</si>
  <si>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</si>
  <si>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</si>
  <si>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</si>
  <si>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</si>
  <si>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</si>
  <si>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</si>
  <si>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</si>
  <si>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</si>
  <si>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</si>
  <si>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</si>
  <si>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</si>
  <si>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</si>
  <si>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</si>
  <si>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</si>
  <si>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</si>
  <si>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</si>
  <si>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</si>
  <si>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</si>
  <si>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</si>
  <si>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</si>
  <si>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</si>
  <si>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</si>
  <si>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</si>
  <si>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</si>
  <si>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</si>
  <si>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</si>
  <si>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2011_16</t>
  </si>
  <si>
    <t>verwijderen cijfers voor 2020 in tabblad data</t>
  </si>
  <si>
    <t>aanpassing namen cellen in rekenblad data zodat er geen verwijzing is naar het jaar 2011</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</si>
  <si>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</si>
  <si>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</si>
  <si>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</si>
  <si>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</si>
  <si>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</si>
  <si>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</si>
  <si>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</si>
  <si>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</si>
  <si>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</si>
  <si>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</si>
  <si>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</si>
  <si>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</si>
  <si>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</si>
  <si>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</si>
  <si>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</si>
  <si>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</si>
  <si>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</si>
  <si>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2011_16</t>
  </si>
  <si>
    <t>NIET RESIDENTIEEL EPN</t>
  </si>
  <si>
    <t>24028</t>
  </si>
  <si>
    <t>GEETBETS</t>
  </si>
  <si>
    <t>Paarden&amp;pony's 200 - 600 kg</t>
  </si>
  <si>
    <t>Paarden&amp;pony's &lt; 200 kg</t>
  </si>
  <si>
    <t>Fluvius</t>
  </si>
  <si>
    <t xml:space="preserve">Bron: </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</si>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</sst>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407">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5" fillId="5" borderId="20">
      <alignment horizontal="right" vertical="center"/>
    </xf>
    <xf numFmtId="170" fontId="16" fillId="6" borderId="21" applyFont="0" applyBorder="0">
      <alignment vertical="center"/>
    </xf>
    <xf numFmtId="170" fontId="26" fillId="7" borderId="0" applyNumberFormat="0" applyBorder="0" applyAlignment="0" applyProtection="0"/>
    <xf numFmtId="170" fontId="27"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8"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29" fillId="0" borderId="0" applyNumberFormat="0" applyFill="0" applyBorder="0" applyAlignment="0" applyProtection="0">
      <alignment vertical="top"/>
      <protection locked="0"/>
    </xf>
    <xf numFmtId="171" fontId="22" fillId="8" borderId="15">
      <alignment horizontal="right" vertical="center"/>
    </xf>
    <xf numFmtId="171" fontId="22" fillId="8" borderId="15">
      <alignment horizontal="right" vertical="center"/>
    </xf>
    <xf numFmtId="171" fontId="22" fillId="8" borderId="15">
      <alignment horizontal="right" vertical="center"/>
    </xf>
    <xf numFmtId="171" fontId="30" fillId="9" borderId="15">
      <alignment horizontal="right" vertical="center"/>
    </xf>
    <xf numFmtId="171" fontId="30" fillId="9" borderId="15">
      <alignment horizontal="right" vertical="center"/>
    </xf>
    <xf numFmtId="171" fontId="30"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1" fillId="0" borderId="0" applyFont="0" applyFill="0" applyBorder="0" applyAlignment="0" applyProtection="0"/>
    <xf numFmtId="43" fontId="31" fillId="0" borderId="0" applyFont="0" applyFill="0" applyBorder="0" applyAlignment="0" applyProtection="0"/>
    <xf numFmtId="165" fontId="31" fillId="0" borderId="0" applyFont="0" applyFill="0" applyBorder="0" applyAlignment="0" applyProtection="0"/>
    <xf numFmtId="166" fontId="31" fillId="0" borderId="0" applyFont="0" applyFill="0" applyBorder="0" applyAlignment="0" applyProtection="0"/>
    <xf numFmtId="170" fontId="32" fillId="0" borderId="0"/>
    <xf numFmtId="170" fontId="9" fillId="0" borderId="0"/>
    <xf numFmtId="170" fontId="32" fillId="0" borderId="0"/>
    <xf numFmtId="170" fontId="15" fillId="0" borderId="0"/>
    <xf numFmtId="170" fontId="9" fillId="0" borderId="0"/>
    <xf numFmtId="4" fontId="25"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3" fillId="1" borderId="23" applyNumberFormat="0" applyProtection="0">
      <alignment horizontal="left" vertical="top"/>
    </xf>
    <xf numFmtId="170" fontId="34"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5"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0"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50" fillId="0" borderId="0"/>
    <xf numFmtId="170" fontId="70" fillId="0" borderId="0" applyNumberFormat="0" applyFill="0" applyBorder="0" applyAlignment="0" applyProtection="0">
      <alignment vertical="top"/>
      <protection locked="0"/>
    </xf>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4" fillId="0" borderId="0"/>
    <xf numFmtId="170"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0" fontId="4" fillId="0" borderId="0"/>
    <xf numFmtId="171" fontId="30" fillId="9" borderId="15">
      <alignment horizontal="right" vertical="center"/>
    </xf>
    <xf numFmtId="171" fontId="30" fillId="9" borderId="15">
      <alignment horizontal="right" vertical="center"/>
    </xf>
    <xf numFmtId="171" fontId="30" fillId="9" borderId="15">
      <alignment horizontal="right" vertical="center"/>
    </xf>
    <xf numFmtId="9" fontId="4" fillId="0" borderId="0" applyFont="0" applyFill="0" applyBorder="0" applyAlignment="0" applyProtection="0"/>
    <xf numFmtId="170" fontId="70" fillId="0" borderId="0" applyNumberFormat="0" applyFill="0" applyBorder="0" applyAlignment="0" applyProtection="0">
      <alignment vertical="top"/>
      <protection locked="0"/>
    </xf>
    <xf numFmtId="9" fontId="50"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5"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0" fontId="4" fillId="0" borderId="0"/>
    <xf numFmtId="170" fontId="33" fillId="1" borderId="188" applyNumberFormat="0" applyProtection="0">
      <alignment horizontal="left" vertical="top"/>
    </xf>
    <xf numFmtId="0" fontId="4" fillId="0" borderId="0"/>
    <xf numFmtId="0" fontId="4" fillId="0" borderId="0"/>
    <xf numFmtId="0" fontId="4" fillId="0" borderId="0"/>
    <xf numFmtId="0" fontId="4" fillId="0" borderId="0"/>
    <xf numFmtId="171" fontId="22" fillId="8" borderId="183">
      <alignment horizontal="right" vertical="center"/>
    </xf>
    <xf numFmtId="168" fontId="16" fillId="0" borderId="209">
      <alignment vertical="center"/>
    </xf>
    <xf numFmtId="49" fontId="25" fillId="0" borderId="209" applyNumberFormat="0" applyFont="0" applyFill="0" applyBorder="0" applyProtection="0">
      <alignment horizontal="left" vertical="center" indent="2"/>
    </xf>
    <xf numFmtId="171" fontId="22" fillId="8" borderId="215">
      <alignment horizontal="right" vertical="center"/>
    </xf>
    <xf numFmtId="171" fontId="30" fillId="9" borderId="211">
      <alignment horizontal="right" vertical="center"/>
    </xf>
    <xf numFmtId="0" fontId="45" fillId="52" borderId="0" applyNumberFormat="0" applyBorder="0" applyAlignment="0" applyProtection="0"/>
    <xf numFmtId="0" fontId="108" fillId="28" borderId="0" applyNumberFormat="0" applyBorder="0" applyAlignment="0" applyProtection="0"/>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209">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0" fontId="33" fillId="1" borderId="212" applyNumberFormat="0" applyProtection="0">
      <alignment horizontal="left" vertical="top"/>
    </xf>
    <xf numFmtId="171" fontId="30" fillId="9" borderId="209">
      <alignment horizontal="right" vertical="center"/>
    </xf>
    <xf numFmtId="171" fontId="22" fillId="8" borderId="215">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5">
      <alignment horizontal="right" vertical="center"/>
    </xf>
    <xf numFmtId="171" fontId="22" fillId="8" borderId="215">
      <alignment horizontal="right" vertical="center"/>
    </xf>
    <xf numFmtId="170" fontId="33" fillId="1" borderId="207"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5">
      <alignment horizontal="right" vertical="center"/>
    </xf>
    <xf numFmtId="0" fontId="25" fillId="0" borderId="209" applyNumberFormat="0" applyFill="0" applyAlignment="0" applyProtection="0"/>
    <xf numFmtId="175" fontId="25" fillId="59" borderId="211" applyNumberFormat="0" applyFont="0" applyBorder="0" applyAlignment="0" applyProtection="0">
      <alignment horizontal="right" vertical="center"/>
    </xf>
    <xf numFmtId="171" fontId="22" fillId="8" borderId="215">
      <alignment horizontal="right" vertical="center"/>
    </xf>
    <xf numFmtId="171" fontId="30" fillId="9" borderId="211">
      <alignment horizontal="right" vertical="center"/>
    </xf>
    <xf numFmtId="171" fontId="22" fillId="8" borderId="215">
      <alignment horizontal="right" vertical="center"/>
    </xf>
    <xf numFmtId="171" fontId="30" fillId="9" borderId="211">
      <alignment horizontal="right" vertical="center"/>
    </xf>
    <xf numFmtId="4" fontId="25" fillId="0" borderId="215" applyFill="0" applyBorder="0" applyProtection="0">
      <alignment horizontal="right" vertical="center"/>
    </xf>
    <xf numFmtId="171" fontId="22" fillId="8" borderId="215">
      <alignment horizontal="right" vertical="center"/>
    </xf>
    <xf numFmtId="171" fontId="22" fillId="8" borderId="213">
      <alignment horizontal="right" vertical="center"/>
    </xf>
    <xf numFmtId="170" fontId="33" fillId="1" borderId="208" applyNumberFormat="0" applyProtection="0">
      <alignment horizontal="left" vertical="top"/>
    </xf>
    <xf numFmtId="171" fontId="30" fillId="9" borderId="211">
      <alignment horizontal="right" vertical="center"/>
    </xf>
    <xf numFmtId="171" fontId="30" fillId="9" borderId="209">
      <alignment horizontal="right" vertical="center"/>
    </xf>
    <xf numFmtId="168" fontId="16" fillId="0" borderId="209">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0" fontId="45" fillId="40" borderId="0" applyNumberFormat="0" applyBorder="0" applyAlignment="0" applyProtection="0"/>
    <xf numFmtId="0" fontId="45" fillId="36" borderId="0" applyNumberFormat="0" applyBorder="0" applyAlignment="0" applyProtection="0"/>
    <xf numFmtId="0" fontId="25" fillId="0" borderId="209" applyNumberFormat="0" applyFill="0" applyAlignment="0" applyProtection="0"/>
    <xf numFmtId="171" fontId="30" fillId="9" borderId="183">
      <alignment horizontal="right" vertical="center"/>
    </xf>
    <xf numFmtId="168" fontId="16" fillId="0" borderId="211">
      <alignment vertical="center"/>
    </xf>
    <xf numFmtId="4" fontId="25" fillId="0" borderId="206" applyFill="0" applyBorder="0" applyProtection="0">
      <alignment horizontal="right" vertical="center"/>
    </xf>
    <xf numFmtId="170" fontId="33" fillId="1" borderId="210" applyNumberFormat="0" applyProtection="0">
      <alignment horizontal="left" vertical="top"/>
    </xf>
    <xf numFmtId="171" fontId="22" fillId="8" borderId="211">
      <alignment horizontal="right" vertical="center"/>
    </xf>
    <xf numFmtId="175" fontId="25" fillId="59" borderId="206" applyNumberFormat="0" applyFont="0" applyBorder="0" applyAlignment="0" applyProtection="0">
      <alignment horizontal="right" vertical="center"/>
    </xf>
    <xf numFmtId="171" fontId="30" fillId="9" borderId="209">
      <alignment horizontal="right" vertical="center"/>
    </xf>
    <xf numFmtId="49" fontId="25" fillId="0" borderId="206" applyNumberFormat="0" applyFont="0" applyFill="0" applyBorder="0" applyProtection="0">
      <alignment horizontal="left" vertical="center" indent="2"/>
    </xf>
    <xf numFmtId="171" fontId="30" fillId="9" borderId="183">
      <alignment horizontal="right" vertical="center"/>
    </xf>
    <xf numFmtId="171" fontId="22" fillId="8" borderId="209">
      <alignment horizontal="right" vertical="center"/>
    </xf>
    <xf numFmtId="171" fontId="30" fillId="9" borderId="211">
      <alignment horizontal="right" vertical="center"/>
    </xf>
    <xf numFmtId="171" fontId="30" fillId="9" borderId="183">
      <alignment horizontal="right" vertical="center"/>
    </xf>
    <xf numFmtId="171" fontId="30" fillId="9" borderId="183">
      <alignment horizontal="right" vertical="center"/>
    </xf>
    <xf numFmtId="0" fontId="25" fillId="0" borderId="206" applyNumberFormat="0" applyFill="0" applyAlignment="0" applyProtection="0"/>
    <xf numFmtId="171" fontId="30" fillId="9" borderId="213">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168" fontId="16" fillId="0" borderId="183">
      <alignment vertical="center"/>
    </xf>
    <xf numFmtId="170" fontId="33" fillId="1" borderId="188" applyNumberFormat="0" applyProtection="0">
      <alignment horizontal="left" vertical="top"/>
    </xf>
    <xf numFmtId="49" fontId="117" fillId="0" borderId="209" applyNumberFormat="0" applyFill="0" applyBorder="0" applyProtection="0">
      <alignment horizontal="left" vertical="center"/>
    </xf>
    <xf numFmtId="0" fontId="25" fillId="0" borderId="211" applyNumberFormat="0" applyFill="0" applyAlignment="0" applyProtection="0"/>
    <xf numFmtId="0" fontId="25" fillId="0" borderId="211" applyNumberFormat="0" applyFill="0" applyAlignment="0" applyProtection="0"/>
    <xf numFmtId="168" fontId="16" fillId="0" borderId="211">
      <alignment vertical="center"/>
    </xf>
    <xf numFmtId="4" fontId="25" fillId="0" borderId="209" applyFill="0" applyBorder="0" applyProtection="0">
      <alignment horizontal="right" vertical="center"/>
    </xf>
    <xf numFmtId="43" fontId="4" fillId="0" borderId="0" applyFont="0" applyFill="0" applyBorder="0" applyAlignment="0" applyProtection="0"/>
    <xf numFmtId="175" fontId="25" fillId="59" borderId="209" applyNumberFormat="0" applyFont="0" applyBorder="0" applyAlignment="0" applyProtection="0">
      <alignment horizontal="right" vertical="center"/>
    </xf>
    <xf numFmtId="168" fontId="16" fillId="0" borderId="211">
      <alignment vertical="center"/>
    </xf>
    <xf numFmtId="168" fontId="16" fillId="0" borderId="183">
      <alignment vertical="center"/>
    </xf>
    <xf numFmtId="170" fontId="33" fillId="1" borderId="208" applyNumberFormat="0" applyProtection="0">
      <alignment horizontal="left" vertical="top"/>
    </xf>
    <xf numFmtId="171" fontId="30" fillId="9" borderId="209">
      <alignment horizontal="right" vertical="center"/>
    </xf>
    <xf numFmtId="49" fontId="117" fillId="0" borderId="206" applyNumberFormat="0" applyFill="0" applyBorder="0" applyProtection="0">
      <alignment horizontal="left" vertical="center"/>
    </xf>
    <xf numFmtId="170" fontId="33" fillId="1" borderId="208" applyNumberFormat="0" applyProtection="0">
      <alignment horizontal="left" vertical="top"/>
    </xf>
    <xf numFmtId="0" fontId="25" fillId="0" borderId="213" applyNumberFormat="0" applyFill="0" applyAlignment="0" applyProtection="0"/>
    <xf numFmtId="168" fontId="16" fillId="0" borderId="209">
      <alignment vertical="center"/>
    </xf>
    <xf numFmtId="171" fontId="30" fillId="9" borderId="215">
      <alignment horizontal="right" vertical="center"/>
    </xf>
    <xf numFmtId="171" fontId="30" fillId="9" borderId="213">
      <alignment horizontal="right" vertical="center"/>
    </xf>
    <xf numFmtId="171" fontId="22" fillId="8" borderId="209">
      <alignment horizontal="right" vertical="center"/>
    </xf>
    <xf numFmtId="0" fontId="45" fillId="44" borderId="0" applyNumberFormat="0" applyBorder="0" applyAlignment="0" applyProtection="0"/>
    <xf numFmtId="0" fontId="45" fillId="56" borderId="0" applyNumberFormat="0" applyBorder="0" applyAlignment="0" applyProtection="0"/>
    <xf numFmtId="0" fontId="45" fillId="48" borderId="0" applyNumberFormat="0" applyBorder="0" applyAlignment="0" applyProtection="0"/>
    <xf numFmtId="168" fontId="16" fillId="0" borderId="211">
      <alignment vertical="center"/>
    </xf>
    <xf numFmtId="171" fontId="30" fillId="9" borderId="215">
      <alignment horizontal="right" vertical="center"/>
    </xf>
    <xf numFmtId="49" fontId="25" fillId="0" borderId="211" applyNumberFormat="0" applyFont="0" applyFill="0" applyBorder="0" applyProtection="0">
      <alignment horizontal="left" vertical="center" indent="2"/>
    </xf>
    <xf numFmtId="168" fontId="16" fillId="0" borderId="209">
      <alignment vertical="center"/>
    </xf>
    <xf numFmtId="170" fontId="4" fillId="0" borderId="0"/>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5" fontId="25" fillId="59" borderId="209"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2" applyNumberFormat="0" applyProtection="0">
      <alignment horizontal="left" vertical="top"/>
    </xf>
    <xf numFmtId="168" fontId="16" fillId="0" borderId="206">
      <alignment vertical="center"/>
    </xf>
    <xf numFmtId="168" fontId="16" fillId="0" borderId="206">
      <alignment vertical="center"/>
    </xf>
    <xf numFmtId="168" fontId="16" fillId="0" borderId="206">
      <alignment vertical="center"/>
    </xf>
    <xf numFmtId="171" fontId="22" fillId="8" borderId="206">
      <alignment horizontal="right" vertical="center"/>
    </xf>
    <xf numFmtId="171" fontId="22" fillId="8" borderId="206">
      <alignment horizontal="righ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68" fontId="16" fillId="0" borderId="213">
      <alignment vertical="center"/>
    </xf>
    <xf numFmtId="49" fontId="25" fillId="0" borderId="206" applyNumberFormat="0" applyFont="0" applyFill="0" applyBorder="0" applyProtection="0">
      <alignment horizontal="left" vertical="center" indent="2"/>
    </xf>
    <xf numFmtId="0" fontId="25" fillId="0" borderId="206" applyNumberFormat="0" applyFill="0" applyAlignment="0" applyProtection="0"/>
    <xf numFmtId="171" fontId="30" fillId="9" borderId="206">
      <alignment horizontal="right" vertical="center"/>
    </xf>
    <xf numFmtId="49" fontId="117" fillId="0" borderId="206" applyNumberFormat="0" applyFill="0" applyBorder="0" applyProtection="0">
      <alignment horizontal="left" vertical="center"/>
    </xf>
    <xf numFmtId="171" fontId="22" fillId="8" borderId="206">
      <alignment horizontal="right" vertical="center"/>
    </xf>
    <xf numFmtId="4" fontId="25" fillId="0" borderId="206" applyFill="0" applyBorder="0" applyProtection="0">
      <alignment horizontal="right" vertical="center"/>
    </xf>
    <xf numFmtId="171" fontId="22" fillId="8" borderId="206">
      <alignment horizontal="right" vertical="center"/>
    </xf>
    <xf numFmtId="168" fontId="16" fillId="0" borderId="206">
      <alignment vertical="center"/>
    </xf>
    <xf numFmtId="175" fontId="25" fillId="59" borderId="206" applyNumberFormat="0" applyFont="0" applyBorder="0" applyAlignment="0" applyProtection="0">
      <alignment horizontal="right" vertical="center"/>
    </xf>
    <xf numFmtId="168" fontId="16" fillId="0" borderId="206">
      <alignment vertical="center"/>
    </xf>
    <xf numFmtId="168" fontId="16" fillId="0" borderId="206">
      <alignmen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0" fontId="33" fillId="1" borderId="188" applyNumberFormat="0" applyProtection="0">
      <alignment horizontal="left" vertical="top"/>
    </xf>
    <xf numFmtId="171" fontId="22" fillId="8" borderId="209">
      <alignment horizontal="right" vertical="center"/>
    </xf>
    <xf numFmtId="49" fontId="117" fillId="0" borderId="209" applyNumberFormat="0" applyFill="0" applyBorder="0" applyProtection="0">
      <alignment horizontal="left" vertical="center"/>
    </xf>
    <xf numFmtId="49" fontId="117" fillId="0" borderId="211" applyNumberFormat="0" applyFill="0" applyBorder="0" applyProtection="0">
      <alignment horizontal="left" vertical="center"/>
    </xf>
    <xf numFmtId="171" fontId="30" fillId="9" borderId="209">
      <alignment horizontal="right" vertical="center"/>
    </xf>
    <xf numFmtId="168" fontId="16" fillId="0" borderId="209">
      <alignment vertical="center"/>
    </xf>
    <xf numFmtId="171" fontId="22" fillId="8" borderId="209">
      <alignment horizontal="right" vertical="center"/>
    </xf>
    <xf numFmtId="170" fontId="33" fillId="1" borderId="210" applyNumberFormat="0" applyProtection="0">
      <alignment horizontal="left" vertical="top"/>
    </xf>
    <xf numFmtId="171" fontId="30" fillId="9" borderId="209">
      <alignment horizontal="right" vertical="center"/>
    </xf>
    <xf numFmtId="0" fontId="25" fillId="0" borderId="209"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0" fontId="33" fillId="1" borderId="207" applyNumberFormat="0" applyProtection="0">
      <alignment horizontal="left" vertical="top"/>
    </xf>
    <xf numFmtId="168" fontId="16" fillId="0" borderId="215">
      <alignment vertical="center"/>
    </xf>
    <xf numFmtId="171" fontId="30" fillId="9" borderId="213">
      <alignment horizontal="right" vertical="center"/>
    </xf>
    <xf numFmtId="49" fontId="25" fillId="0" borderId="209" applyNumberFormat="0" applyFont="0" applyFill="0" applyBorder="0" applyProtection="0">
      <alignment horizontal="left" vertical="center" indent="2"/>
    </xf>
    <xf numFmtId="4" fontId="25" fillId="0" borderId="215" applyFill="0" applyBorder="0" applyProtection="0">
      <alignment horizontal="right" vertical="center"/>
    </xf>
    <xf numFmtId="171" fontId="30" fillId="9" borderId="211">
      <alignment horizontal="right" vertical="center"/>
    </xf>
    <xf numFmtId="4" fontId="25" fillId="0" borderId="183" applyFill="0" applyBorder="0" applyProtection="0">
      <alignment horizontal="right" vertical="center"/>
    </xf>
    <xf numFmtId="175" fontId="25" fillId="59" borderId="183" applyNumberFormat="0" applyFont="0" applyBorder="0" applyAlignment="0" applyProtection="0">
      <alignment horizontal="right" vertical="center"/>
    </xf>
    <xf numFmtId="49" fontId="25" fillId="0" borderId="183" applyNumberFormat="0" applyFont="0" applyFill="0" applyBorder="0" applyProtection="0">
      <alignment horizontal="left" vertical="center" indent="2"/>
    </xf>
    <xf numFmtId="175" fontId="25" fillId="59" borderId="209" applyNumberFormat="0" applyFont="0" applyBorder="0" applyAlignment="0" applyProtection="0">
      <alignment horizontal="right" vertical="center"/>
    </xf>
    <xf numFmtId="4" fontId="25" fillId="0" borderId="209" applyFill="0" applyBorder="0" applyProtection="0">
      <alignment horizontal="right" vertical="center"/>
    </xf>
    <xf numFmtId="0" fontId="25" fillId="0" borderId="183" applyNumberFormat="0" applyFill="0" applyAlignment="0" applyProtection="0"/>
    <xf numFmtId="170" fontId="33" fillId="1" borderId="207" applyNumberFormat="0" applyProtection="0">
      <alignment horizontal="left" vertical="top"/>
    </xf>
    <xf numFmtId="171" fontId="30" fillId="9" borderId="213">
      <alignment horizontal="right" vertical="center"/>
    </xf>
    <xf numFmtId="170" fontId="33" fillId="1" borderId="212" applyNumberFormat="0" applyProtection="0">
      <alignment horizontal="left" vertical="top"/>
    </xf>
    <xf numFmtId="49" fontId="117" fillId="0" borderId="183" applyNumberFormat="0" applyFill="0" applyBorder="0" applyProtection="0">
      <alignment horizontal="left" vertical="center"/>
    </xf>
    <xf numFmtId="171" fontId="30" fillId="9" borderId="215">
      <alignment horizontal="right" vertical="center"/>
    </xf>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49" fontId="25" fillId="0" borderId="183" applyNumberFormat="0" applyFont="0" applyFill="0" applyBorder="0" applyProtection="0">
      <alignment horizontal="left" vertical="center" indent="2"/>
    </xf>
    <xf numFmtId="0" fontId="25" fillId="0" borderId="183" applyNumberFormat="0" applyFill="0" applyAlignment="0" applyProtection="0"/>
    <xf numFmtId="171" fontId="30" fillId="9" borderId="183">
      <alignment horizontal="right" vertical="center"/>
    </xf>
    <xf numFmtId="49" fontId="117" fillId="0" borderId="183" applyNumberFormat="0" applyFill="0" applyBorder="0" applyProtection="0">
      <alignment horizontal="left" vertical="center"/>
    </xf>
    <xf numFmtId="171" fontId="22" fillId="8" borderId="183">
      <alignment horizontal="right" vertical="center"/>
    </xf>
    <xf numFmtId="4" fontId="25" fillId="0" borderId="183" applyFill="0" applyBorder="0" applyProtection="0">
      <alignment horizontal="right" vertical="center"/>
    </xf>
    <xf numFmtId="171" fontId="22" fillId="8" borderId="183">
      <alignment horizontal="right" vertical="center"/>
    </xf>
    <xf numFmtId="168" fontId="16" fillId="0" borderId="183">
      <alignment vertical="center"/>
    </xf>
    <xf numFmtId="175" fontId="25"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0" fontId="33" fillId="1" borderId="207" applyNumberFormat="0" applyProtection="0">
      <alignment horizontal="left" vertical="top"/>
    </xf>
    <xf numFmtId="168" fontId="16" fillId="0" borderId="215">
      <alignment vertical="center"/>
    </xf>
    <xf numFmtId="171" fontId="30" fillId="9" borderId="209">
      <alignment horizontal="right" vertical="center"/>
    </xf>
    <xf numFmtId="171" fontId="30" fillId="9" borderId="209">
      <alignment horizontal="right" vertical="center"/>
    </xf>
    <xf numFmtId="49" fontId="25" fillId="0" borderId="211" applyNumberFormat="0" applyFont="0" applyFill="0" applyBorder="0" applyProtection="0">
      <alignment horizontal="left" vertical="center" indent="2"/>
    </xf>
    <xf numFmtId="170" fontId="33" fillId="1" borderId="208" applyNumberFormat="0" applyProtection="0">
      <alignment horizontal="left" vertical="top"/>
    </xf>
    <xf numFmtId="171" fontId="22" fillId="8" borderId="183">
      <alignment horizontal="right" vertical="center"/>
    </xf>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68" fontId="16" fillId="0" borderId="183">
      <alignment vertical="center"/>
    </xf>
    <xf numFmtId="170" fontId="33" fillId="1" borderId="208" applyNumberFormat="0" applyProtection="0">
      <alignment horizontal="left" vertical="top"/>
    </xf>
    <xf numFmtId="168" fontId="16" fillId="0" borderId="209">
      <alignment vertical="center"/>
    </xf>
    <xf numFmtId="168" fontId="16" fillId="0" borderId="183">
      <alignment vertical="center"/>
    </xf>
    <xf numFmtId="171" fontId="30" fillId="9" borderId="209">
      <alignment horizontal="right" vertical="center"/>
    </xf>
    <xf numFmtId="171" fontId="30" fillId="9" borderId="215">
      <alignment horizontal="right" vertical="center"/>
    </xf>
    <xf numFmtId="171" fontId="30" fillId="9" borderId="209">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 fontId="25" fillId="0" borderId="211" applyFill="0" applyBorder="0" applyProtection="0">
      <alignment horizontal="right" vertical="center"/>
    </xf>
    <xf numFmtId="170" fontId="33" fillId="1" borderId="208" applyNumberFormat="0" applyProtection="0">
      <alignment horizontal="left" vertical="top"/>
    </xf>
    <xf numFmtId="4" fontId="25" fillId="0" borderId="213" applyFill="0" applyBorder="0" applyProtection="0">
      <alignment horizontal="righ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1" fontId="22" fillId="8" borderId="213">
      <alignment horizontal="right" vertical="center"/>
    </xf>
    <xf numFmtId="0" fontId="25" fillId="0" borderId="209" applyNumberFormat="0" applyFill="0" applyAlignment="0" applyProtection="0"/>
    <xf numFmtId="170" fontId="33" fillId="1" borderId="210" applyNumberFormat="0" applyProtection="0">
      <alignment horizontal="left" vertical="top"/>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1" fontId="30" fillId="9" borderId="209">
      <alignment horizontal="right" vertical="center"/>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5" fontId="25" fillId="59" borderId="209" applyNumberFormat="0" applyFont="0" applyBorder="0" applyAlignment="0" applyProtection="0">
      <alignment horizontal="right" vertical="center"/>
    </xf>
    <xf numFmtId="0" fontId="25" fillId="0" borderId="209" applyNumberFormat="0" applyFill="0" applyAlignment="0" applyProtection="0"/>
    <xf numFmtId="168" fontId="16" fillId="0" borderId="209">
      <alignment vertical="center"/>
    </xf>
    <xf numFmtId="171" fontId="22" fillId="8" borderId="211">
      <alignment horizontal="right" vertical="center"/>
    </xf>
    <xf numFmtId="170" fontId="33" fillId="1" borderId="210" applyNumberFormat="0" applyProtection="0">
      <alignment horizontal="left" vertical="top"/>
    </xf>
    <xf numFmtId="171" fontId="22" fillId="8" borderId="209">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117" fillId="0" borderId="209" applyNumberFormat="0" applyFill="0" applyBorder="0" applyProtection="0">
      <alignment horizontal="lef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49" fontId="25" fillId="0" borderId="213" applyNumberFormat="0" applyFont="0" applyFill="0" applyBorder="0" applyProtection="0">
      <alignment horizontal="left" vertical="center" indent="2"/>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5">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75" fontId="25" fillId="59" borderId="213" applyNumberFormat="0" applyFont="0" applyBorder="0" applyAlignment="0" applyProtection="0">
      <alignment horizontal="right" vertical="center"/>
    </xf>
    <xf numFmtId="168" fontId="16" fillId="0" borderId="215">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0" fontId="4" fillId="0" borderId="0"/>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30" fillId="9" borderId="211">
      <alignment horizontal="right" vertical="center"/>
    </xf>
    <xf numFmtId="171" fontId="22" fillId="8"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0" fontId="4" fillId="0" borderId="0"/>
    <xf numFmtId="168" fontId="16" fillId="0" borderId="211">
      <alignment vertical="center"/>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68" fontId="16" fillId="0" borderId="211">
      <alignmen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71" fontId="30" fillId="9" borderId="211">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70" fontId="33" fillId="1" borderId="212" applyNumberFormat="0" applyProtection="0">
      <alignment horizontal="left" vertical="top"/>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68" fontId="16" fillId="0" borderId="211">
      <alignment vertical="center"/>
    </xf>
    <xf numFmtId="0" fontId="25" fillId="0" borderId="211" applyNumberFormat="0" applyFill="0" applyAlignment="0" applyProtection="0"/>
    <xf numFmtId="170" fontId="33" fillId="1" borderId="212" applyNumberFormat="0" applyProtection="0">
      <alignment horizontal="left" vertical="top"/>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0" fontId="25" fillId="0" borderId="211" applyNumberFormat="0" applyFill="0" applyAlignment="0" applyProtection="0"/>
    <xf numFmtId="171" fontId="30" fillId="9" borderId="211">
      <alignment horizontal="right" vertical="center"/>
    </xf>
    <xf numFmtId="171" fontId="30" fillId="9" borderId="211">
      <alignment horizontal="right" vertical="center"/>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3">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5" fontId="25" fillId="59" borderId="213" applyNumberFormat="0" applyFont="0" applyBorder="0" applyAlignment="0" applyProtection="0">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68" fontId="16" fillId="0" borderId="213">
      <alignmen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70" fontId="33" fillId="1" borderId="214" applyNumberFormat="0" applyProtection="0">
      <alignment horizontal="left" vertical="top"/>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3" fontId="4" fillId="0" borderId="0" applyFont="0" applyFill="0" applyBorder="0" applyAlignment="0" applyProtection="0"/>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25" fillId="0" borderId="213" applyNumberFormat="0" applyFont="0" applyFill="0" applyBorder="0" applyProtection="0">
      <alignment horizontal="left" vertical="center" indent="2"/>
    </xf>
    <xf numFmtId="171" fontId="30" fillId="9"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3" fontId="4" fillId="0" borderId="0" applyFont="0" applyFill="0" applyBorder="0" applyAlignment="0" applyProtection="0"/>
    <xf numFmtId="170" fontId="3" fillId="0" borderId="2" applyNumberFormat="0" applyFill="0" applyAlignment="0" applyProtection="0"/>
  </cellStyleXfs>
  <cellXfs count="1315">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5" fillId="0" borderId="0" xfId="0" applyFont="1"/>
    <xf numFmtId="170" fontId="22" fillId="0" borderId="0" xfId="0" applyFont="1"/>
    <xf numFmtId="170" fontId="37" fillId="12" borderId="15" xfId="0" applyFont="1" applyFill="1" applyBorder="1" applyAlignment="1">
      <alignment horizontal="center" vertical="center" wrapText="1"/>
    </xf>
    <xf numFmtId="170"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6" fillId="0" borderId="0" xfId="0" applyFont="1" applyFill="1"/>
    <xf numFmtId="170"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2" fillId="0" borderId="0" xfId="1" applyFont="1"/>
    <xf numFmtId="172" fontId="22"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0" fontId="72" fillId="0" borderId="0" xfId="0" applyFont="1"/>
    <xf numFmtId="170" fontId="76" fillId="0" borderId="0" xfId="0" applyFont="1" applyFill="1" applyBorder="1" applyAlignment="1">
      <alignment horizontal="left" vertical="center" wrapText="1"/>
    </xf>
    <xf numFmtId="170" fontId="73"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8" fillId="0" borderId="0" xfId="0" applyFont="1" applyFill="1"/>
    <xf numFmtId="170" fontId="76" fillId="0" borderId="111" xfId="0" applyFont="1" applyFill="1" applyBorder="1" applyAlignment="1">
      <alignment horizontal="left" vertical="center" wrapText="1"/>
    </xf>
    <xf numFmtId="170" fontId="51"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1" fillId="12" borderId="21" xfId="0" applyFont="1" applyFill="1" applyBorder="1" applyAlignment="1">
      <alignment horizontal="left" vertical="center" wrapText="1"/>
    </xf>
    <xf numFmtId="170" fontId="51" fillId="12" borderId="80" xfId="0" applyFont="1" applyFill="1" applyBorder="1" applyAlignment="1">
      <alignment horizontal="left" vertical="center" wrapText="1"/>
    </xf>
    <xf numFmtId="170" fontId="76"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3" fillId="0" borderId="21" xfId="0" applyFont="1" applyFill="1" applyBorder="1" applyAlignment="1">
      <alignment horizontal="left" vertical="center" wrapText="1"/>
    </xf>
    <xf numFmtId="170" fontId="73" fillId="0" borderId="80"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0" fillId="0" borderId="114" xfId="0" applyBorder="1"/>
    <xf numFmtId="170" fontId="45" fillId="0" borderId="80" xfId="0" applyFont="1" applyFill="1" applyBorder="1" applyAlignment="1">
      <alignment horizontal="justify" wrapText="1"/>
    </xf>
    <xf numFmtId="170" fontId="76" fillId="0" borderId="114" xfId="0" applyFont="1" applyFill="1" applyBorder="1" applyAlignment="1">
      <alignment horizontal="left" vertical="center" wrapText="1"/>
    </xf>
    <xf numFmtId="170" fontId="76" fillId="0" borderId="115" xfId="0" applyFont="1" applyFill="1" applyBorder="1" applyAlignment="1">
      <alignment horizontal="left" vertical="center" wrapText="1"/>
    </xf>
    <xf numFmtId="170" fontId="51" fillId="12" borderId="103" xfId="0" applyFont="1" applyFill="1" applyBorder="1" applyAlignment="1">
      <alignment horizontal="left" vertical="center" wrapText="1"/>
    </xf>
    <xf numFmtId="170" fontId="51" fillId="12" borderId="61" xfId="0" applyFont="1" applyFill="1" applyBorder="1" applyAlignment="1">
      <alignment horizontal="left" vertical="center" wrapText="1"/>
    </xf>
    <xf numFmtId="170" fontId="51" fillId="12" borderId="18" xfId="0" applyFont="1" applyFill="1" applyBorder="1" applyAlignment="1">
      <alignment horizontal="left" vertical="center" wrapText="1"/>
    </xf>
    <xf numFmtId="170" fontId="0" fillId="0" borderId="61" xfId="0" applyBorder="1"/>
    <xf numFmtId="170" fontId="0" fillId="0" borderId="18" xfId="0" applyBorder="1"/>
    <xf numFmtId="170" fontId="74" fillId="12" borderId="86" xfId="0" applyFont="1" applyFill="1" applyBorder="1" applyAlignment="1">
      <alignment horizontal="left" vertical="center" wrapText="1"/>
    </xf>
    <xf numFmtId="170" fontId="74" fillId="12" borderId="16" xfId="0" applyFont="1" applyFill="1" applyBorder="1" applyAlignment="1">
      <alignment horizontal="left" vertical="center" wrapText="1"/>
    </xf>
    <xf numFmtId="170" fontId="71" fillId="0" borderId="21" xfId="0" applyFont="1" applyFill="1" applyBorder="1" applyAlignment="1">
      <alignment vertical="top" wrapText="1"/>
    </xf>
    <xf numFmtId="170" fontId="70"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0"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4"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2" fillId="0" borderId="110" xfId="0" applyFont="1" applyBorder="1" applyAlignment="1">
      <alignment vertical="top" wrapText="1"/>
    </xf>
    <xf numFmtId="170" fontId="22" fillId="0" borderId="113" xfId="0" applyFont="1" applyBorder="1" applyAlignment="1">
      <alignment vertical="top"/>
    </xf>
    <xf numFmtId="170" fontId="22" fillId="0" borderId="119" xfId="0" applyFont="1" applyBorder="1"/>
    <xf numFmtId="170" fontId="22" fillId="0" borderId="121" xfId="0" applyFont="1" applyBorder="1"/>
    <xf numFmtId="170" fontId="22" fillId="0" borderId="118" xfId="0" applyFont="1" applyBorder="1"/>
    <xf numFmtId="170" fontId="51" fillId="12" borderId="19" xfId="0" applyFont="1" applyFill="1" applyBorder="1" applyAlignment="1">
      <alignment horizontal="left" vertical="center" wrapText="1"/>
    </xf>
    <xf numFmtId="49" fontId="87" fillId="23" borderId="19" xfId="0" applyNumberFormat="1" applyFont="1" applyFill="1" applyBorder="1"/>
    <xf numFmtId="170" fontId="43" fillId="0" borderId="21" xfId="0" applyFont="1" applyFill="1" applyBorder="1" applyAlignment="1">
      <alignment horizontal="justify" vertical="top"/>
    </xf>
    <xf numFmtId="170" fontId="43"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0" fillId="0" borderId="0" xfId="148" applyBorder="1" applyAlignment="1" applyProtection="1">
      <alignment vertical="top"/>
    </xf>
    <xf numFmtId="170" fontId="6" fillId="0" borderId="111" xfId="0" applyFont="1" applyBorder="1"/>
    <xf numFmtId="170" fontId="70" fillId="0" borderId="80" xfId="148" applyBorder="1" applyAlignment="1" applyProtection="1"/>
    <xf numFmtId="170" fontId="70"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2"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2"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0" fillId="0" borderId="132" xfId="0" applyBorder="1"/>
    <xf numFmtId="170" fontId="0" fillId="0" borderId="133" xfId="0" applyBorder="1"/>
    <xf numFmtId="170" fontId="22" fillId="0" borderId="0" xfId="0" applyFont="1" applyBorder="1" applyAlignment="1">
      <alignment vertical="top" wrapText="1"/>
    </xf>
    <xf numFmtId="170" fontId="22" fillId="0" borderId="80" xfId="0" applyFont="1" applyBorder="1" applyAlignment="1">
      <alignment vertical="top"/>
    </xf>
    <xf numFmtId="3" fontId="0" fillId="13" borderId="15" xfId="0" quotePrefix="1" applyNumberFormat="1" applyFill="1" applyBorder="1" applyAlignment="1">
      <alignment horizontal="center"/>
    </xf>
    <xf numFmtId="170" fontId="22"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0"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39"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0" fillId="0" borderId="18" xfId="148" applyBorder="1" applyAlignment="1" applyProtection="1"/>
    <xf numFmtId="170" fontId="84" fillId="0" borderId="136" xfId="0" applyFont="1" applyBorder="1"/>
    <xf numFmtId="170" fontId="5" fillId="0" borderId="61" xfId="0" applyFont="1" applyBorder="1"/>
    <xf numFmtId="170" fontId="5" fillId="0" borderId="18" xfId="0" applyFont="1" applyBorder="1"/>
    <xf numFmtId="170" fontId="70" fillId="0" borderId="18" xfId="148" quotePrefix="1" applyBorder="1" applyAlignment="1" applyProtection="1"/>
    <xf numFmtId="170" fontId="6" fillId="23" borderId="3" xfId="0" applyFont="1" applyFill="1" applyBorder="1"/>
    <xf numFmtId="170" fontId="39" fillId="23" borderId="3" xfId="5" applyFont="1" applyFill="1" applyBorder="1" applyAlignment="1">
      <alignment wrapText="1"/>
    </xf>
    <xf numFmtId="170" fontId="23" fillId="0" borderId="0" xfId="0" applyFont="1" applyBorder="1" applyAlignment="1">
      <alignment horizontal="justify"/>
    </xf>
    <xf numFmtId="170" fontId="0" fillId="0" borderId="0" xfId="0" applyFill="1" applyBorder="1" applyAlignment="1">
      <alignment horizontal="left" vertical="top" indent="2"/>
    </xf>
    <xf numFmtId="170" fontId="24"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0"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3" fillId="0" borderId="7" xfId="0" applyFont="1" applyFill="1" applyBorder="1" applyAlignment="1">
      <alignment horizontal="left" vertical="top" wrapText="1"/>
    </xf>
    <xf numFmtId="170" fontId="43"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3" fillId="0" borderId="135" xfId="0" applyFont="1" applyFill="1" applyBorder="1"/>
    <xf numFmtId="170" fontId="43"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3"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39"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39"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3" fillId="23" borderId="3" xfId="1" applyFont="1" applyFill="1" applyBorder="1"/>
    <xf numFmtId="170" fontId="22" fillId="23" borderId="5" xfId="0" applyFont="1" applyFill="1" applyBorder="1"/>
    <xf numFmtId="170" fontId="22"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8"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49"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2" fillId="0" borderId="152" xfId="0" applyFont="1" applyBorder="1"/>
    <xf numFmtId="170" fontId="22" fillId="0" borderId="152" xfId="0" applyFont="1" applyFill="1" applyBorder="1"/>
    <xf numFmtId="170" fontId="22" fillId="0" borderId="0" xfId="0" applyFont="1" applyFill="1" applyBorder="1"/>
    <xf numFmtId="9" fontId="22" fillId="0" borderId="0" xfId="0" applyNumberFormat="1" applyFont="1" applyBorder="1"/>
    <xf numFmtId="170" fontId="46" fillId="0" borderId="10" xfId="0" applyFont="1" applyBorder="1"/>
    <xf numFmtId="9" fontId="46" fillId="0" borderId="12" xfId="0" applyNumberFormat="1" applyFont="1" applyBorder="1"/>
    <xf numFmtId="170" fontId="22" fillId="0" borderId="152" xfId="1" applyFont="1" applyFill="1" applyBorder="1"/>
    <xf numFmtId="170" fontId="22" fillId="0" borderId="8" xfId="0" applyFont="1" applyFill="1" applyBorder="1"/>
    <xf numFmtId="170" fontId="22" fillId="0" borderId="149" xfId="1" applyFont="1" applyBorder="1"/>
    <xf numFmtId="170" fontId="22" fillId="0" borderId="151" xfId="0" applyFont="1" applyBorder="1"/>
    <xf numFmtId="170" fontId="6" fillId="0" borderId="3" xfId="0" applyFont="1" applyFill="1" applyBorder="1"/>
    <xf numFmtId="170" fontId="6" fillId="0" borderId="0" xfId="0" applyFont="1" applyFill="1"/>
    <xf numFmtId="9" fontId="22" fillId="3" borderId="0" xfId="0" applyNumberFormat="1" applyFont="1" applyFill="1" applyBorder="1"/>
    <xf numFmtId="170" fontId="22"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8" fillId="18" borderId="156" xfId="0" applyNumberFormat="1" applyFont="1" applyFill="1" applyBorder="1" applyAlignment="1">
      <alignment horizontal="center" vertical="center"/>
    </xf>
    <xf numFmtId="170"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0"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7"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2" fillId="3" borderId="0" xfId="0" applyNumberFormat="1" applyFont="1" applyFill="1" applyBorder="1"/>
    <xf numFmtId="174" fontId="22" fillId="3" borderId="8" xfId="0" applyNumberFormat="1" applyFont="1" applyFill="1" applyBorder="1"/>
    <xf numFmtId="174" fontId="22" fillId="3" borderId="0" xfId="1" applyNumberFormat="1" applyFont="1" applyFill="1" applyBorder="1"/>
    <xf numFmtId="174" fontId="22" fillId="3" borderId="12" xfId="0" applyNumberFormat="1" applyFont="1" applyFill="1" applyBorder="1"/>
    <xf numFmtId="174" fontId="22" fillId="3" borderId="12" xfId="1" applyNumberFormat="1" applyFont="1" applyFill="1" applyBorder="1"/>
    <xf numFmtId="174" fontId="22"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0"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0" fontId="37" fillId="19" borderId="77" xfId="0" applyFont="1" applyFill="1" applyBorder="1" applyAlignment="1" applyProtection="1">
      <alignment horizontal="right" vertical="center"/>
    </xf>
    <xf numFmtId="170" fontId="37" fillId="0" borderId="47" xfId="0" applyFont="1" applyFill="1" applyBorder="1" applyAlignment="1" applyProtection="1">
      <alignment horizontal="center"/>
    </xf>
    <xf numFmtId="170" fontId="37" fillId="19" borderId="47" xfId="0" applyFont="1" applyFill="1" applyBorder="1" applyAlignment="1" applyProtection="1">
      <alignment horizontal="right" vertical="center"/>
    </xf>
    <xf numFmtId="170"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0"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0" fontId="0" fillId="0" borderId="66" xfId="0" applyFill="1" applyBorder="1" applyProtection="1"/>
    <xf numFmtId="170"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0" fontId="41"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0"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0"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4" fillId="0" borderId="21" xfId="0" applyFont="1" applyFill="1" applyBorder="1" applyProtection="1"/>
    <xf numFmtId="170" fontId="44" fillId="0" borderId="0" xfId="0" applyFont="1" applyFill="1" applyBorder="1" applyProtection="1"/>
    <xf numFmtId="170" fontId="44"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4" fillId="0" borderId="0" xfId="0" applyFont="1" applyBorder="1" applyProtection="1"/>
    <xf numFmtId="170" fontId="0" fillId="0" borderId="0" xfId="0" applyBorder="1" applyProtection="1"/>
    <xf numFmtId="170" fontId="43"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0"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0" fontId="70" fillId="0" borderId="0" xfId="148" applyAlignment="1" applyProtection="1">
      <alignment vertical="center"/>
    </xf>
    <xf numFmtId="14" fontId="0" fillId="0" borderId="0" xfId="0" applyNumberFormat="1"/>
    <xf numFmtId="170" fontId="70" fillId="0" borderId="0" xfId="148" quotePrefix="1" applyAlignment="1" applyProtection="1"/>
    <xf numFmtId="170" fontId="6" fillId="0" borderId="0" xfId="0" applyFont="1" applyAlignment="1">
      <alignment horizontal="right"/>
    </xf>
    <xf numFmtId="177"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0"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6" fontId="0" fillId="0" borderId="0" xfId="0" applyNumberFormat="1"/>
    <xf numFmtId="0" fontId="74" fillId="12" borderId="86" xfId="0" applyNumberFormat="1" applyFont="1" applyFill="1" applyBorder="1" applyAlignment="1">
      <alignment horizontal="left" vertical="center" wrapText="1"/>
    </xf>
    <xf numFmtId="170"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176" fontId="0" fillId="0" borderId="12" xfId="0" applyNumberFormat="1" applyBorder="1"/>
    <xf numFmtId="1" fontId="0" fillId="0" borderId="121" xfId="0" applyNumberFormat="1" applyFont="1" applyFill="1" applyBorder="1" applyAlignment="1">
      <alignment horizontal="center" vertical="center"/>
    </xf>
    <xf numFmtId="174" fontId="0" fillId="0" borderId="0" xfId="0" applyNumberFormat="1"/>
    <xf numFmtId="171"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0" fillId="0" borderId="0" xfId="196" applyNumberFormat="1" applyFont="1" applyFill="1"/>
    <xf numFmtId="0" fontId="4" fillId="0" borderId="0" xfId="196" applyNumberFormat="1" applyFill="1"/>
    <xf numFmtId="170" fontId="22" fillId="0" borderId="121" xfId="0" applyFont="1" applyFill="1" applyBorder="1"/>
    <xf numFmtId="170" fontId="43" fillId="23" borderId="185" xfId="1" applyFont="1" applyFill="1" applyBorder="1"/>
    <xf numFmtId="170" fontId="43" fillId="23" borderId="186" xfId="1" applyFont="1" applyFill="1" applyBorder="1"/>
    <xf numFmtId="170" fontId="22" fillId="23" borderId="186" xfId="0" applyFont="1" applyFill="1" applyBorder="1"/>
    <xf numFmtId="170" fontId="22"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0"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0"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0"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0" fontId="0" fillId="60" borderId="196" xfId="0" applyFill="1" applyBorder="1" applyAlignment="1">
      <alignment horizontal="left" vertical="top" wrapText="1"/>
    </xf>
    <xf numFmtId="170"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69"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5" fontId="0" fillId="0" borderId="0" xfId="0" applyNumberFormat="1" applyBorder="1"/>
    <xf numFmtId="170" fontId="22" fillId="0" borderId="0" xfId="0" applyFont="1" applyBorder="1"/>
    <xf numFmtId="170"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0" fontId="41" fillId="0" borderId="0" xfId="0" applyFont="1" applyFill="1" applyBorder="1" applyAlignment="1" applyProtection="1">
      <alignment horizontal="right" vertical="center"/>
    </xf>
    <xf numFmtId="170" fontId="37" fillId="0" borderId="0" xfId="0" applyFont="1" applyFill="1" applyBorder="1" applyAlignment="1" applyProtection="1">
      <alignment horizontal="center" vertical="center"/>
    </xf>
    <xf numFmtId="170" fontId="37" fillId="0" borderId="0" xfId="0" applyFont="1" applyFill="1" applyBorder="1" applyAlignment="1" applyProtection="1">
      <alignment horizontal="right"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0"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9" fontId="0" fillId="0" borderId="0" xfId="52" applyFont="1"/>
    <xf numFmtId="178" fontId="114" fillId="0" borderId="0" xfId="52" applyNumberFormat="1" applyFont="1"/>
    <xf numFmtId="178" fontId="0" fillId="0" borderId="0" xfId="52" applyNumberFormat="1" applyFont="1" applyFill="1" applyBorder="1"/>
    <xf numFmtId="0" fontId="22" fillId="24" borderId="0" xfId="197" applyNumberFormat="1" applyFont="1" applyFill="1"/>
    <xf numFmtId="17" fontId="22" fillId="24" borderId="0" xfId="197" quotePrefix="1" applyNumberFormat="1" applyFont="1" applyFill="1"/>
    <xf numFmtId="0" fontId="22" fillId="24" borderId="0" xfId="197" applyNumberFormat="1" applyFont="1" applyFill="1" applyAlignment="1"/>
    <xf numFmtId="0" fontId="22" fillId="24" borderId="0" xfId="197" applyNumberFormat="1" applyFont="1" applyFill="1"/>
    <xf numFmtId="17" fontId="22" fillId="24" borderId="0" xfId="197" quotePrefix="1" applyNumberFormat="1" applyFont="1" applyFill="1"/>
    <xf numFmtId="9" fontId="22" fillId="0" borderId="0" xfId="0" applyNumberFormat="1" applyFont="1" applyFill="1" applyBorder="1"/>
    <xf numFmtId="11" fontId="0" fillId="0" borderId="0" xfId="0" applyNumberFormat="1" applyFill="1"/>
    <xf numFmtId="0" fontId="22" fillId="24" borderId="0" xfId="197" applyNumberFormat="1" applyFont="1" applyFill="1"/>
    <xf numFmtId="0" fontId="22" fillId="24" borderId="0" xfId="197" quotePrefix="1" applyNumberFormat="1" applyFont="1" applyFill="1"/>
    <xf numFmtId="2" fontId="0" fillId="0" borderId="0" xfId="0" applyNumberFormat="1" applyBorder="1"/>
    <xf numFmtId="170" fontId="22" fillId="0" borderId="0" xfId="0" applyFont="1" applyFill="1" applyBorder="1" applyAlignment="1">
      <alignment horizontal="left" vertical="top" wrapText="1"/>
    </xf>
    <xf numFmtId="11" fontId="4" fillId="0" borderId="0" xfId="196" applyNumberFormat="1" applyFill="1"/>
    <xf numFmtId="11" fontId="0" fillId="0" borderId="0" xfId="0" applyNumberFormat="1"/>
    <xf numFmtId="170" fontId="0" fillId="0" borderId="0" xfId="0"/>
    <xf numFmtId="170" fontId="70" fillId="0" borderId="0" xfId="148" quotePrefix="1" applyAlignment="1" applyProtection="1"/>
    <xf numFmtId="170" fontId="70" fillId="0" borderId="0" xfId="148" applyAlignment="1" applyProtection="1"/>
    <xf numFmtId="14" fontId="0" fillId="0" borderId="0" xfId="0" applyNumberFormat="1" applyFill="1"/>
    <xf numFmtId="0" fontId="22"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1" fillId="12" borderId="19" xfId="0" applyFont="1" applyFill="1" applyBorder="1" applyAlignment="1">
      <alignment horizontal="left" vertical="center" wrapText="1"/>
    </xf>
    <xf numFmtId="170"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0" fontId="36" fillId="12" borderId="89" xfId="0" applyFont="1" applyFill="1" applyBorder="1" applyAlignment="1">
      <alignment horizontal="center" vertical="center" wrapText="1"/>
    </xf>
    <xf numFmtId="170" fontId="36" fillId="12" borderId="91" xfId="0" applyFont="1" applyFill="1" applyBorder="1" applyAlignment="1">
      <alignment horizontal="center" vertical="center" wrapText="1"/>
    </xf>
    <xf numFmtId="170" fontId="36" fillId="12" borderId="93" xfId="0" applyFont="1" applyFill="1" applyBorder="1" applyAlignment="1">
      <alignment horizontal="center" vertical="center" wrapText="1"/>
    </xf>
    <xf numFmtId="170" fontId="36" fillId="12" borderId="90" xfId="0" applyFont="1" applyFill="1" applyBorder="1" applyAlignment="1">
      <alignment horizontal="center" vertical="center" wrapText="1"/>
    </xf>
    <xf numFmtId="170" fontId="36" fillId="12" borderId="92" xfId="0" applyFont="1" applyFill="1" applyBorder="1" applyAlignment="1">
      <alignment horizontal="center" vertical="center" wrapText="1"/>
    </xf>
    <xf numFmtId="170" fontId="36" fillId="12" borderId="17" xfId="0" applyFont="1" applyFill="1" applyBorder="1" applyAlignment="1">
      <alignment horizontal="center" vertical="center" wrapText="1"/>
    </xf>
    <xf numFmtId="170" fontId="36" fillId="12" borderId="15" xfId="0" applyFont="1" applyFill="1" applyBorder="1" applyAlignment="1">
      <alignment horizontal="center" vertical="center" wrapText="1"/>
    </xf>
    <xf numFmtId="170" fontId="36" fillId="12" borderId="25" xfId="0" applyFont="1" applyFill="1" applyBorder="1" applyAlignment="1">
      <alignment horizontal="center" vertical="top" wrapText="1"/>
    </xf>
    <xf numFmtId="170" fontId="36" fillId="12" borderId="26" xfId="0" applyFont="1" applyFill="1" applyBorder="1" applyAlignment="1">
      <alignment horizontal="center" vertical="top" wrapText="1"/>
    </xf>
    <xf numFmtId="170" fontId="37" fillId="12" borderId="6" xfId="0" applyFont="1" applyFill="1" applyBorder="1" applyAlignment="1">
      <alignment horizontal="center" vertical="center" wrapText="1"/>
    </xf>
    <xf numFmtId="170" fontId="37" fillId="12" borderId="13" xfId="0" applyFont="1" applyFill="1" applyBorder="1" applyAlignment="1">
      <alignment horizontal="center" vertical="center" wrapText="1"/>
    </xf>
    <xf numFmtId="170" fontId="37" fillId="12" borderId="27" xfId="0" applyFont="1" applyFill="1" applyBorder="1" applyAlignment="1">
      <alignment horizontal="center" vertical="center" wrapText="1"/>
    </xf>
    <xf numFmtId="170" fontId="37" fillId="12" borderId="14" xfId="0" applyFont="1" applyFill="1" applyBorder="1" applyAlignment="1">
      <alignment horizontal="center" vertical="center" wrapText="1"/>
    </xf>
    <xf numFmtId="170" fontId="37" fillId="12" borderId="28" xfId="0" applyFont="1" applyFill="1" applyBorder="1" applyAlignment="1">
      <alignment horizontal="center" vertical="center" wrapText="1"/>
    </xf>
    <xf numFmtId="170" fontId="41" fillId="0" borderId="66" xfId="0" applyFont="1" applyBorder="1" applyAlignment="1" applyProtection="1">
      <alignment horizontal="right" vertical="center"/>
    </xf>
    <xf numFmtId="170" fontId="41" fillId="0" borderId="0" xfId="0" applyFont="1" applyBorder="1" applyAlignment="1" applyProtection="1">
      <alignment horizontal="right" vertical="center"/>
    </xf>
    <xf numFmtId="170" fontId="41" fillId="0" borderId="0" xfId="0" applyFont="1" applyFill="1" applyBorder="1" applyAlignment="1" applyProtection="1">
      <alignment horizontal="right" vertical="center"/>
    </xf>
    <xf numFmtId="170" fontId="37" fillId="19" borderId="11" xfId="0" applyFont="1" applyFill="1" applyBorder="1" applyAlignment="1" applyProtection="1">
      <alignment horizontal="center" vertical="center"/>
    </xf>
    <xf numFmtId="170" fontId="37" fillId="19" borderId="88" xfId="0" applyFont="1" applyFill="1" applyBorder="1" applyAlignment="1" applyProtection="1">
      <alignment horizontal="center" vertical="center"/>
    </xf>
    <xf numFmtId="170" fontId="37" fillId="0" borderId="0" xfId="0" applyFont="1" applyFill="1" applyBorder="1" applyAlignment="1" applyProtection="1">
      <alignment horizontal="center" vertical="center"/>
    </xf>
    <xf numFmtId="170" fontId="37" fillId="19" borderId="28" xfId="0" applyFont="1" applyFill="1" applyBorder="1" applyAlignment="1" applyProtection="1">
      <alignment horizontal="right" vertical="center"/>
    </xf>
    <xf numFmtId="170" fontId="37" fillId="19" borderId="54" xfId="0" applyFont="1" applyFill="1" applyBorder="1" applyAlignment="1" applyProtection="1">
      <alignment horizontal="right" vertical="center"/>
    </xf>
    <xf numFmtId="170" fontId="37" fillId="0" borderId="0" xfId="0" applyFont="1" applyFill="1" applyBorder="1" applyAlignment="1" applyProtection="1">
      <alignment horizontal="right" vertical="center"/>
    </xf>
    <xf numFmtId="170" fontId="37" fillId="19" borderId="100" xfId="0" applyFont="1" applyFill="1" applyBorder="1" applyAlignment="1" applyProtection="1">
      <alignment horizontal="right" vertical="center"/>
    </xf>
    <xf numFmtId="170" fontId="37" fillId="19" borderId="40" xfId="0" applyFont="1" applyFill="1" applyBorder="1" applyAlignment="1" applyProtection="1">
      <alignment horizontal="right" vertical="center"/>
    </xf>
    <xf numFmtId="170"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0" fontId="37" fillId="19" borderId="155" xfId="0" applyFont="1" applyFill="1" applyBorder="1" applyAlignment="1" applyProtection="1">
      <alignment horizontal="center" vertical="center"/>
    </xf>
    <xf numFmtId="170" fontId="37" fillId="19" borderId="44" xfId="0" applyFont="1" applyFill="1" applyBorder="1" applyAlignment="1" applyProtection="1">
      <alignment horizontal="center"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170" fontId="37" fillId="19" borderId="97" xfId="0" applyFont="1" applyFill="1" applyBorder="1" applyAlignment="1" applyProtection="1">
      <alignment horizontal="center" vertical="center"/>
    </xf>
    <xf numFmtId="170"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0" fontId="30" fillId="12" borderId="48" xfId="0" applyFont="1" applyFill="1" applyBorder="1" applyAlignment="1" applyProtection="1">
      <alignment horizontal="center" vertical="center" wrapText="1"/>
    </xf>
    <xf numFmtId="170" fontId="30" fillId="12" borderId="61" xfId="0" applyFont="1" applyFill="1" applyBorder="1" applyAlignment="1" applyProtection="1">
      <alignment horizontal="center" vertical="center" wrapText="1"/>
    </xf>
    <xf numFmtId="170"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87" fillId="23" borderId="123" xfId="222" applyFont="1" applyFill="1" applyBorder="1"/>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179" fontId="0" fillId="0" borderId="111" xfId="3405" applyNumberFormat="1"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179" fontId="0" fillId="0" borderId="0" xfId="3405" applyNumberFormat="1" applyFont="1"/>
    <xf numFmtId="0" fontId="22" fillId="0" borderId="0" xfId="223" applyFont="1" applyBorder="1"/>
    <xf numFmtId="179" fontId="22" fillId="0" borderId="0" xfId="3405" applyNumberFormat="1" applyFont="1" applyBorder="1"/>
    <xf numFmtId="179" fontId="22" fillId="0" borderId="111" xfId="3405" applyNumberFormat="1" applyFont="1" applyBorder="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88" fillId="23" borderId="21" xfId="221" applyFont="1" applyFill="1" applyBorder="1"/>
    <xf numFmtId="0" fontId="43" fillId="23" borderId="125" xfId="3406"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179" fontId="0" fillId="0" borderId="0" xfId="3405" applyNumberFormat="1" applyFont="1" applyFill="1"/>
    <xf numFmtId="179" fontId="22" fillId="0" borderId="111" xfId="3405" applyNumberFormat="1" applyFont="1" applyFill="1" applyBorder="1"/>
    <xf numFmtId="3" fontId="22" fillId="0" borderId="111" xfId="223" applyNumberFormat="1" applyFont="1" applyBorder="1"/>
    <xf numFmtId="0" fontId="79" fillId="0" borderId="0" xfId="223" applyFont="1"/>
    <xf numFmtId="0" fontId="22" fillId="23" borderId="52" xfId="223" applyFont="1" applyFill="1" applyBorder="1"/>
    <xf numFmtId="0" fontId="3" fillId="0" borderId="0" xfId="223"/>
    <xf numFmtId="0" fontId="22" fillId="0" borderId="216" xfId="223" applyFont="1" applyBorder="1"/>
    <xf numFmtId="179" fontId="0" fillId="0" borderId="216" xfId="3405" applyNumberFormat="1" applyFont="1" applyBorder="1"/>
    <xf numFmtId="179" fontId="0" fillId="0" borderId="0" xfId="3405" applyNumberFormat="1" applyFont="1" applyBorder="1"/>
    <xf numFmtId="0" fontId="0" fillId="0" borderId="216" xfId="0" applyNumberFormat="1" applyBorder="1"/>
  </cellXfs>
  <cellStyles count="3407">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2x indented GHG Textfiels 10" xfId="584"/>
    <cellStyle name="2x indented GHG Textfiels 2" xfId="392"/>
    <cellStyle name="2x indented GHG Textfiels 2 2" xfId="450"/>
    <cellStyle name="2x indented GHG Textfiels 2 2 2" xfId="550"/>
    <cellStyle name="2x indented GHG Textfiels 2 2 2 2" xfId="1796"/>
    <cellStyle name="2x indented GHG Textfiels 2 2 2 2 2" xfId="3035"/>
    <cellStyle name="2x indented GHG Textfiels 2 2 2 3" xfId="1476"/>
    <cellStyle name="2x indented GHG Textfiels 2 2 2 4" xfId="2716"/>
    <cellStyle name="2x indented GHG Textfiels 2 2 3" xfId="1393"/>
    <cellStyle name="2x indented GHG Textfiels 2 2 3 2" xfId="2633"/>
    <cellStyle name="2x indented GHG Textfiels 2 2 4" xfId="1178"/>
    <cellStyle name="2x indented GHG Textfiels 2 2 4 2" xfId="2419"/>
    <cellStyle name="2x indented GHG Textfiels 2 2 5" xfId="1215"/>
    <cellStyle name="2x indented GHG Textfiels 2 2 5 2" xfId="2456"/>
    <cellStyle name="2x indented GHG Textfiels 2 2 6" xfId="854"/>
    <cellStyle name="2x indented GHG Textfiels 2 2 6 2" xfId="3329"/>
    <cellStyle name="2x indented GHG Textfiels 2 2 7" xfId="2098"/>
    <cellStyle name="2x indented GHG Textfiels 2 3" xfId="599"/>
    <cellStyle name="2x indented GHG Textfiels 2 3 2" xfId="1829"/>
    <cellStyle name="2x indented GHG Textfiels 2 3 2 2" xfId="3068"/>
    <cellStyle name="2x indented GHG Textfiels 2 3 3" xfId="1277"/>
    <cellStyle name="2x indented GHG Textfiels 2 3 3 2" xfId="2518"/>
    <cellStyle name="2x indented GHG Textfiels 2 3 4" xfId="903"/>
    <cellStyle name="2x indented GHG Textfiels 2 3 5" xfId="2146"/>
    <cellStyle name="2x indented GHG Textfiels 2 4" xfId="663"/>
    <cellStyle name="2x indented GHG Textfiels 2 4 2" xfId="1893"/>
    <cellStyle name="2x indented GHG Textfiels 2 4 2 2" xfId="3132"/>
    <cellStyle name="2x indented GHG Textfiels 2 4 3" xfId="1575"/>
    <cellStyle name="2x indented GHG Textfiels 2 4 3 2" xfId="2815"/>
    <cellStyle name="2x indented GHG Textfiels 2 4 4" xfId="967"/>
    <cellStyle name="2x indented GHG Textfiels 2 4 5" xfId="2210"/>
    <cellStyle name="2x indented GHG Textfiels 2 5" xfId="725"/>
    <cellStyle name="2x indented GHG Textfiels 2 5 2" xfId="1955"/>
    <cellStyle name="2x indented GHG Textfiels 2 5 2 2" xfId="3194"/>
    <cellStyle name="2x indented GHG Textfiels 2 5 3" xfId="1633"/>
    <cellStyle name="2x indented GHG Textfiels 2 5 3 2" xfId="2872"/>
    <cellStyle name="2x indented GHG Textfiels 2 5 4" xfId="1029"/>
    <cellStyle name="2x indented GHG Textfiels 2 5 5" xfId="2272"/>
    <cellStyle name="2x indented GHG Textfiels 2 6" xfId="530"/>
    <cellStyle name="2x indented GHG Textfiels 2 6 2" xfId="1457"/>
    <cellStyle name="2x indented GHG Textfiels 2 6 3" xfId="2697"/>
    <cellStyle name="2x indented GHG Textfiels 2 7" xfId="1136"/>
    <cellStyle name="2x indented GHG Textfiels 2 7 2" xfId="2378"/>
    <cellStyle name="2x indented GHG Textfiels 2 8" xfId="831"/>
    <cellStyle name="2x indented GHG Textfiels 2 8 2" xfId="3290"/>
    <cellStyle name="2x indented GHG Textfiels 2 9" xfId="2075"/>
    <cellStyle name="2x indented GHG Textfiels 3" xfId="332"/>
    <cellStyle name="2x indented GHG Textfiels 3 10" xfId="2037"/>
    <cellStyle name="2x indented GHG Textfiels 3 2" xfId="429"/>
    <cellStyle name="2x indented GHG Textfiels 3 2 2" xfId="578"/>
    <cellStyle name="2x indented GHG Textfiels 3 2 2 2" xfId="1504"/>
    <cellStyle name="2x indented GHG Textfiels 3 2 2 3" xfId="2744"/>
    <cellStyle name="2x indented GHG Textfiels 3 2 3" xfId="1708"/>
    <cellStyle name="2x indented GHG Textfiels 3 2 3 2" xfId="2947"/>
    <cellStyle name="2x indented GHG Textfiels 3 2 4" xfId="1257"/>
    <cellStyle name="2x indented GHG Textfiels 3 2 4 2" xfId="2498"/>
    <cellStyle name="2x indented GHG Textfiels 3 2 5" xfId="882"/>
    <cellStyle name="2x indented GHG Textfiels 3 2 5 2" xfId="3356"/>
    <cellStyle name="2x indented GHG Textfiels 3 2 6" xfId="2126"/>
    <cellStyle name="2x indented GHG Textfiels 3 3" xfId="627"/>
    <cellStyle name="2x indented GHG Textfiels 3 3 2" xfId="1542"/>
    <cellStyle name="2x indented GHG Textfiels 3 3 2 2" xfId="1857"/>
    <cellStyle name="2x indented GHG Textfiels 3 3 2 2 2" xfId="3096"/>
    <cellStyle name="2x indented GHG Textfiels 3 3 2 3" xfId="2782"/>
    <cellStyle name="2x indented GHG Textfiels 3 3 3" xfId="1194"/>
    <cellStyle name="2x indented GHG Textfiels 3 3 3 2" xfId="2435"/>
    <cellStyle name="2x indented GHG Textfiels 3 3 4" xfId="1315"/>
    <cellStyle name="2x indented GHG Textfiels 3 3 4 2" xfId="2556"/>
    <cellStyle name="2x indented GHG Textfiels 3 3 5" xfId="931"/>
    <cellStyle name="2x indented GHG Textfiels 3 3 6" xfId="2174"/>
    <cellStyle name="2x indented GHG Textfiels 3 4" xfId="691"/>
    <cellStyle name="2x indented GHG Textfiels 3 4 2" xfId="1921"/>
    <cellStyle name="2x indented GHG Textfiels 3 4 2 2" xfId="3160"/>
    <cellStyle name="2x indented GHG Textfiels 3 4 3" xfId="1603"/>
    <cellStyle name="2x indented GHG Textfiels 3 4 3 2" xfId="2843"/>
    <cellStyle name="2x indented GHG Textfiels 3 4 4" xfId="995"/>
    <cellStyle name="2x indented GHG Textfiels 3 4 5" xfId="2238"/>
    <cellStyle name="2x indented GHG Textfiels 3 5" xfId="753"/>
    <cellStyle name="2x indented GHG Textfiels 3 5 2" xfId="1983"/>
    <cellStyle name="2x indented GHG Textfiels 3 5 2 2" xfId="3222"/>
    <cellStyle name="2x indented GHG Textfiels 3 5 3" xfId="1661"/>
    <cellStyle name="2x indented GHG Textfiels 3 5 3 2" xfId="2900"/>
    <cellStyle name="2x indented GHG Textfiels 3 5 4" xfId="1057"/>
    <cellStyle name="2x indented GHG Textfiels 3 5 5" xfId="2300"/>
    <cellStyle name="2x indented GHG Textfiels 3 6" xfId="496"/>
    <cellStyle name="2x indented GHG Textfiels 3 6 2" xfId="1429"/>
    <cellStyle name="2x indented GHG Textfiels 3 6 3" xfId="2669"/>
    <cellStyle name="2x indented GHG Textfiels 3 7" xfId="1362"/>
    <cellStyle name="2x indented GHG Textfiels 3 7 2" xfId="2603"/>
    <cellStyle name="2x indented GHG Textfiels 3 8" xfId="1084"/>
    <cellStyle name="2x indented GHG Textfiels 3 8 2" xfId="2327"/>
    <cellStyle name="2x indented GHG Textfiels 3 9" xfId="789"/>
    <cellStyle name="2x indented GHG Textfiels 3 9 2" xfId="3312"/>
    <cellStyle name="2x indented GHG Textfiels 4" xfId="424"/>
    <cellStyle name="2x indented GHG Textfiels 4 2" xfId="1382"/>
    <cellStyle name="2x indented GHG Textfiels 4 2 2" xfId="1759"/>
    <cellStyle name="2x indented GHG Textfiels 4 2 2 2" xfId="2998"/>
    <cellStyle name="2x indented GHG Textfiels 4 2 3" xfId="2623"/>
    <cellStyle name="2x indented GHG Textfiels 4 3" xfId="1690"/>
    <cellStyle name="2x indented GHG Textfiels 4 3 2" xfId="2929"/>
    <cellStyle name="2x indented GHG Textfiels 4 4" xfId="1170"/>
    <cellStyle name="2x indented GHG Textfiels 4 4 2" xfId="2412"/>
    <cellStyle name="2x indented GHG Textfiels 4 5" xfId="774"/>
    <cellStyle name="2x indented GHG Textfiels 4 5 2" xfId="3274"/>
    <cellStyle name="2x indented GHG Textfiels 4 6" xfId="2022"/>
    <cellStyle name="2x indented GHG Textfiels 5" xfId="270"/>
    <cellStyle name="2x indented GHG Textfiels 5 2" xfId="1751"/>
    <cellStyle name="2x indented GHG Textfiels 5 2 2" xfId="2990"/>
    <cellStyle name="2x indented GHG Textfiels 5 3" xfId="1160"/>
    <cellStyle name="2x indented GHG Textfiels 5 3 2" xfId="2402"/>
    <cellStyle name="2x indented GHG Textfiels 5 4" xfId="367"/>
    <cellStyle name="2x indented GHG Textfiels 5 4 2" xfId="3289"/>
    <cellStyle name="2x indented GHG Textfiels 5 5" xfId="2012"/>
    <cellStyle name="2x indented GHG Textfiels 6" xfId="281"/>
    <cellStyle name="2x indented GHG Textfiels 6 2" xfId="1749"/>
    <cellStyle name="2x indented GHG Textfiels 6 2 2" xfId="2988"/>
    <cellStyle name="2x indented GHG Textfiels 6 3" xfId="1139"/>
    <cellStyle name="2x indented GHG Textfiels 6 3 2" xfId="2381"/>
    <cellStyle name="2x indented GHG Textfiels 6 4" xfId="279"/>
    <cellStyle name="2x indented GHG Textfiels 6 5" xfId="2010"/>
    <cellStyle name="2x indented GHG Textfiels 7" xfId="341"/>
    <cellStyle name="2x indented GHG Textfiels 7 2" xfId="1762"/>
    <cellStyle name="2x indented GHG Textfiels 7 2 2" xfId="3001"/>
    <cellStyle name="2x indented GHG Textfiels 7 3" xfId="1338"/>
    <cellStyle name="2x indented GHG Textfiels 7 4" xfId="2579"/>
    <cellStyle name="2x indented GHG Textfiels 8" xfId="1421"/>
    <cellStyle name="2x indented GHG Textfiels 8 2" xfId="2661"/>
    <cellStyle name="2x indented GHG Textfiels 9" xfId="471"/>
    <cellStyle name="2x indented GHG Textfiels 9 2" xfId="3310"/>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1 2" xfId="323"/>
    <cellStyle name="60% - Accent2" xfId="179" builtinId="36" customBuiltin="1"/>
    <cellStyle name="60% - Accent2 2" xfId="322"/>
    <cellStyle name="60% - Accent3" xfId="183" builtinId="40" customBuiltin="1"/>
    <cellStyle name="60% - Accent3 2" xfId="362"/>
    <cellStyle name="60% - Accent4" xfId="187" builtinId="44" customBuiltin="1"/>
    <cellStyle name="60% - Accent4 2" xfId="364"/>
    <cellStyle name="60% - Accent5" xfId="191" builtinId="48" customBuiltin="1"/>
    <cellStyle name="60% - Accent5 2" xfId="273"/>
    <cellStyle name="60% - Accent6" xfId="195" builtinId="52" customBuiltin="1"/>
    <cellStyle name="60% - Accent6 2" xfId="363"/>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2 2 10" xfId="515"/>
    <cellStyle name="Calc cel 2 2 2" xfId="401"/>
    <cellStyle name="Calc cel 2 2 2 2" xfId="459"/>
    <cellStyle name="Calc cel 2 2 2 2 2" xfId="559"/>
    <cellStyle name="Calc cel 2 2 2 2 2 2" xfId="1804"/>
    <cellStyle name="Calc cel 2 2 2 2 2 2 2" xfId="3043"/>
    <cellStyle name="Calc cel 2 2 2 2 2 3" xfId="1485"/>
    <cellStyle name="Calc cel 2 2 2 2 2 4" xfId="2725"/>
    <cellStyle name="Calc cel 2 2 2 2 3" xfId="1402"/>
    <cellStyle name="Calc cel 2 2 2 2 3 2" xfId="2642"/>
    <cellStyle name="Calc cel 2 2 2 2 4" xfId="1192"/>
    <cellStyle name="Calc cel 2 2 2 2 4 2" xfId="2433"/>
    <cellStyle name="Calc cel 2 2 2 2 5" xfId="1224"/>
    <cellStyle name="Calc cel 2 2 2 2 5 2" xfId="2465"/>
    <cellStyle name="Calc cel 2 2 2 2 6" xfId="863"/>
    <cellStyle name="Calc cel 2 2 2 2 6 2" xfId="3338"/>
    <cellStyle name="Calc cel 2 2 2 2 7" xfId="2107"/>
    <cellStyle name="Calc cel 2 2 2 3" xfId="608"/>
    <cellStyle name="Calc cel 2 2 2 3 2" xfId="1838"/>
    <cellStyle name="Calc cel 2 2 2 3 2 2" xfId="3077"/>
    <cellStyle name="Calc cel 2 2 2 3 3" xfId="1286"/>
    <cellStyle name="Calc cel 2 2 2 3 3 2" xfId="2527"/>
    <cellStyle name="Calc cel 2 2 2 3 4" xfId="912"/>
    <cellStyle name="Calc cel 2 2 2 3 5" xfId="2155"/>
    <cellStyle name="Calc cel 2 2 2 4" xfId="672"/>
    <cellStyle name="Calc cel 2 2 2 4 2" xfId="1902"/>
    <cellStyle name="Calc cel 2 2 2 4 2 2" xfId="3141"/>
    <cellStyle name="Calc cel 2 2 2 4 3" xfId="1584"/>
    <cellStyle name="Calc cel 2 2 2 4 3 2" xfId="2824"/>
    <cellStyle name="Calc cel 2 2 2 4 4" xfId="976"/>
    <cellStyle name="Calc cel 2 2 2 4 5" xfId="2219"/>
    <cellStyle name="Calc cel 2 2 2 5" xfId="734"/>
    <cellStyle name="Calc cel 2 2 2 5 2" xfId="1964"/>
    <cellStyle name="Calc cel 2 2 2 5 2 2" xfId="3203"/>
    <cellStyle name="Calc cel 2 2 2 5 3" xfId="1642"/>
    <cellStyle name="Calc cel 2 2 2 5 3 2" xfId="2881"/>
    <cellStyle name="Calc cel 2 2 2 5 4" xfId="1038"/>
    <cellStyle name="Calc cel 2 2 2 5 5" xfId="2281"/>
    <cellStyle name="Calc cel 2 2 2 6" xfId="539"/>
    <cellStyle name="Calc cel 2 2 2 6 2" xfId="1466"/>
    <cellStyle name="Calc cel 2 2 2 6 3" xfId="2706"/>
    <cellStyle name="Calc cel 2 2 2 7" xfId="1352"/>
    <cellStyle name="Calc cel 2 2 2 7 2" xfId="2593"/>
    <cellStyle name="Calc cel 2 2 2 8" xfId="840"/>
    <cellStyle name="Calc cel 2 2 2 8 2" xfId="3265"/>
    <cellStyle name="Calc cel 2 2 2 9" xfId="2084"/>
    <cellStyle name="Calc cel 2 2 3" xfId="380"/>
    <cellStyle name="Calc cel 2 2 3 10" xfId="2063"/>
    <cellStyle name="Calc cel 2 2 3 2" xfId="439"/>
    <cellStyle name="Calc cel 2 2 3 2 2" xfId="588"/>
    <cellStyle name="Calc cel 2 2 3 2 2 2" xfId="1513"/>
    <cellStyle name="Calc cel 2 2 3 2 2 3" xfId="2753"/>
    <cellStyle name="Calc cel 2 2 3 2 3" xfId="1717"/>
    <cellStyle name="Calc cel 2 2 3 2 3 2" xfId="2956"/>
    <cellStyle name="Calc cel 2 2 3 2 4" xfId="1266"/>
    <cellStyle name="Calc cel 2 2 3 2 4 2" xfId="2507"/>
    <cellStyle name="Calc cel 2 2 3 2 5" xfId="892"/>
    <cellStyle name="Calc cel 2 2 3 2 5 2" xfId="3365"/>
    <cellStyle name="Calc cel 2 2 3 2 6" xfId="2135"/>
    <cellStyle name="Calc cel 2 2 3 3" xfId="637"/>
    <cellStyle name="Calc cel 2 2 3 3 2" xfId="1552"/>
    <cellStyle name="Calc cel 2 2 3 3 2 2" xfId="1867"/>
    <cellStyle name="Calc cel 2 2 3 3 2 2 2" xfId="3106"/>
    <cellStyle name="Calc cel 2 2 3 3 2 3" xfId="2792"/>
    <cellStyle name="Calc cel 2 2 3 3 3" xfId="1733"/>
    <cellStyle name="Calc cel 2 2 3 3 3 2" xfId="2972"/>
    <cellStyle name="Calc cel 2 2 3 3 4" xfId="1326"/>
    <cellStyle name="Calc cel 2 2 3 3 4 2" xfId="2567"/>
    <cellStyle name="Calc cel 2 2 3 3 5" xfId="941"/>
    <cellStyle name="Calc cel 2 2 3 3 6" xfId="2184"/>
    <cellStyle name="Calc cel 2 2 3 4" xfId="701"/>
    <cellStyle name="Calc cel 2 2 3 4 2" xfId="1931"/>
    <cellStyle name="Calc cel 2 2 3 4 2 2" xfId="3170"/>
    <cellStyle name="Calc cel 2 2 3 4 3" xfId="1613"/>
    <cellStyle name="Calc cel 2 2 3 4 3 2" xfId="2853"/>
    <cellStyle name="Calc cel 2 2 3 4 4" xfId="1005"/>
    <cellStyle name="Calc cel 2 2 3 4 5" xfId="2248"/>
    <cellStyle name="Calc cel 2 2 3 5" xfId="762"/>
    <cellStyle name="Calc cel 2 2 3 5 2" xfId="1992"/>
    <cellStyle name="Calc cel 2 2 3 5 2 2" xfId="3231"/>
    <cellStyle name="Calc cel 2 2 3 5 3" xfId="1670"/>
    <cellStyle name="Calc cel 2 2 3 5 3 2" xfId="2909"/>
    <cellStyle name="Calc cel 2 2 3 5 4" xfId="1066"/>
    <cellStyle name="Calc cel 2 2 3 5 5" xfId="2309"/>
    <cellStyle name="Calc cel 2 2 3 6" xfId="518"/>
    <cellStyle name="Calc cel 2 2 3 6 2" xfId="1445"/>
    <cellStyle name="Calc cel 2 2 3 6 3" xfId="2685"/>
    <cellStyle name="Calc cel 2 2 3 7" xfId="1177"/>
    <cellStyle name="Calc cel 2 2 3 7 2" xfId="2418"/>
    <cellStyle name="Calc cel 2 2 3 8" xfId="1090"/>
    <cellStyle name="Calc cel 2 2 3 8 2" xfId="2333"/>
    <cellStyle name="Calc cel 2 2 3 9" xfId="819"/>
    <cellStyle name="Calc cel 2 2 3 9 2" xfId="3268"/>
    <cellStyle name="Calc cel 2 2 4" xfId="315"/>
    <cellStyle name="Calc cel 2 2 4 2" xfId="1145"/>
    <cellStyle name="Calc cel 2 2 4 2 2" xfId="1752"/>
    <cellStyle name="Calc cel 2 2 4 2 2 2" xfId="2991"/>
    <cellStyle name="Calc cel 2 2 4 2 3" xfId="2387"/>
    <cellStyle name="Calc cel 2 2 4 3" xfId="1372"/>
    <cellStyle name="Calc cel 2 2 4 3 2" xfId="2613"/>
    <cellStyle name="Calc cel 2 2 4 4" xfId="1201"/>
    <cellStyle name="Calc cel 2 2 4 4 2" xfId="2442"/>
    <cellStyle name="Calc cel 2 2 4 5" xfId="365"/>
    <cellStyle name="Calc cel 2 2 4 5 2" xfId="3297"/>
    <cellStyle name="Calc cel 2 2 4 6" xfId="2013"/>
    <cellStyle name="Calc cel 2 2 5" xfId="651"/>
    <cellStyle name="Calc cel 2 2 5 2" xfId="1881"/>
    <cellStyle name="Calc cel 2 2 5 2 2" xfId="3120"/>
    <cellStyle name="Calc cel 2 2 5 3" xfId="1238"/>
    <cellStyle name="Calc cel 2 2 5 3 2" xfId="2479"/>
    <cellStyle name="Calc cel 2 2 5 4" xfId="955"/>
    <cellStyle name="Calc cel 2 2 5 4 2" xfId="3393"/>
    <cellStyle name="Calc cel 2 2 5 5" xfId="2198"/>
    <cellStyle name="Calc cel 2 2 6" xfId="714"/>
    <cellStyle name="Calc cel 2 2 6 2" xfId="1944"/>
    <cellStyle name="Calc cel 2 2 6 2 2" xfId="3183"/>
    <cellStyle name="Calc cel 2 2 6 3" xfId="1626"/>
    <cellStyle name="Calc cel 2 2 6 3 2" xfId="2866"/>
    <cellStyle name="Calc cel 2 2 6 4" xfId="1018"/>
    <cellStyle name="Calc cel 2 2 6 5" xfId="2261"/>
    <cellStyle name="Calc cel 2 2 7" xfId="368"/>
    <cellStyle name="Calc cel 2 2 7 2" xfId="1120"/>
    <cellStyle name="Calc cel 2 2 7 2 2" xfId="2362"/>
    <cellStyle name="Calc cel 2 2 7 3" xfId="1353"/>
    <cellStyle name="Calc cel 2 2 7 4" xfId="2594"/>
    <cellStyle name="Calc cel 2 2 8" xfId="1567"/>
    <cellStyle name="Calc cel 2 2 8 2" xfId="2807"/>
    <cellStyle name="Calc cel 2 2 9" xfId="347"/>
    <cellStyle name="Calc cel 2 2 9 2" xfId="3316"/>
    <cellStyle name="Calc cel 2 3" xfId="352"/>
    <cellStyle name="Calc cel 2 3 2" xfId="487"/>
    <cellStyle name="Calc cel 2 3 2 10" xfId="2132"/>
    <cellStyle name="Calc cel 2 3 2 2" xfId="634"/>
    <cellStyle name="Calc cel 2 3 2 2 2" xfId="1864"/>
    <cellStyle name="Calc cel 2 3 2 2 2 2" xfId="3103"/>
    <cellStyle name="Calc cel 2 3 2 2 3" xfId="1730"/>
    <cellStyle name="Calc cel 2 3 2 2 3 2" xfId="2969"/>
    <cellStyle name="Calc cel 2 3 2 2 4" xfId="1549"/>
    <cellStyle name="Calc cel 2 3 2 2 4 2" xfId="2789"/>
    <cellStyle name="Calc cel 2 3 2 2 5" xfId="938"/>
    <cellStyle name="Calc cel 2 3 2 2 5 2" xfId="3389"/>
    <cellStyle name="Calc cel 2 3 2 2 6" xfId="2181"/>
    <cellStyle name="Calc cel 2 3 2 3" xfId="698"/>
    <cellStyle name="Calc cel 2 3 2 3 2" xfId="1928"/>
    <cellStyle name="Calc cel 2 3 2 3 2 2" xfId="3167"/>
    <cellStyle name="Calc cel 2 3 2 3 3" xfId="1610"/>
    <cellStyle name="Calc cel 2 3 2 3 3 2" xfId="2850"/>
    <cellStyle name="Calc cel 2 3 2 3 4" xfId="1002"/>
    <cellStyle name="Calc cel 2 3 2 3 5" xfId="2245"/>
    <cellStyle name="Calc cel 2 3 2 4" xfId="759"/>
    <cellStyle name="Calc cel 2 3 2 4 2" xfId="1989"/>
    <cellStyle name="Calc cel 2 3 2 4 2 2" xfId="3228"/>
    <cellStyle name="Calc cel 2 3 2 4 3" xfId="1667"/>
    <cellStyle name="Calc cel 2 3 2 4 3 2" xfId="2906"/>
    <cellStyle name="Calc cel 2 3 2 4 4" xfId="1063"/>
    <cellStyle name="Calc cel 2 3 2 4 5" xfId="2306"/>
    <cellStyle name="Calc cel 2 3 2 5" xfId="585"/>
    <cellStyle name="Calc cel 2 3 2 5 2" xfId="1822"/>
    <cellStyle name="Calc cel 2 3 2 5 2 2" xfId="3061"/>
    <cellStyle name="Calc cel 2 3 2 5 3" xfId="1510"/>
    <cellStyle name="Calc cel 2 3 2 5 4" xfId="2750"/>
    <cellStyle name="Calc cel 2 3 2 6" xfId="1425"/>
    <cellStyle name="Calc cel 2 3 2 6 2" xfId="2665"/>
    <cellStyle name="Calc cel 2 3 2 7" xfId="1295"/>
    <cellStyle name="Calc cel 2 3 2 7 2" xfId="2536"/>
    <cellStyle name="Calc cel 2 3 2 8" xfId="1323"/>
    <cellStyle name="Calc cel 2 3 2 8 2" xfId="2564"/>
    <cellStyle name="Calc cel 2 3 2 9" xfId="889"/>
    <cellStyle name="Calc cel 2 3 2 9 2" xfId="3362"/>
    <cellStyle name="Calc cel 2 3 3" xfId="269"/>
    <cellStyle name="Calc cel 2 3 3 2" xfId="1794"/>
    <cellStyle name="Calc cel 2 3 3 2 2" xfId="3033"/>
    <cellStyle name="Calc cel 2 3 3 3" xfId="1262"/>
    <cellStyle name="Calc cel 2 3 3 3 2" xfId="2503"/>
    <cellStyle name="Calc cel 2 3 3 4" xfId="852"/>
    <cellStyle name="Calc cel 2 3 3 4 2" xfId="3327"/>
    <cellStyle name="Calc cel 2 3 3 5" xfId="2096"/>
    <cellStyle name="Calc cel 2 3 4" xfId="1772"/>
    <cellStyle name="Calc cel 2 3 4 2" xfId="3011"/>
    <cellStyle name="Calc cel 2 3 5" xfId="1530"/>
    <cellStyle name="Calc cel 2 3 5 2" xfId="2770"/>
    <cellStyle name="Calc cel 2 3 6" xfId="1173"/>
    <cellStyle name="Calc cel 2 3 6 2" xfId="2415"/>
    <cellStyle name="Calc cel 2 3 7" xfId="799"/>
    <cellStyle name="Calc cel 2 3 8" xfId="2046"/>
    <cellStyle name="Calc cel 2 3 9" xfId="796"/>
    <cellStyle name="Calc cel 2 4" xfId="809"/>
    <cellStyle name="Calc cel 3" xfId="12"/>
    <cellStyle name="Calc cel 3 2" xfId="252"/>
    <cellStyle name="Calc cel 3 2 10" xfId="516"/>
    <cellStyle name="Calc cel 3 2 2" xfId="399"/>
    <cellStyle name="Calc cel 3 2 2 2" xfId="457"/>
    <cellStyle name="Calc cel 3 2 2 2 2" xfId="557"/>
    <cellStyle name="Calc cel 3 2 2 2 2 2" xfId="1802"/>
    <cellStyle name="Calc cel 3 2 2 2 2 2 2" xfId="3041"/>
    <cellStyle name="Calc cel 3 2 2 2 2 3" xfId="1483"/>
    <cellStyle name="Calc cel 3 2 2 2 2 4" xfId="2723"/>
    <cellStyle name="Calc cel 3 2 2 2 3" xfId="1400"/>
    <cellStyle name="Calc cel 3 2 2 2 3 2" xfId="2640"/>
    <cellStyle name="Calc cel 3 2 2 2 4" xfId="1342"/>
    <cellStyle name="Calc cel 3 2 2 2 4 2" xfId="2583"/>
    <cellStyle name="Calc cel 3 2 2 2 5" xfId="1222"/>
    <cellStyle name="Calc cel 3 2 2 2 5 2" xfId="2463"/>
    <cellStyle name="Calc cel 3 2 2 2 6" xfId="861"/>
    <cellStyle name="Calc cel 3 2 2 2 6 2" xfId="3336"/>
    <cellStyle name="Calc cel 3 2 2 2 7" xfId="2105"/>
    <cellStyle name="Calc cel 3 2 2 3" xfId="606"/>
    <cellStyle name="Calc cel 3 2 2 3 2" xfId="1836"/>
    <cellStyle name="Calc cel 3 2 2 3 2 2" xfId="3075"/>
    <cellStyle name="Calc cel 3 2 2 3 3" xfId="1284"/>
    <cellStyle name="Calc cel 3 2 2 3 3 2" xfId="2525"/>
    <cellStyle name="Calc cel 3 2 2 3 4" xfId="910"/>
    <cellStyle name="Calc cel 3 2 2 3 5" xfId="2153"/>
    <cellStyle name="Calc cel 3 2 2 4" xfId="670"/>
    <cellStyle name="Calc cel 3 2 2 4 2" xfId="1900"/>
    <cellStyle name="Calc cel 3 2 2 4 2 2" xfId="3139"/>
    <cellStyle name="Calc cel 3 2 2 4 3" xfId="1582"/>
    <cellStyle name="Calc cel 3 2 2 4 3 2" xfId="2822"/>
    <cellStyle name="Calc cel 3 2 2 4 4" xfId="974"/>
    <cellStyle name="Calc cel 3 2 2 4 5" xfId="2217"/>
    <cellStyle name="Calc cel 3 2 2 5" xfId="732"/>
    <cellStyle name="Calc cel 3 2 2 5 2" xfId="1962"/>
    <cellStyle name="Calc cel 3 2 2 5 2 2" xfId="3201"/>
    <cellStyle name="Calc cel 3 2 2 5 3" xfId="1640"/>
    <cellStyle name="Calc cel 3 2 2 5 3 2" xfId="2879"/>
    <cellStyle name="Calc cel 3 2 2 5 4" xfId="1036"/>
    <cellStyle name="Calc cel 3 2 2 5 5" xfId="2279"/>
    <cellStyle name="Calc cel 3 2 2 6" xfId="537"/>
    <cellStyle name="Calc cel 3 2 2 6 2" xfId="1464"/>
    <cellStyle name="Calc cel 3 2 2 6 3" xfId="2704"/>
    <cellStyle name="Calc cel 3 2 2 7" xfId="1181"/>
    <cellStyle name="Calc cel 3 2 2 7 2" xfId="2422"/>
    <cellStyle name="Calc cel 3 2 2 8" xfId="838"/>
    <cellStyle name="Calc cel 3 2 2 8 2" xfId="3318"/>
    <cellStyle name="Calc cel 3 2 2 9" xfId="2082"/>
    <cellStyle name="Calc cel 3 2 3" xfId="381"/>
    <cellStyle name="Calc cel 3 2 3 10" xfId="2064"/>
    <cellStyle name="Calc cel 3 2 3 2" xfId="440"/>
    <cellStyle name="Calc cel 3 2 3 2 2" xfId="589"/>
    <cellStyle name="Calc cel 3 2 3 2 2 2" xfId="1514"/>
    <cellStyle name="Calc cel 3 2 3 2 2 3" xfId="2754"/>
    <cellStyle name="Calc cel 3 2 3 2 3" xfId="1718"/>
    <cellStyle name="Calc cel 3 2 3 2 3 2" xfId="2957"/>
    <cellStyle name="Calc cel 3 2 3 2 4" xfId="1267"/>
    <cellStyle name="Calc cel 3 2 3 2 4 2" xfId="2508"/>
    <cellStyle name="Calc cel 3 2 3 2 5" xfId="893"/>
    <cellStyle name="Calc cel 3 2 3 2 5 2" xfId="3366"/>
    <cellStyle name="Calc cel 3 2 3 2 6" xfId="2136"/>
    <cellStyle name="Calc cel 3 2 3 3" xfId="638"/>
    <cellStyle name="Calc cel 3 2 3 3 2" xfId="1553"/>
    <cellStyle name="Calc cel 3 2 3 3 2 2" xfId="1868"/>
    <cellStyle name="Calc cel 3 2 3 3 2 2 2" xfId="3107"/>
    <cellStyle name="Calc cel 3 2 3 3 2 3" xfId="2793"/>
    <cellStyle name="Calc cel 3 2 3 3 3" xfId="1734"/>
    <cellStyle name="Calc cel 3 2 3 3 3 2" xfId="2973"/>
    <cellStyle name="Calc cel 3 2 3 3 4" xfId="1327"/>
    <cellStyle name="Calc cel 3 2 3 3 4 2" xfId="2568"/>
    <cellStyle name="Calc cel 3 2 3 3 5" xfId="942"/>
    <cellStyle name="Calc cel 3 2 3 3 6" xfId="2185"/>
    <cellStyle name="Calc cel 3 2 3 4" xfId="702"/>
    <cellStyle name="Calc cel 3 2 3 4 2" xfId="1932"/>
    <cellStyle name="Calc cel 3 2 3 4 2 2" xfId="3171"/>
    <cellStyle name="Calc cel 3 2 3 4 3" xfId="1614"/>
    <cellStyle name="Calc cel 3 2 3 4 3 2" xfId="2854"/>
    <cellStyle name="Calc cel 3 2 3 4 4" xfId="1006"/>
    <cellStyle name="Calc cel 3 2 3 4 5" xfId="2249"/>
    <cellStyle name="Calc cel 3 2 3 5" xfId="763"/>
    <cellStyle name="Calc cel 3 2 3 5 2" xfId="1993"/>
    <cellStyle name="Calc cel 3 2 3 5 2 2" xfId="3232"/>
    <cellStyle name="Calc cel 3 2 3 5 3" xfId="1671"/>
    <cellStyle name="Calc cel 3 2 3 5 3 2" xfId="2910"/>
    <cellStyle name="Calc cel 3 2 3 5 4" xfId="1067"/>
    <cellStyle name="Calc cel 3 2 3 5 5" xfId="2310"/>
    <cellStyle name="Calc cel 3 2 3 6" xfId="519"/>
    <cellStyle name="Calc cel 3 2 3 6 2" xfId="1446"/>
    <cellStyle name="Calc cel 3 2 3 6 3" xfId="2686"/>
    <cellStyle name="Calc cel 3 2 3 7" xfId="1301"/>
    <cellStyle name="Calc cel 3 2 3 7 2" xfId="2542"/>
    <cellStyle name="Calc cel 3 2 3 8" xfId="1091"/>
    <cellStyle name="Calc cel 3 2 3 8 2" xfId="2334"/>
    <cellStyle name="Calc cel 3 2 3 9" xfId="820"/>
    <cellStyle name="Calc cel 3 2 3 9 2" xfId="3281"/>
    <cellStyle name="Calc cel 3 2 4" xfId="510"/>
    <cellStyle name="Calc cel 3 2 4 2" xfId="1441"/>
    <cellStyle name="Calc cel 3 2 4 2 2" xfId="1778"/>
    <cellStyle name="Calc cel 3 2 4 2 2 2" xfId="3017"/>
    <cellStyle name="Calc cel 3 2 4 2 3" xfId="2681"/>
    <cellStyle name="Calc cel 3 2 4 3" xfId="1123"/>
    <cellStyle name="Calc cel 3 2 4 3 2" xfId="2365"/>
    <cellStyle name="Calc cel 3 2 4 4" xfId="1202"/>
    <cellStyle name="Calc cel 3 2 4 4 2" xfId="2443"/>
    <cellStyle name="Calc cel 3 2 4 5" xfId="808"/>
    <cellStyle name="Calc cel 3 2 4 5 2" xfId="3308"/>
    <cellStyle name="Calc cel 3 2 4 6" xfId="2055"/>
    <cellStyle name="Calc cel 3 2 5" xfId="652"/>
    <cellStyle name="Calc cel 3 2 5 2" xfId="1882"/>
    <cellStyle name="Calc cel 3 2 5 2 2" xfId="3121"/>
    <cellStyle name="Calc cel 3 2 5 3" xfId="1239"/>
    <cellStyle name="Calc cel 3 2 5 3 2" xfId="2480"/>
    <cellStyle name="Calc cel 3 2 5 4" xfId="956"/>
    <cellStyle name="Calc cel 3 2 5 4 2" xfId="3394"/>
    <cellStyle name="Calc cel 3 2 5 5" xfId="2199"/>
    <cellStyle name="Calc cel 3 2 6" xfId="715"/>
    <cellStyle name="Calc cel 3 2 6 2" xfId="1945"/>
    <cellStyle name="Calc cel 3 2 6 2 2" xfId="3184"/>
    <cellStyle name="Calc cel 3 2 6 3" xfId="1627"/>
    <cellStyle name="Calc cel 3 2 6 3 2" xfId="2867"/>
    <cellStyle name="Calc cel 3 2 6 4" xfId="1019"/>
    <cellStyle name="Calc cel 3 2 6 5" xfId="2262"/>
    <cellStyle name="Calc cel 3 2 7" xfId="286"/>
    <cellStyle name="Calc cel 3 2 7 2" xfId="1339"/>
    <cellStyle name="Calc cel 3 2 7 2 2" xfId="2580"/>
    <cellStyle name="Calc cel 3 2 7 3" xfId="1144"/>
    <cellStyle name="Calc cel 3 2 7 4" xfId="2386"/>
    <cellStyle name="Calc cel 3 2 8" xfId="1390"/>
    <cellStyle name="Calc cel 3 2 8 2" xfId="2631"/>
    <cellStyle name="Calc cel 3 2 9" xfId="326"/>
    <cellStyle name="Calc cel 3 2 9 2" xfId="3266"/>
    <cellStyle name="Calc cel 3 3" xfId="342"/>
    <cellStyle name="Calc cel 3 3 2" xfId="484"/>
    <cellStyle name="Calc cel 3 3 2 10" xfId="2131"/>
    <cellStyle name="Calc cel 3 3 2 2" xfId="632"/>
    <cellStyle name="Calc cel 3 3 2 2 2" xfId="1862"/>
    <cellStyle name="Calc cel 3 3 2 2 2 2" xfId="3101"/>
    <cellStyle name="Calc cel 3 3 2 2 3" xfId="1728"/>
    <cellStyle name="Calc cel 3 3 2 2 3 2" xfId="2967"/>
    <cellStyle name="Calc cel 3 3 2 2 4" xfId="1547"/>
    <cellStyle name="Calc cel 3 3 2 2 4 2" xfId="2787"/>
    <cellStyle name="Calc cel 3 3 2 2 5" xfId="936"/>
    <cellStyle name="Calc cel 3 3 2 2 5 2" xfId="3387"/>
    <cellStyle name="Calc cel 3 3 2 2 6" xfId="2179"/>
    <cellStyle name="Calc cel 3 3 2 3" xfId="696"/>
    <cellStyle name="Calc cel 3 3 2 3 2" xfId="1926"/>
    <cellStyle name="Calc cel 3 3 2 3 2 2" xfId="3165"/>
    <cellStyle name="Calc cel 3 3 2 3 3" xfId="1608"/>
    <cellStyle name="Calc cel 3 3 2 3 3 2" xfId="2848"/>
    <cellStyle name="Calc cel 3 3 2 3 4" xfId="1000"/>
    <cellStyle name="Calc cel 3 3 2 3 5" xfId="2243"/>
    <cellStyle name="Calc cel 3 3 2 4" xfId="758"/>
    <cellStyle name="Calc cel 3 3 2 4 2" xfId="1988"/>
    <cellStyle name="Calc cel 3 3 2 4 2 2" xfId="3227"/>
    <cellStyle name="Calc cel 3 3 2 4 3" xfId="1666"/>
    <cellStyle name="Calc cel 3 3 2 4 3 2" xfId="2905"/>
    <cellStyle name="Calc cel 3 3 2 4 4" xfId="1062"/>
    <cellStyle name="Calc cel 3 3 2 4 5" xfId="2305"/>
    <cellStyle name="Calc cel 3 3 2 5" xfId="583"/>
    <cellStyle name="Calc cel 3 3 2 5 2" xfId="1821"/>
    <cellStyle name="Calc cel 3 3 2 5 2 2" xfId="3060"/>
    <cellStyle name="Calc cel 3 3 2 5 3" xfId="1509"/>
    <cellStyle name="Calc cel 3 3 2 5 4" xfId="2749"/>
    <cellStyle name="Calc cel 3 3 2 6" xfId="1422"/>
    <cellStyle name="Calc cel 3 3 2 6 2" xfId="2662"/>
    <cellStyle name="Calc cel 3 3 2 7" xfId="1108"/>
    <cellStyle name="Calc cel 3 3 2 7 2" xfId="2351"/>
    <cellStyle name="Calc cel 3 3 2 8" xfId="1320"/>
    <cellStyle name="Calc cel 3 3 2 8 2" xfId="2561"/>
    <cellStyle name="Calc cel 3 3 2 9" xfId="887"/>
    <cellStyle name="Calc cel 3 3 2 9 2" xfId="3361"/>
    <cellStyle name="Calc cel 3 3 3" xfId="358"/>
    <cellStyle name="Calc cel 3 3 3 2" xfId="1746"/>
    <cellStyle name="Calc cel 3 3 3 2 2" xfId="2985"/>
    <cellStyle name="Calc cel 3 3 3 3" xfId="1348"/>
    <cellStyle name="Calc cel 3 3 3 3 2" xfId="2589"/>
    <cellStyle name="Calc cel 3 3 3 4" xfId="317"/>
    <cellStyle name="Calc cel 3 3 3 4 2" xfId="3301"/>
    <cellStyle name="Calc cel 3 3 3 5" xfId="2004"/>
    <cellStyle name="Calc cel 3 3 4" xfId="1786"/>
    <cellStyle name="Calc cel 3 3 4 2" xfId="3025"/>
    <cellStyle name="Calc cel 3 3 5" xfId="1373"/>
    <cellStyle name="Calc cel 3 3 5 2" xfId="2614"/>
    <cellStyle name="Calc cel 3 3 6" xfId="1106"/>
    <cellStyle name="Calc cel 3 3 6 2" xfId="2349"/>
    <cellStyle name="Calc cel 3 3 7" xfId="794"/>
    <cellStyle name="Calc cel 3 3 8" xfId="2042"/>
    <cellStyle name="Calc cel 3 3 9" xfId="888"/>
    <cellStyle name="Calc cel 3 4" xfId="468"/>
    <cellStyle name="Calc cel 4" xfId="250"/>
    <cellStyle name="Calc cel 4 10" xfId="391"/>
    <cellStyle name="Calc cel 4 2" xfId="402"/>
    <cellStyle name="Calc cel 4 2 2" xfId="460"/>
    <cellStyle name="Calc cel 4 2 2 2" xfId="560"/>
    <cellStyle name="Calc cel 4 2 2 2 2" xfId="1805"/>
    <cellStyle name="Calc cel 4 2 2 2 2 2" xfId="3044"/>
    <cellStyle name="Calc cel 4 2 2 2 3" xfId="1486"/>
    <cellStyle name="Calc cel 4 2 2 2 4" xfId="2726"/>
    <cellStyle name="Calc cel 4 2 2 3" xfId="1403"/>
    <cellStyle name="Calc cel 4 2 2 3 2" xfId="2643"/>
    <cellStyle name="Calc cel 4 2 2 4" xfId="1566"/>
    <cellStyle name="Calc cel 4 2 2 4 2" xfId="2806"/>
    <cellStyle name="Calc cel 4 2 2 5" xfId="1225"/>
    <cellStyle name="Calc cel 4 2 2 5 2" xfId="2466"/>
    <cellStyle name="Calc cel 4 2 2 6" xfId="864"/>
    <cellStyle name="Calc cel 4 2 2 6 2" xfId="3339"/>
    <cellStyle name="Calc cel 4 2 2 7" xfId="2108"/>
    <cellStyle name="Calc cel 4 2 3" xfId="609"/>
    <cellStyle name="Calc cel 4 2 3 2" xfId="1839"/>
    <cellStyle name="Calc cel 4 2 3 2 2" xfId="3078"/>
    <cellStyle name="Calc cel 4 2 3 3" xfId="1287"/>
    <cellStyle name="Calc cel 4 2 3 3 2" xfId="2528"/>
    <cellStyle name="Calc cel 4 2 3 4" xfId="913"/>
    <cellStyle name="Calc cel 4 2 3 5" xfId="2156"/>
    <cellStyle name="Calc cel 4 2 4" xfId="673"/>
    <cellStyle name="Calc cel 4 2 4 2" xfId="1903"/>
    <cellStyle name="Calc cel 4 2 4 2 2" xfId="3142"/>
    <cellStyle name="Calc cel 4 2 4 3" xfId="1585"/>
    <cellStyle name="Calc cel 4 2 4 3 2" xfId="2825"/>
    <cellStyle name="Calc cel 4 2 4 4" xfId="977"/>
    <cellStyle name="Calc cel 4 2 4 5" xfId="2220"/>
    <cellStyle name="Calc cel 4 2 5" xfId="735"/>
    <cellStyle name="Calc cel 4 2 5 2" xfId="1965"/>
    <cellStyle name="Calc cel 4 2 5 2 2" xfId="3204"/>
    <cellStyle name="Calc cel 4 2 5 3" xfId="1643"/>
    <cellStyle name="Calc cel 4 2 5 3 2" xfId="2882"/>
    <cellStyle name="Calc cel 4 2 5 4" xfId="1039"/>
    <cellStyle name="Calc cel 4 2 5 5" xfId="2282"/>
    <cellStyle name="Calc cel 4 2 6" xfId="540"/>
    <cellStyle name="Calc cel 4 2 6 2" xfId="1467"/>
    <cellStyle name="Calc cel 4 2 6 3" xfId="2707"/>
    <cellStyle name="Calc cel 4 2 7" xfId="1162"/>
    <cellStyle name="Calc cel 4 2 7 2" xfId="2404"/>
    <cellStyle name="Calc cel 4 2 8" xfId="841"/>
    <cellStyle name="Calc cel 4 2 8 2" xfId="3260"/>
    <cellStyle name="Calc cel 4 2 9" xfId="2085"/>
    <cellStyle name="Calc cel 4 3" xfId="379"/>
    <cellStyle name="Calc cel 4 3 10" xfId="2062"/>
    <cellStyle name="Calc cel 4 3 2" xfId="438"/>
    <cellStyle name="Calc cel 4 3 2 2" xfId="587"/>
    <cellStyle name="Calc cel 4 3 2 2 2" xfId="1512"/>
    <cellStyle name="Calc cel 4 3 2 2 3" xfId="2752"/>
    <cellStyle name="Calc cel 4 3 2 3" xfId="1716"/>
    <cellStyle name="Calc cel 4 3 2 3 2" xfId="2955"/>
    <cellStyle name="Calc cel 4 3 2 4" xfId="1265"/>
    <cellStyle name="Calc cel 4 3 2 4 2" xfId="2506"/>
    <cellStyle name="Calc cel 4 3 2 5" xfId="891"/>
    <cellStyle name="Calc cel 4 3 2 5 2" xfId="3364"/>
    <cellStyle name="Calc cel 4 3 2 6" xfId="2134"/>
    <cellStyle name="Calc cel 4 3 3" xfId="636"/>
    <cellStyle name="Calc cel 4 3 3 2" xfId="1551"/>
    <cellStyle name="Calc cel 4 3 3 2 2" xfId="1866"/>
    <cellStyle name="Calc cel 4 3 3 2 2 2" xfId="3105"/>
    <cellStyle name="Calc cel 4 3 3 2 3" xfId="2791"/>
    <cellStyle name="Calc cel 4 3 3 3" xfId="1732"/>
    <cellStyle name="Calc cel 4 3 3 3 2" xfId="2971"/>
    <cellStyle name="Calc cel 4 3 3 4" xfId="1325"/>
    <cellStyle name="Calc cel 4 3 3 4 2" xfId="2566"/>
    <cellStyle name="Calc cel 4 3 3 5" xfId="940"/>
    <cellStyle name="Calc cel 4 3 3 6" xfId="2183"/>
    <cellStyle name="Calc cel 4 3 4" xfId="700"/>
    <cellStyle name="Calc cel 4 3 4 2" xfId="1930"/>
    <cellStyle name="Calc cel 4 3 4 2 2" xfId="3169"/>
    <cellStyle name="Calc cel 4 3 4 3" xfId="1612"/>
    <cellStyle name="Calc cel 4 3 4 3 2" xfId="2852"/>
    <cellStyle name="Calc cel 4 3 4 4" xfId="1004"/>
    <cellStyle name="Calc cel 4 3 4 5" xfId="2247"/>
    <cellStyle name="Calc cel 4 3 5" xfId="761"/>
    <cellStyle name="Calc cel 4 3 5 2" xfId="1991"/>
    <cellStyle name="Calc cel 4 3 5 2 2" xfId="3230"/>
    <cellStyle name="Calc cel 4 3 5 3" xfId="1669"/>
    <cellStyle name="Calc cel 4 3 5 3 2" xfId="2908"/>
    <cellStyle name="Calc cel 4 3 5 4" xfId="1065"/>
    <cellStyle name="Calc cel 4 3 5 5" xfId="2308"/>
    <cellStyle name="Calc cel 4 3 6" xfId="517"/>
    <cellStyle name="Calc cel 4 3 6 2" xfId="1444"/>
    <cellStyle name="Calc cel 4 3 6 3" xfId="2684"/>
    <cellStyle name="Calc cel 4 3 7" xfId="1368"/>
    <cellStyle name="Calc cel 4 3 7 2" xfId="2609"/>
    <cellStyle name="Calc cel 4 3 8" xfId="1089"/>
    <cellStyle name="Calc cel 4 3 8 2" xfId="2332"/>
    <cellStyle name="Calc cel 4 3 9" xfId="818"/>
    <cellStyle name="Calc cel 4 3 9 2" xfId="3267"/>
    <cellStyle name="Calc cel 4 4" xfId="287"/>
    <cellStyle name="Calc cel 4 4 2" xfId="1254"/>
    <cellStyle name="Calc cel 4 4 2 2" xfId="1764"/>
    <cellStyle name="Calc cel 4 4 2 2 2" xfId="3003"/>
    <cellStyle name="Calc cel 4 4 2 3" xfId="2495"/>
    <cellStyle name="Calc cel 4 4 3" xfId="1723"/>
    <cellStyle name="Calc cel 4 4 3 2" xfId="2962"/>
    <cellStyle name="Calc cel 4 4 4" xfId="1115"/>
    <cellStyle name="Calc cel 4 4 4 2" xfId="2358"/>
    <cellStyle name="Calc cel 4 4 5" xfId="784"/>
    <cellStyle name="Calc cel 4 4 5 2" xfId="3245"/>
    <cellStyle name="Calc cel 4 4 6" xfId="2032"/>
    <cellStyle name="Calc cel 4 5" xfId="650"/>
    <cellStyle name="Calc cel 4 5 2" xfId="1880"/>
    <cellStyle name="Calc cel 4 5 2 2" xfId="3119"/>
    <cellStyle name="Calc cel 4 5 3" xfId="1237"/>
    <cellStyle name="Calc cel 4 5 3 2" xfId="2478"/>
    <cellStyle name="Calc cel 4 5 4" xfId="954"/>
    <cellStyle name="Calc cel 4 5 4 2" xfId="3392"/>
    <cellStyle name="Calc cel 4 5 5" xfId="2197"/>
    <cellStyle name="Calc cel 4 6" xfId="713"/>
    <cellStyle name="Calc cel 4 6 2" xfId="1943"/>
    <cellStyle name="Calc cel 4 6 2 2" xfId="3182"/>
    <cellStyle name="Calc cel 4 6 3" xfId="1625"/>
    <cellStyle name="Calc cel 4 6 3 2" xfId="2865"/>
    <cellStyle name="Calc cel 4 6 4" xfId="1017"/>
    <cellStyle name="Calc cel 4 6 5" xfId="2260"/>
    <cellStyle name="Calc cel 4 7" xfId="486"/>
    <cellStyle name="Calc cel 4 7 2" xfId="1388"/>
    <cellStyle name="Calc cel 4 7 2 2" xfId="2629"/>
    <cellStyle name="Calc cel 4 7 3" xfId="1424"/>
    <cellStyle name="Calc cel 4 7 4" xfId="2664"/>
    <cellStyle name="Calc cel 4 8" xfId="1157"/>
    <cellStyle name="Calc cel 4 8 2" xfId="2399"/>
    <cellStyle name="Calc cel 4 9" xfId="351"/>
    <cellStyle name="Calc cel 4 9 2" xfId="3304"/>
    <cellStyle name="Calc cel 5" xfId="320"/>
    <cellStyle name="Calc cel 5 2" xfId="478"/>
    <cellStyle name="Calc cel 5 2 10" xfId="2121"/>
    <cellStyle name="Calc cel 5 2 2" xfId="622"/>
    <cellStyle name="Calc cel 5 2 2 2" xfId="1852"/>
    <cellStyle name="Calc cel 5 2 2 2 2" xfId="3091"/>
    <cellStyle name="Calc cel 5 2 2 3" xfId="1693"/>
    <cellStyle name="Calc cel 5 2 2 3 2" xfId="2932"/>
    <cellStyle name="Calc cel 5 2 2 4" xfId="1537"/>
    <cellStyle name="Calc cel 5 2 2 4 2" xfId="2777"/>
    <cellStyle name="Calc cel 5 2 2 5" xfId="926"/>
    <cellStyle name="Calc cel 5 2 2 5 2" xfId="3381"/>
    <cellStyle name="Calc cel 5 2 2 6" xfId="2169"/>
    <cellStyle name="Calc cel 5 2 3" xfId="686"/>
    <cellStyle name="Calc cel 5 2 3 2" xfId="1916"/>
    <cellStyle name="Calc cel 5 2 3 2 2" xfId="3155"/>
    <cellStyle name="Calc cel 5 2 3 3" xfId="1598"/>
    <cellStyle name="Calc cel 5 2 3 3 2" xfId="2838"/>
    <cellStyle name="Calc cel 5 2 3 4" xfId="990"/>
    <cellStyle name="Calc cel 5 2 3 5" xfId="2233"/>
    <cellStyle name="Calc cel 5 2 4" xfId="748"/>
    <cellStyle name="Calc cel 5 2 4 2" xfId="1978"/>
    <cellStyle name="Calc cel 5 2 4 2 2" xfId="3217"/>
    <cellStyle name="Calc cel 5 2 4 3" xfId="1656"/>
    <cellStyle name="Calc cel 5 2 4 3 2" xfId="2895"/>
    <cellStyle name="Calc cel 5 2 4 4" xfId="1052"/>
    <cellStyle name="Calc cel 5 2 4 5" xfId="2295"/>
    <cellStyle name="Calc cel 5 2 5" xfId="573"/>
    <cellStyle name="Calc cel 5 2 5 2" xfId="1815"/>
    <cellStyle name="Calc cel 5 2 5 2 2" xfId="3054"/>
    <cellStyle name="Calc cel 5 2 5 3" xfId="1499"/>
    <cellStyle name="Calc cel 5 2 5 4" xfId="2739"/>
    <cellStyle name="Calc cel 5 2 6" xfId="1419"/>
    <cellStyle name="Calc cel 5 2 6 2" xfId="2659"/>
    <cellStyle name="Calc cel 5 2 7" xfId="1351"/>
    <cellStyle name="Calc cel 5 2 7 2" xfId="2592"/>
    <cellStyle name="Calc cel 5 2 8" xfId="1310"/>
    <cellStyle name="Calc cel 5 2 8 2" xfId="2551"/>
    <cellStyle name="Calc cel 5 2 9" xfId="877"/>
    <cellStyle name="Calc cel 5 2 9 2" xfId="3351"/>
    <cellStyle name="Calc cel 5 3" xfId="414"/>
    <cellStyle name="Calc cel 5 3 2" xfId="1760"/>
    <cellStyle name="Calc cel 5 3 2 2" xfId="2999"/>
    <cellStyle name="Calc cel 5 3 3" xfId="1376"/>
    <cellStyle name="Calc cel 5 3 3 2" xfId="2617"/>
    <cellStyle name="Calc cel 5 3 4" xfId="775"/>
    <cellStyle name="Calc cel 5 3 4 2" xfId="3252"/>
    <cellStyle name="Calc cel 5 3 5" xfId="2023"/>
    <cellStyle name="Calc cel 5 4" xfId="1768"/>
    <cellStyle name="Calc cel 5 4 2" xfId="3007"/>
    <cellStyle name="Calc cel 5 5" xfId="1367"/>
    <cellStyle name="Calc cel 5 5 2" xfId="2608"/>
    <cellStyle name="Calc cel 5 6" xfId="1190"/>
    <cellStyle name="Calc cel 5 6 2" xfId="2431"/>
    <cellStyle name="Calc cel 5 7" xfId="778"/>
    <cellStyle name="Calc cel 5 8" xfId="2026"/>
    <cellStyle name="Calc cel 5 9" xfId="422"/>
    <cellStyle name="Calc cel 6" xfId="811"/>
    <cellStyle name="Calculation" xfId="165" builtinId="22" customBuiltin="1"/>
    <cellStyle name="Check Cell" xfId="167" builtinId="23" customBuiltin="1"/>
    <cellStyle name="Comma" xfId="3405" builtinId="3"/>
    <cellStyle name="Comma 2" xfId="13"/>
    <cellStyle name="Comma 3" xfId="156"/>
    <cellStyle name="Comma 4" xfId="202"/>
    <cellStyle name="Comma 5" xfId="349"/>
    <cellStyle name="Comma 6" xfId="326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3406"/>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2 2 10" xfId="311"/>
    <cellStyle name="Input cel 2 2 2" xfId="396"/>
    <cellStyle name="Input cel 2 2 2 2" xfId="454"/>
    <cellStyle name="Input cel 2 2 2 2 2" xfId="554"/>
    <cellStyle name="Input cel 2 2 2 2 2 2" xfId="1799"/>
    <cellStyle name="Input cel 2 2 2 2 2 2 2" xfId="3038"/>
    <cellStyle name="Input cel 2 2 2 2 2 3" xfId="1480"/>
    <cellStyle name="Input cel 2 2 2 2 2 4" xfId="2720"/>
    <cellStyle name="Input cel 2 2 2 2 3" xfId="1397"/>
    <cellStyle name="Input cel 2 2 2 2 3 2" xfId="2637"/>
    <cellStyle name="Input cel 2 2 2 2 4" xfId="1166"/>
    <cellStyle name="Input cel 2 2 2 2 4 2" xfId="2408"/>
    <cellStyle name="Input cel 2 2 2 2 5" xfId="1219"/>
    <cellStyle name="Input cel 2 2 2 2 5 2" xfId="2460"/>
    <cellStyle name="Input cel 2 2 2 2 6" xfId="858"/>
    <cellStyle name="Input cel 2 2 2 2 6 2" xfId="3333"/>
    <cellStyle name="Input cel 2 2 2 2 7" xfId="2102"/>
    <cellStyle name="Input cel 2 2 2 3" xfId="603"/>
    <cellStyle name="Input cel 2 2 2 3 2" xfId="1833"/>
    <cellStyle name="Input cel 2 2 2 3 2 2" xfId="3072"/>
    <cellStyle name="Input cel 2 2 2 3 3" xfId="1281"/>
    <cellStyle name="Input cel 2 2 2 3 3 2" xfId="2522"/>
    <cellStyle name="Input cel 2 2 2 3 4" xfId="907"/>
    <cellStyle name="Input cel 2 2 2 3 5" xfId="2150"/>
    <cellStyle name="Input cel 2 2 2 4" xfId="667"/>
    <cellStyle name="Input cel 2 2 2 4 2" xfId="1897"/>
    <cellStyle name="Input cel 2 2 2 4 2 2" xfId="3136"/>
    <cellStyle name="Input cel 2 2 2 4 3" xfId="1579"/>
    <cellStyle name="Input cel 2 2 2 4 3 2" xfId="2819"/>
    <cellStyle name="Input cel 2 2 2 4 4" xfId="971"/>
    <cellStyle name="Input cel 2 2 2 4 5" xfId="2214"/>
    <cellStyle name="Input cel 2 2 2 5" xfId="729"/>
    <cellStyle name="Input cel 2 2 2 5 2" xfId="1959"/>
    <cellStyle name="Input cel 2 2 2 5 2 2" xfId="3198"/>
    <cellStyle name="Input cel 2 2 2 5 3" xfId="1637"/>
    <cellStyle name="Input cel 2 2 2 5 3 2" xfId="2876"/>
    <cellStyle name="Input cel 2 2 2 5 4" xfId="1033"/>
    <cellStyle name="Input cel 2 2 2 5 5" xfId="2276"/>
    <cellStyle name="Input cel 2 2 2 6" xfId="534"/>
    <cellStyle name="Input cel 2 2 2 6 2" xfId="1461"/>
    <cellStyle name="Input cel 2 2 2 6 3" xfId="2701"/>
    <cellStyle name="Input cel 2 2 2 7" xfId="1111"/>
    <cellStyle name="Input cel 2 2 2 7 2" xfId="2354"/>
    <cellStyle name="Input cel 2 2 2 8" xfId="835"/>
    <cellStyle name="Input cel 2 2 2 8 2" xfId="3257"/>
    <cellStyle name="Input cel 2 2 2 9" xfId="2079"/>
    <cellStyle name="Input cel 2 2 3" xfId="383"/>
    <cellStyle name="Input cel 2 2 3 10" xfId="2066"/>
    <cellStyle name="Input cel 2 2 3 2" xfId="442"/>
    <cellStyle name="Input cel 2 2 3 2 2" xfId="591"/>
    <cellStyle name="Input cel 2 2 3 2 2 2" xfId="1516"/>
    <cellStyle name="Input cel 2 2 3 2 2 3" xfId="2756"/>
    <cellStyle name="Input cel 2 2 3 2 3" xfId="1720"/>
    <cellStyle name="Input cel 2 2 3 2 3 2" xfId="2959"/>
    <cellStyle name="Input cel 2 2 3 2 4" xfId="1269"/>
    <cellStyle name="Input cel 2 2 3 2 4 2" xfId="2510"/>
    <cellStyle name="Input cel 2 2 3 2 5" xfId="895"/>
    <cellStyle name="Input cel 2 2 3 2 5 2" xfId="3368"/>
    <cellStyle name="Input cel 2 2 3 2 6" xfId="2138"/>
    <cellStyle name="Input cel 2 2 3 3" xfId="640"/>
    <cellStyle name="Input cel 2 2 3 3 2" xfId="1555"/>
    <cellStyle name="Input cel 2 2 3 3 2 2" xfId="1870"/>
    <cellStyle name="Input cel 2 2 3 3 2 2 2" xfId="3109"/>
    <cellStyle name="Input cel 2 2 3 3 2 3" xfId="2795"/>
    <cellStyle name="Input cel 2 2 3 3 3" xfId="1736"/>
    <cellStyle name="Input cel 2 2 3 3 3 2" xfId="2975"/>
    <cellStyle name="Input cel 2 2 3 3 4" xfId="1329"/>
    <cellStyle name="Input cel 2 2 3 3 4 2" xfId="2570"/>
    <cellStyle name="Input cel 2 2 3 3 5" xfId="944"/>
    <cellStyle name="Input cel 2 2 3 3 6" xfId="2187"/>
    <cellStyle name="Input cel 2 2 3 4" xfId="704"/>
    <cellStyle name="Input cel 2 2 3 4 2" xfId="1934"/>
    <cellStyle name="Input cel 2 2 3 4 2 2" xfId="3173"/>
    <cellStyle name="Input cel 2 2 3 4 3" xfId="1616"/>
    <cellStyle name="Input cel 2 2 3 4 3 2" xfId="2856"/>
    <cellStyle name="Input cel 2 2 3 4 4" xfId="1008"/>
    <cellStyle name="Input cel 2 2 3 4 5" xfId="2251"/>
    <cellStyle name="Input cel 2 2 3 5" xfId="765"/>
    <cellStyle name="Input cel 2 2 3 5 2" xfId="1995"/>
    <cellStyle name="Input cel 2 2 3 5 2 2" xfId="3234"/>
    <cellStyle name="Input cel 2 2 3 5 3" xfId="1673"/>
    <cellStyle name="Input cel 2 2 3 5 3 2" xfId="2912"/>
    <cellStyle name="Input cel 2 2 3 5 4" xfId="1069"/>
    <cellStyle name="Input cel 2 2 3 5 5" xfId="2312"/>
    <cellStyle name="Input cel 2 2 3 6" xfId="521"/>
    <cellStyle name="Input cel 2 2 3 6 2" xfId="1448"/>
    <cellStyle name="Input cel 2 2 3 6 3" xfId="2688"/>
    <cellStyle name="Input cel 2 2 3 7" xfId="1125"/>
    <cellStyle name="Input cel 2 2 3 7 2" xfId="2367"/>
    <cellStyle name="Input cel 2 2 3 8" xfId="1093"/>
    <cellStyle name="Input cel 2 2 3 8 2" xfId="2336"/>
    <cellStyle name="Input cel 2 2 3 9" xfId="822"/>
    <cellStyle name="Input cel 2 2 3 9 2" xfId="3282"/>
    <cellStyle name="Input cel 2 2 4" xfId="513"/>
    <cellStyle name="Input cel 2 2 4 2" xfId="1443"/>
    <cellStyle name="Input cel 2 2 4 2 2" xfId="1780"/>
    <cellStyle name="Input cel 2 2 4 2 2 2" xfId="3019"/>
    <cellStyle name="Input cel 2 2 4 2 3" xfId="2683"/>
    <cellStyle name="Input cel 2 2 4 3" xfId="1724"/>
    <cellStyle name="Input cel 2 2 4 3 2" xfId="2963"/>
    <cellStyle name="Input cel 2 2 4 4" xfId="1204"/>
    <cellStyle name="Input cel 2 2 4 4 2" xfId="2445"/>
    <cellStyle name="Input cel 2 2 4 5" xfId="813"/>
    <cellStyle name="Input cel 2 2 4 5 2" xfId="3259"/>
    <cellStyle name="Input cel 2 2 4 6" xfId="2057"/>
    <cellStyle name="Input cel 2 2 5" xfId="654"/>
    <cellStyle name="Input cel 2 2 5 2" xfId="1884"/>
    <cellStyle name="Input cel 2 2 5 2 2" xfId="3123"/>
    <cellStyle name="Input cel 2 2 5 3" xfId="1241"/>
    <cellStyle name="Input cel 2 2 5 3 2" xfId="2482"/>
    <cellStyle name="Input cel 2 2 5 4" xfId="958"/>
    <cellStyle name="Input cel 2 2 5 4 2" xfId="3396"/>
    <cellStyle name="Input cel 2 2 5 5" xfId="2201"/>
    <cellStyle name="Input cel 2 2 6" xfId="717"/>
    <cellStyle name="Input cel 2 2 6 2" xfId="1947"/>
    <cellStyle name="Input cel 2 2 6 2 2" xfId="3186"/>
    <cellStyle name="Input cel 2 2 6 3" xfId="1629"/>
    <cellStyle name="Input cel 2 2 6 3 2" xfId="2869"/>
    <cellStyle name="Input cel 2 2 6 4" xfId="1021"/>
    <cellStyle name="Input cel 2 2 6 5" xfId="2264"/>
    <cellStyle name="Input cel 2 2 7" xfId="288"/>
    <cellStyle name="Input cel 2 2 7 2" xfId="1692"/>
    <cellStyle name="Input cel 2 2 7 2 2" xfId="2931"/>
    <cellStyle name="Input cel 2 2 7 3" xfId="1143"/>
    <cellStyle name="Input cel 2 2 7 4" xfId="2385"/>
    <cellStyle name="Input cel 2 2 8" xfId="1525"/>
    <cellStyle name="Input cel 2 2 8 2" xfId="2765"/>
    <cellStyle name="Input cel 2 2 9" xfId="289"/>
    <cellStyle name="Input cel 2 2 9 2" xfId="3323"/>
    <cellStyle name="Input cel 2 3" xfId="268"/>
    <cellStyle name="Input cel 2 3 2" xfId="473"/>
    <cellStyle name="Input cel 2 3 2 10" xfId="2116"/>
    <cellStyle name="Input cel 2 3 2 2" xfId="617"/>
    <cellStyle name="Input cel 2 3 2 2 2" xfId="1847"/>
    <cellStyle name="Input cel 2 3 2 2 2 2" xfId="3086"/>
    <cellStyle name="Input cel 2 3 2 2 3" xfId="1126"/>
    <cellStyle name="Input cel 2 3 2 2 3 2" xfId="2368"/>
    <cellStyle name="Input cel 2 3 2 2 4" xfId="1532"/>
    <cellStyle name="Input cel 2 3 2 2 4 2" xfId="2772"/>
    <cellStyle name="Input cel 2 3 2 2 5" xfId="921"/>
    <cellStyle name="Input cel 2 3 2 2 5 2" xfId="3376"/>
    <cellStyle name="Input cel 2 3 2 2 6" xfId="2164"/>
    <cellStyle name="Input cel 2 3 2 3" xfId="681"/>
    <cellStyle name="Input cel 2 3 2 3 2" xfId="1911"/>
    <cellStyle name="Input cel 2 3 2 3 2 2" xfId="3150"/>
    <cellStyle name="Input cel 2 3 2 3 3" xfId="1593"/>
    <cellStyle name="Input cel 2 3 2 3 3 2" xfId="2833"/>
    <cellStyle name="Input cel 2 3 2 3 4" xfId="985"/>
    <cellStyle name="Input cel 2 3 2 3 5" xfId="2228"/>
    <cellStyle name="Input cel 2 3 2 4" xfId="743"/>
    <cellStyle name="Input cel 2 3 2 4 2" xfId="1973"/>
    <cellStyle name="Input cel 2 3 2 4 2 2" xfId="3212"/>
    <cellStyle name="Input cel 2 3 2 4 3" xfId="1651"/>
    <cellStyle name="Input cel 2 3 2 4 3 2" xfId="2890"/>
    <cellStyle name="Input cel 2 3 2 4 4" xfId="1047"/>
    <cellStyle name="Input cel 2 3 2 4 5" xfId="2290"/>
    <cellStyle name="Input cel 2 3 2 5" xfId="568"/>
    <cellStyle name="Input cel 2 3 2 5 2" xfId="1810"/>
    <cellStyle name="Input cel 2 3 2 5 2 2" xfId="3049"/>
    <cellStyle name="Input cel 2 3 2 5 3" xfId="1494"/>
    <cellStyle name="Input cel 2 3 2 5 4" xfId="2734"/>
    <cellStyle name="Input cel 2 3 2 6" xfId="1414"/>
    <cellStyle name="Input cel 2 3 2 6 2" xfId="2654"/>
    <cellStyle name="Input cel 2 3 2 7" xfId="1564"/>
    <cellStyle name="Input cel 2 3 2 7 2" xfId="2804"/>
    <cellStyle name="Input cel 2 3 2 8" xfId="1305"/>
    <cellStyle name="Input cel 2 3 2 8 2" xfId="2546"/>
    <cellStyle name="Input cel 2 3 2 9" xfId="872"/>
    <cellStyle name="Input cel 2 3 2 9 2" xfId="3346"/>
    <cellStyle name="Input cel 2 3 3" xfId="361"/>
    <cellStyle name="Input cel 2 3 3 2" xfId="1763"/>
    <cellStyle name="Input cel 2 3 3 2 2" xfId="3002"/>
    <cellStyle name="Input cel 2 3 3 3" xfId="1349"/>
    <cellStyle name="Input cel 2 3 3 3 2" xfId="2590"/>
    <cellStyle name="Input cel 2 3 3 4" xfId="780"/>
    <cellStyle name="Input cel 2 3 3 4 2" xfId="3251"/>
    <cellStyle name="Input cel 2 3 3 5" xfId="2028"/>
    <cellStyle name="Input cel 2 3 4" xfId="1790"/>
    <cellStyle name="Input cel 2 3 4 2" xfId="3029"/>
    <cellStyle name="Input cel 2 3 5" xfId="1214"/>
    <cellStyle name="Input cel 2 3 5 2" xfId="2455"/>
    <cellStyle name="Input cel 2 3 6" xfId="1189"/>
    <cellStyle name="Input cel 2 3 6 2" xfId="2430"/>
    <cellStyle name="Input cel 2 3 7" xfId="511"/>
    <cellStyle name="Input cel 2 3 8" xfId="2003"/>
    <cellStyle name="Input cel 2 3 9" xfId="307"/>
    <cellStyle name="Input cel 2 4" xfId="310"/>
    <cellStyle name="Input cel 3" xfId="22"/>
    <cellStyle name="Input cel 3 2" xfId="255"/>
    <cellStyle name="Input cel 3 2 10" xfId="294"/>
    <cellStyle name="Input cel 3 2 2" xfId="403"/>
    <cellStyle name="Input cel 3 2 2 2" xfId="461"/>
    <cellStyle name="Input cel 3 2 2 2 2" xfId="561"/>
    <cellStyle name="Input cel 3 2 2 2 2 2" xfId="1806"/>
    <cellStyle name="Input cel 3 2 2 2 2 2 2" xfId="3045"/>
    <cellStyle name="Input cel 3 2 2 2 2 3" xfId="1487"/>
    <cellStyle name="Input cel 3 2 2 2 2 4" xfId="2727"/>
    <cellStyle name="Input cel 3 2 2 2 3" xfId="1404"/>
    <cellStyle name="Input cel 3 2 2 2 3 2" xfId="2644"/>
    <cellStyle name="Input cel 3 2 2 2 4" xfId="1259"/>
    <cellStyle name="Input cel 3 2 2 2 4 2" xfId="2500"/>
    <cellStyle name="Input cel 3 2 2 2 5" xfId="1226"/>
    <cellStyle name="Input cel 3 2 2 2 5 2" xfId="2467"/>
    <cellStyle name="Input cel 3 2 2 2 6" xfId="865"/>
    <cellStyle name="Input cel 3 2 2 2 6 2" xfId="3340"/>
    <cellStyle name="Input cel 3 2 2 2 7" xfId="2109"/>
    <cellStyle name="Input cel 3 2 2 3" xfId="610"/>
    <cellStyle name="Input cel 3 2 2 3 2" xfId="1840"/>
    <cellStyle name="Input cel 3 2 2 3 2 2" xfId="3079"/>
    <cellStyle name="Input cel 3 2 2 3 3" xfId="1288"/>
    <cellStyle name="Input cel 3 2 2 3 3 2" xfId="2529"/>
    <cellStyle name="Input cel 3 2 2 3 4" xfId="914"/>
    <cellStyle name="Input cel 3 2 2 3 5" xfId="2157"/>
    <cellStyle name="Input cel 3 2 2 4" xfId="674"/>
    <cellStyle name="Input cel 3 2 2 4 2" xfId="1904"/>
    <cellStyle name="Input cel 3 2 2 4 2 2" xfId="3143"/>
    <cellStyle name="Input cel 3 2 2 4 3" xfId="1586"/>
    <cellStyle name="Input cel 3 2 2 4 3 2" xfId="2826"/>
    <cellStyle name="Input cel 3 2 2 4 4" xfId="978"/>
    <cellStyle name="Input cel 3 2 2 4 5" xfId="2221"/>
    <cellStyle name="Input cel 3 2 2 5" xfId="736"/>
    <cellStyle name="Input cel 3 2 2 5 2" xfId="1966"/>
    <cellStyle name="Input cel 3 2 2 5 2 2" xfId="3205"/>
    <cellStyle name="Input cel 3 2 2 5 3" xfId="1644"/>
    <cellStyle name="Input cel 3 2 2 5 3 2" xfId="2883"/>
    <cellStyle name="Input cel 3 2 2 5 4" xfId="1040"/>
    <cellStyle name="Input cel 3 2 2 5 5" xfId="2283"/>
    <cellStyle name="Input cel 3 2 2 6" xfId="541"/>
    <cellStyle name="Input cel 3 2 2 6 2" xfId="1468"/>
    <cellStyle name="Input cel 3 2 2 6 3" xfId="2708"/>
    <cellStyle name="Input cel 3 2 2 7" xfId="1161"/>
    <cellStyle name="Input cel 3 2 2 7 2" xfId="2403"/>
    <cellStyle name="Input cel 3 2 2 8" xfId="842"/>
    <cellStyle name="Input cel 3 2 2 8 2" xfId="3242"/>
    <cellStyle name="Input cel 3 2 2 9" xfId="2086"/>
    <cellStyle name="Input cel 3 2 3" xfId="384"/>
    <cellStyle name="Input cel 3 2 3 10" xfId="2067"/>
    <cellStyle name="Input cel 3 2 3 2" xfId="443"/>
    <cellStyle name="Input cel 3 2 3 2 2" xfId="592"/>
    <cellStyle name="Input cel 3 2 3 2 2 2" xfId="1517"/>
    <cellStyle name="Input cel 3 2 3 2 2 3" xfId="2757"/>
    <cellStyle name="Input cel 3 2 3 2 3" xfId="1721"/>
    <cellStyle name="Input cel 3 2 3 2 3 2" xfId="2960"/>
    <cellStyle name="Input cel 3 2 3 2 4" xfId="1270"/>
    <cellStyle name="Input cel 3 2 3 2 4 2" xfId="2511"/>
    <cellStyle name="Input cel 3 2 3 2 5" xfId="896"/>
    <cellStyle name="Input cel 3 2 3 2 5 2" xfId="3369"/>
    <cellStyle name="Input cel 3 2 3 2 6" xfId="2139"/>
    <cellStyle name="Input cel 3 2 3 3" xfId="641"/>
    <cellStyle name="Input cel 3 2 3 3 2" xfId="1556"/>
    <cellStyle name="Input cel 3 2 3 3 2 2" xfId="1871"/>
    <cellStyle name="Input cel 3 2 3 3 2 2 2" xfId="3110"/>
    <cellStyle name="Input cel 3 2 3 3 2 3" xfId="2796"/>
    <cellStyle name="Input cel 3 2 3 3 3" xfId="1737"/>
    <cellStyle name="Input cel 3 2 3 3 3 2" xfId="2976"/>
    <cellStyle name="Input cel 3 2 3 3 4" xfId="1330"/>
    <cellStyle name="Input cel 3 2 3 3 4 2" xfId="2571"/>
    <cellStyle name="Input cel 3 2 3 3 5" xfId="945"/>
    <cellStyle name="Input cel 3 2 3 3 6" xfId="2188"/>
    <cellStyle name="Input cel 3 2 3 4" xfId="705"/>
    <cellStyle name="Input cel 3 2 3 4 2" xfId="1935"/>
    <cellStyle name="Input cel 3 2 3 4 2 2" xfId="3174"/>
    <cellStyle name="Input cel 3 2 3 4 3" xfId="1617"/>
    <cellStyle name="Input cel 3 2 3 4 3 2" xfId="2857"/>
    <cellStyle name="Input cel 3 2 3 4 4" xfId="1009"/>
    <cellStyle name="Input cel 3 2 3 4 5" xfId="2252"/>
    <cellStyle name="Input cel 3 2 3 5" xfId="766"/>
    <cellStyle name="Input cel 3 2 3 5 2" xfId="1996"/>
    <cellStyle name="Input cel 3 2 3 5 2 2" xfId="3235"/>
    <cellStyle name="Input cel 3 2 3 5 3" xfId="1674"/>
    <cellStyle name="Input cel 3 2 3 5 3 2" xfId="2913"/>
    <cellStyle name="Input cel 3 2 3 5 4" xfId="1070"/>
    <cellStyle name="Input cel 3 2 3 5 5" xfId="2313"/>
    <cellStyle name="Input cel 3 2 3 6" xfId="522"/>
    <cellStyle name="Input cel 3 2 3 6 2" xfId="1449"/>
    <cellStyle name="Input cel 3 2 3 6 3" xfId="2689"/>
    <cellStyle name="Input cel 3 2 3 7" xfId="1233"/>
    <cellStyle name="Input cel 3 2 3 7 2" xfId="2474"/>
    <cellStyle name="Input cel 3 2 3 8" xfId="1094"/>
    <cellStyle name="Input cel 3 2 3 8 2" xfId="2337"/>
    <cellStyle name="Input cel 3 2 3 9" xfId="823"/>
    <cellStyle name="Input cel 3 2 3 9 2" xfId="3284"/>
    <cellStyle name="Input cel 3 2 4" xfId="505"/>
    <cellStyle name="Input cel 3 2 4 2" xfId="1436"/>
    <cellStyle name="Input cel 3 2 4 2 2" xfId="1773"/>
    <cellStyle name="Input cel 3 2 4 2 2 2" xfId="3012"/>
    <cellStyle name="Input cel 3 2 4 2 3" xfId="2676"/>
    <cellStyle name="Input cel 3 2 4 3" xfId="1303"/>
    <cellStyle name="Input cel 3 2 4 3 2" xfId="2544"/>
    <cellStyle name="Input cel 3 2 4 4" xfId="1205"/>
    <cellStyle name="Input cel 3 2 4 4 2" xfId="2446"/>
    <cellStyle name="Input cel 3 2 4 5" xfId="802"/>
    <cellStyle name="Input cel 3 2 4 5 2" xfId="3247"/>
    <cellStyle name="Input cel 3 2 4 6" xfId="2049"/>
    <cellStyle name="Input cel 3 2 5" xfId="655"/>
    <cellStyle name="Input cel 3 2 5 2" xfId="1885"/>
    <cellStyle name="Input cel 3 2 5 2 2" xfId="3124"/>
    <cellStyle name="Input cel 3 2 5 3" xfId="1242"/>
    <cellStyle name="Input cel 3 2 5 3 2" xfId="2483"/>
    <cellStyle name="Input cel 3 2 5 4" xfId="959"/>
    <cellStyle name="Input cel 3 2 5 4 2" xfId="3397"/>
    <cellStyle name="Input cel 3 2 5 5" xfId="2202"/>
    <cellStyle name="Input cel 3 2 6" xfId="718"/>
    <cellStyle name="Input cel 3 2 6 2" xfId="1948"/>
    <cellStyle name="Input cel 3 2 6 2 2" xfId="3187"/>
    <cellStyle name="Input cel 3 2 6 3" xfId="1630"/>
    <cellStyle name="Input cel 3 2 6 3 2" xfId="2870"/>
    <cellStyle name="Input cel 3 2 6 4" xfId="1022"/>
    <cellStyle name="Input cel 3 2 6 5" xfId="2265"/>
    <cellStyle name="Input cel 3 2 7" xfId="415"/>
    <cellStyle name="Input cel 3 2 7 2" xfId="1146"/>
    <cellStyle name="Input cel 3 2 7 2 2" xfId="2388"/>
    <cellStyle name="Input cel 3 2 7 3" xfId="1377"/>
    <cellStyle name="Input cel 3 2 7 4" xfId="2618"/>
    <cellStyle name="Input cel 3 2 8" xfId="1369"/>
    <cellStyle name="Input cel 3 2 8 2" xfId="2610"/>
    <cellStyle name="Input cel 3 2 9" xfId="329"/>
    <cellStyle name="Input cel 3 2 9 2" xfId="3306"/>
    <cellStyle name="Input cel 3 3" xfId="321"/>
    <cellStyle name="Input cel 3 3 2" xfId="479"/>
    <cellStyle name="Input cel 3 3 2 10" xfId="2122"/>
    <cellStyle name="Input cel 3 3 2 2" xfId="623"/>
    <cellStyle name="Input cel 3 3 2 2 2" xfId="1853"/>
    <cellStyle name="Input cel 3 3 2 2 2 2" xfId="3092"/>
    <cellStyle name="Input cel 3 3 2 2 3" xfId="1694"/>
    <cellStyle name="Input cel 3 3 2 2 3 2" xfId="2933"/>
    <cellStyle name="Input cel 3 3 2 2 4" xfId="1538"/>
    <cellStyle name="Input cel 3 3 2 2 4 2" xfId="2778"/>
    <cellStyle name="Input cel 3 3 2 2 5" xfId="927"/>
    <cellStyle name="Input cel 3 3 2 2 5 2" xfId="3382"/>
    <cellStyle name="Input cel 3 3 2 2 6" xfId="2170"/>
    <cellStyle name="Input cel 3 3 2 3" xfId="687"/>
    <cellStyle name="Input cel 3 3 2 3 2" xfId="1917"/>
    <cellStyle name="Input cel 3 3 2 3 2 2" xfId="3156"/>
    <cellStyle name="Input cel 3 3 2 3 3" xfId="1599"/>
    <cellStyle name="Input cel 3 3 2 3 3 2" xfId="2839"/>
    <cellStyle name="Input cel 3 3 2 3 4" xfId="991"/>
    <cellStyle name="Input cel 3 3 2 3 5" xfId="2234"/>
    <cellStyle name="Input cel 3 3 2 4" xfId="749"/>
    <cellStyle name="Input cel 3 3 2 4 2" xfId="1979"/>
    <cellStyle name="Input cel 3 3 2 4 2 2" xfId="3218"/>
    <cellStyle name="Input cel 3 3 2 4 3" xfId="1657"/>
    <cellStyle name="Input cel 3 3 2 4 3 2" xfId="2896"/>
    <cellStyle name="Input cel 3 3 2 4 4" xfId="1053"/>
    <cellStyle name="Input cel 3 3 2 4 5" xfId="2296"/>
    <cellStyle name="Input cel 3 3 2 5" xfId="574"/>
    <cellStyle name="Input cel 3 3 2 5 2" xfId="1816"/>
    <cellStyle name="Input cel 3 3 2 5 2 2" xfId="3055"/>
    <cellStyle name="Input cel 3 3 2 5 3" xfId="1500"/>
    <cellStyle name="Input cel 3 3 2 5 4" xfId="2740"/>
    <cellStyle name="Input cel 3 3 2 6" xfId="1420"/>
    <cellStyle name="Input cel 3 3 2 6 2" xfId="2660"/>
    <cellStyle name="Input cel 3 3 2 7" xfId="1109"/>
    <cellStyle name="Input cel 3 3 2 7 2" xfId="2352"/>
    <cellStyle name="Input cel 3 3 2 8" xfId="1311"/>
    <cellStyle name="Input cel 3 3 2 8 2" xfId="2552"/>
    <cellStyle name="Input cel 3 3 2 9" xfId="878"/>
    <cellStyle name="Input cel 3 3 2 9 2" xfId="3352"/>
    <cellStyle name="Input cel 3 3 3" xfId="278"/>
    <cellStyle name="Input cel 3 3 3 2" xfId="1758"/>
    <cellStyle name="Input cel 3 3 3 2 2" xfId="2997"/>
    <cellStyle name="Input cel 3 3 3 3" xfId="1174"/>
    <cellStyle name="Input cel 3 3 3 3 2" xfId="2416"/>
    <cellStyle name="Input cel 3 3 3 4" xfId="773"/>
    <cellStyle name="Input cel 3 3 3 4 2" xfId="3287"/>
    <cellStyle name="Input cel 3 3 3 5" xfId="2021"/>
    <cellStyle name="Input cel 3 3 4" xfId="1128"/>
    <cellStyle name="Input cel 3 3 4 2" xfId="2370"/>
    <cellStyle name="Input cel 3 3 5" xfId="1416"/>
    <cellStyle name="Input cel 3 3 5 2" xfId="2656"/>
    <cellStyle name="Input cel 3 3 6" xfId="1169"/>
    <cellStyle name="Input cel 3 3 6 2" xfId="2411"/>
    <cellStyle name="Input cel 3 3 7" xfId="779"/>
    <cellStyle name="Input cel 3 3 8" xfId="2027"/>
    <cellStyle name="Input cel 3 3 9" xfId="285"/>
    <cellStyle name="Input cel 3 4" xfId="305"/>
    <cellStyle name="Input cel 4" xfId="253"/>
    <cellStyle name="Input cel 4 10" xfId="498"/>
    <cellStyle name="Input cel 4 2" xfId="398"/>
    <cellStyle name="Input cel 4 2 2" xfId="456"/>
    <cellStyle name="Input cel 4 2 2 2" xfId="556"/>
    <cellStyle name="Input cel 4 2 2 2 2" xfId="1801"/>
    <cellStyle name="Input cel 4 2 2 2 2 2" xfId="3040"/>
    <cellStyle name="Input cel 4 2 2 2 3" xfId="1482"/>
    <cellStyle name="Input cel 4 2 2 2 4" xfId="2722"/>
    <cellStyle name="Input cel 4 2 2 3" xfId="1399"/>
    <cellStyle name="Input cel 4 2 2 3 2" xfId="2639"/>
    <cellStyle name="Input cel 4 2 2 4" xfId="1715"/>
    <cellStyle name="Input cel 4 2 2 4 2" xfId="2954"/>
    <cellStyle name="Input cel 4 2 2 5" xfId="1221"/>
    <cellStyle name="Input cel 4 2 2 5 2" xfId="2462"/>
    <cellStyle name="Input cel 4 2 2 6" xfId="860"/>
    <cellStyle name="Input cel 4 2 2 6 2" xfId="3335"/>
    <cellStyle name="Input cel 4 2 2 7" xfId="2104"/>
    <cellStyle name="Input cel 4 2 3" xfId="605"/>
    <cellStyle name="Input cel 4 2 3 2" xfId="1835"/>
    <cellStyle name="Input cel 4 2 3 2 2" xfId="3074"/>
    <cellStyle name="Input cel 4 2 3 3" xfId="1283"/>
    <cellStyle name="Input cel 4 2 3 3 2" xfId="2524"/>
    <cellStyle name="Input cel 4 2 3 4" xfId="909"/>
    <cellStyle name="Input cel 4 2 3 5" xfId="2152"/>
    <cellStyle name="Input cel 4 2 4" xfId="669"/>
    <cellStyle name="Input cel 4 2 4 2" xfId="1899"/>
    <cellStyle name="Input cel 4 2 4 2 2" xfId="3138"/>
    <cellStyle name="Input cel 4 2 4 3" xfId="1581"/>
    <cellStyle name="Input cel 4 2 4 3 2" xfId="2821"/>
    <cellStyle name="Input cel 4 2 4 4" xfId="973"/>
    <cellStyle name="Input cel 4 2 4 5" xfId="2216"/>
    <cellStyle name="Input cel 4 2 5" xfId="731"/>
    <cellStyle name="Input cel 4 2 5 2" xfId="1961"/>
    <cellStyle name="Input cel 4 2 5 2 2" xfId="3200"/>
    <cellStyle name="Input cel 4 2 5 3" xfId="1639"/>
    <cellStyle name="Input cel 4 2 5 3 2" xfId="2878"/>
    <cellStyle name="Input cel 4 2 5 4" xfId="1035"/>
    <cellStyle name="Input cel 4 2 5 5" xfId="2278"/>
    <cellStyle name="Input cel 4 2 6" xfId="536"/>
    <cellStyle name="Input cel 4 2 6 2" xfId="1463"/>
    <cellStyle name="Input cel 4 2 6 3" xfId="2703"/>
    <cellStyle name="Input cel 4 2 7" xfId="1350"/>
    <cellStyle name="Input cel 4 2 7 2" xfId="2591"/>
    <cellStyle name="Input cel 4 2 8" xfId="837"/>
    <cellStyle name="Input cel 4 2 8 2" xfId="3305"/>
    <cellStyle name="Input cel 4 2 9" xfId="2081"/>
    <cellStyle name="Input cel 4 3" xfId="382"/>
    <cellStyle name="Input cel 4 3 10" xfId="2065"/>
    <cellStyle name="Input cel 4 3 2" xfId="441"/>
    <cellStyle name="Input cel 4 3 2 2" xfId="590"/>
    <cellStyle name="Input cel 4 3 2 2 2" xfId="1515"/>
    <cellStyle name="Input cel 4 3 2 2 3" xfId="2755"/>
    <cellStyle name="Input cel 4 3 2 3" xfId="1719"/>
    <cellStyle name="Input cel 4 3 2 3 2" xfId="2958"/>
    <cellStyle name="Input cel 4 3 2 4" xfId="1268"/>
    <cellStyle name="Input cel 4 3 2 4 2" xfId="2509"/>
    <cellStyle name="Input cel 4 3 2 5" xfId="894"/>
    <cellStyle name="Input cel 4 3 2 5 2" xfId="3367"/>
    <cellStyle name="Input cel 4 3 2 6" xfId="2137"/>
    <cellStyle name="Input cel 4 3 3" xfId="639"/>
    <cellStyle name="Input cel 4 3 3 2" xfId="1554"/>
    <cellStyle name="Input cel 4 3 3 2 2" xfId="1869"/>
    <cellStyle name="Input cel 4 3 3 2 2 2" xfId="3108"/>
    <cellStyle name="Input cel 4 3 3 2 3" xfId="2794"/>
    <cellStyle name="Input cel 4 3 3 3" xfId="1735"/>
    <cellStyle name="Input cel 4 3 3 3 2" xfId="2974"/>
    <cellStyle name="Input cel 4 3 3 4" xfId="1328"/>
    <cellStyle name="Input cel 4 3 3 4 2" xfId="2569"/>
    <cellStyle name="Input cel 4 3 3 5" xfId="943"/>
    <cellStyle name="Input cel 4 3 3 6" xfId="2186"/>
    <cellStyle name="Input cel 4 3 4" xfId="703"/>
    <cellStyle name="Input cel 4 3 4 2" xfId="1933"/>
    <cellStyle name="Input cel 4 3 4 2 2" xfId="3172"/>
    <cellStyle name="Input cel 4 3 4 3" xfId="1615"/>
    <cellStyle name="Input cel 4 3 4 3 2" xfId="2855"/>
    <cellStyle name="Input cel 4 3 4 4" xfId="1007"/>
    <cellStyle name="Input cel 4 3 4 5" xfId="2250"/>
    <cellStyle name="Input cel 4 3 5" xfId="764"/>
    <cellStyle name="Input cel 4 3 5 2" xfId="1994"/>
    <cellStyle name="Input cel 4 3 5 2 2" xfId="3233"/>
    <cellStyle name="Input cel 4 3 5 3" xfId="1672"/>
    <cellStyle name="Input cel 4 3 5 3 2" xfId="2911"/>
    <cellStyle name="Input cel 4 3 5 4" xfId="1068"/>
    <cellStyle name="Input cel 4 3 5 5" xfId="2311"/>
    <cellStyle name="Input cel 4 3 6" xfId="520"/>
    <cellStyle name="Input cel 4 3 6 2" xfId="1447"/>
    <cellStyle name="Input cel 4 3 6 3" xfId="2687"/>
    <cellStyle name="Input cel 4 3 7" xfId="1127"/>
    <cellStyle name="Input cel 4 3 7 2" xfId="2369"/>
    <cellStyle name="Input cel 4 3 8" xfId="1092"/>
    <cellStyle name="Input cel 4 3 8 2" xfId="2335"/>
    <cellStyle name="Input cel 4 3 9" xfId="821"/>
    <cellStyle name="Input cel 4 3 9 2" xfId="3295"/>
    <cellStyle name="Input cel 4 4" xfId="501"/>
    <cellStyle name="Input cel 4 4 2" xfId="1432"/>
    <cellStyle name="Input cel 4 4 2 2" xfId="1770"/>
    <cellStyle name="Input cel 4 4 2 2 2" xfId="3009"/>
    <cellStyle name="Input cel 4 4 2 3" xfId="2672"/>
    <cellStyle name="Input cel 4 4 3" xfId="1711"/>
    <cellStyle name="Input cel 4 4 3 2" xfId="2950"/>
    <cellStyle name="Input cel 4 4 4" xfId="1203"/>
    <cellStyle name="Input cel 4 4 4 2" xfId="2444"/>
    <cellStyle name="Input cel 4 4 5" xfId="797"/>
    <cellStyle name="Input cel 4 4 5 2" xfId="3293"/>
    <cellStyle name="Input cel 4 4 6" xfId="2044"/>
    <cellStyle name="Input cel 4 5" xfId="653"/>
    <cellStyle name="Input cel 4 5 2" xfId="1883"/>
    <cellStyle name="Input cel 4 5 2 2" xfId="3122"/>
    <cellStyle name="Input cel 4 5 3" xfId="1240"/>
    <cellStyle name="Input cel 4 5 3 2" xfId="2481"/>
    <cellStyle name="Input cel 4 5 4" xfId="957"/>
    <cellStyle name="Input cel 4 5 4 2" xfId="3395"/>
    <cellStyle name="Input cel 4 5 5" xfId="2200"/>
    <cellStyle name="Input cel 4 6" xfId="716"/>
    <cellStyle name="Input cel 4 6 2" xfId="1946"/>
    <cellStyle name="Input cel 4 6 2 2" xfId="3185"/>
    <cellStyle name="Input cel 4 6 3" xfId="1628"/>
    <cellStyle name="Input cel 4 6 3 2" xfId="2868"/>
    <cellStyle name="Input cel 4 6 4" xfId="1020"/>
    <cellStyle name="Input cel 4 6 5" xfId="2263"/>
    <cellStyle name="Input cel 4 7" xfId="410"/>
    <cellStyle name="Input cel 4 7 2" xfId="1147"/>
    <cellStyle name="Input cel 4 7 2 2" xfId="2389"/>
    <cellStyle name="Input cel 4 7 3" xfId="1374"/>
    <cellStyle name="Input cel 4 7 4" xfId="2615"/>
    <cellStyle name="Input cel 4 8" xfId="1365"/>
    <cellStyle name="Input cel 4 8 2" xfId="2606"/>
    <cellStyle name="Input cel 4 9" xfId="318"/>
    <cellStyle name="Input cel 4 9 2" xfId="3321"/>
    <cellStyle name="Input cel 5" xfId="319"/>
    <cellStyle name="Input cel 5 2" xfId="477"/>
    <cellStyle name="Input cel 5 2 10" xfId="2120"/>
    <cellStyle name="Input cel 5 2 2" xfId="621"/>
    <cellStyle name="Input cel 5 2 2 2" xfId="1851"/>
    <cellStyle name="Input cel 5 2 2 2 2" xfId="3090"/>
    <cellStyle name="Input cel 5 2 2 3" xfId="1565"/>
    <cellStyle name="Input cel 5 2 2 3 2" xfId="2805"/>
    <cellStyle name="Input cel 5 2 2 4" xfId="1536"/>
    <cellStyle name="Input cel 5 2 2 4 2" xfId="2776"/>
    <cellStyle name="Input cel 5 2 2 5" xfId="925"/>
    <cellStyle name="Input cel 5 2 2 5 2" xfId="3380"/>
    <cellStyle name="Input cel 5 2 2 6" xfId="2168"/>
    <cellStyle name="Input cel 5 2 3" xfId="685"/>
    <cellStyle name="Input cel 5 2 3 2" xfId="1915"/>
    <cellStyle name="Input cel 5 2 3 2 2" xfId="3154"/>
    <cellStyle name="Input cel 5 2 3 3" xfId="1597"/>
    <cellStyle name="Input cel 5 2 3 3 2" xfId="2837"/>
    <cellStyle name="Input cel 5 2 3 4" xfId="989"/>
    <cellStyle name="Input cel 5 2 3 5" xfId="2232"/>
    <cellStyle name="Input cel 5 2 4" xfId="747"/>
    <cellStyle name="Input cel 5 2 4 2" xfId="1977"/>
    <cellStyle name="Input cel 5 2 4 2 2" xfId="3216"/>
    <cellStyle name="Input cel 5 2 4 3" xfId="1655"/>
    <cellStyle name="Input cel 5 2 4 3 2" xfId="2894"/>
    <cellStyle name="Input cel 5 2 4 4" xfId="1051"/>
    <cellStyle name="Input cel 5 2 4 5" xfId="2294"/>
    <cellStyle name="Input cel 5 2 5" xfId="572"/>
    <cellStyle name="Input cel 5 2 5 2" xfId="1814"/>
    <cellStyle name="Input cel 5 2 5 2 2" xfId="3053"/>
    <cellStyle name="Input cel 5 2 5 3" xfId="1498"/>
    <cellStyle name="Input cel 5 2 5 4" xfId="2738"/>
    <cellStyle name="Input cel 5 2 6" xfId="1418"/>
    <cellStyle name="Input cel 5 2 6 2" xfId="2658"/>
    <cellStyle name="Input cel 5 2 7" xfId="1212"/>
    <cellStyle name="Input cel 5 2 7 2" xfId="2453"/>
    <cellStyle name="Input cel 5 2 8" xfId="1309"/>
    <cellStyle name="Input cel 5 2 8 2" xfId="2550"/>
    <cellStyle name="Input cel 5 2 9" xfId="876"/>
    <cellStyle name="Input cel 5 2 9 2" xfId="3350"/>
    <cellStyle name="Input cel 5 3" xfId="334"/>
    <cellStyle name="Input cel 5 3 2" xfId="1774"/>
    <cellStyle name="Input cel 5 3 2 2" xfId="3013"/>
    <cellStyle name="Input cel 5 3 3" xfId="1137"/>
    <cellStyle name="Input cel 5 3 3 2" xfId="2379"/>
    <cellStyle name="Input cel 5 3 4" xfId="804"/>
    <cellStyle name="Input cel 5 3 4 2" xfId="3319"/>
    <cellStyle name="Input cel 5 3 5" xfId="2051"/>
    <cellStyle name="Input cel 5 4" xfId="1808"/>
    <cellStyle name="Input cel 5 4 2" xfId="3047"/>
    <cellStyle name="Input cel 5 5" xfId="1116"/>
    <cellStyle name="Input cel 5 5 2" xfId="2359"/>
    <cellStyle name="Input cel 5 6" xfId="1103"/>
    <cellStyle name="Input cel 5 6 2" xfId="2346"/>
    <cellStyle name="Input cel 5 7" xfId="777"/>
    <cellStyle name="Input cel 5 8" xfId="2025"/>
    <cellStyle name="Input cel 5 9" xfId="292"/>
    <cellStyle name="Input cel 6" xfId="271"/>
    <cellStyle name="Input cel new" xfId="23"/>
    <cellStyle name="Input cel new 2" xfId="24"/>
    <cellStyle name="Input cel new 2 2" xfId="213"/>
    <cellStyle name="Input cel new 2 2 2" xfId="260"/>
    <cellStyle name="Input cel new 2 2 2 2" xfId="407"/>
    <cellStyle name="Input cel new 2 2 2 2 2" xfId="465"/>
    <cellStyle name="Input cel new 2 2 2 2 2 2" xfId="565"/>
    <cellStyle name="Input cel new 2 2 2 2 2 2 2" xfId="1491"/>
    <cellStyle name="Input cel new 2 2 2 2 2 2 3" xfId="2731"/>
    <cellStyle name="Input cel new 2 2 2 2 2 3" xfId="1408"/>
    <cellStyle name="Input cel new 2 2 2 2 2 3 2" xfId="2648"/>
    <cellStyle name="Input cel new 2 2 2 2 2 4" xfId="1703"/>
    <cellStyle name="Input cel new 2 2 2 2 2 4 2" xfId="2942"/>
    <cellStyle name="Input cel new 2 2 2 2 2 5" xfId="1230"/>
    <cellStyle name="Input cel new 2 2 2 2 2 5 2" xfId="2471"/>
    <cellStyle name="Input cel new 2 2 2 2 2 6" xfId="869"/>
    <cellStyle name="Input cel new 2 2 2 2 2 6 2" xfId="3344"/>
    <cellStyle name="Input cel new 2 2 2 2 2 7" xfId="2113"/>
    <cellStyle name="Input cel new 2 2 2 2 3" xfId="614"/>
    <cellStyle name="Input cel new 2 2 2 2 3 2" xfId="1844"/>
    <cellStyle name="Input cel new 2 2 2 2 3 2 2" xfId="3083"/>
    <cellStyle name="Input cel new 2 2 2 2 3 3" xfId="1251"/>
    <cellStyle name="Input cel new 2 2 2 2 3 3 2" xfId="2492"/>
    <cellStyle name="Input cel new 2 2 2 2 3 4" xfId="1292"/>
    <cellStyle name="Input cel new 2 2 2 2 3 4 2" xfId="2533"/>
    <cellStyle name="Input cel new 2 2 2 2 3 5" xfId="918"/>
    <cellStyle name="Input cel new 2 2 2 2 3 6" xfId="2161"/>
    <cellStyle name="Input cel new 2 2 2 2 4" xfId="678"/>
    <cellStyle name="Input cel new 2 2 2 2 4 2" xfId="1908"/>
    <cellStyle name="Input cel new 2 2 2 2 4 2 2" xfId="3147"/>
    <cellStyle name="Input cel new 2 2 2 2 4 3" xfId="1590"/>
    <cellStyle name="Input cel new 2 2 2 2 4 3 2" xfId="2830"/>
    <cellStyle name="Input cel new 2 2 2 2 4 4" xfId="982"/>
    <cellStyle name="Input cel new 2 2 2 2 4 5" xfId="2225"/>
    <cellStyle name="Input cel new 2 2 2 2 5" xfId="740"/>
    <cellStyle name="Input cel new 2 2 2 2 5 2" xfId="1970"/>
    <cellStyle name="Input cel new 2 2 2 2 5 2 2" xfId="3209"/>
    <cellStyle name="Input cel new 2 2 2 2 5 3" xfId="1648"/>
    <cellStyle name="Input cel new 2 2 2 2 5 3 2" xfId="2887"/>
    <cellStyle name="Input cel new 2 2 2 2 5 4" xfId="1044"/>
    <cellStyle name="Input cel new 2 2 2 2 5 5" xfId="2287"/>
    <cellStyle name="Input cel new 2 2 2 2 6" xfId="545"/>
    <cellStyle name="Input cel new 2 2 2 2 6 2" xfId="1472"/>
    <cellStyle name="Input cel new 2 2 2 2 6 3" xfId="2712"/>
    <cellStyle name="Input cel new 2 2 2 2 7" xfId="1172"/>
    <cellStyle name="Input cel new 2 2 2 2 7 2" xfId="2414"/>
    <cellStyle name="Input cel new 2 2 2 2 8" xfId="846"/>
    <cellStyle name="Input cel new 2 2 2 2 8 2" xfId="3278"/>
    <cellStyle name="Input cel new 2 2 2 2 9" xfId="2090"/>
    <cellStyle name="Input cel new 2 2 2 3" xfId="389"/>
    <cellStyle name="Input cel new 2 2 2 3 10" xfId="2072"/>
    <cellStyle name="Input cel new 2 2 2 3 2" xfId="448"/>
    <cellStyle name="Input cel new 2 2 2 3 2 2" xfId="597"/>
    <cellStyle name="Input cel new 2 2 2 3 2 2 2" xfId="1827"/>
    <cellStyle name="Input cel new 2 2 2 3 2 2 2 2" xfId="3066"/>
    <cellStyle name="Input cel new 2 2 2 3 2 2 3" xfId="1522"/>
    <cellStyle name="Input cel new 2 2 2 3 2 2 4" xfId="2762"/>
    <cellStyle name="Input cel new 2 2 2 3 2 3" xfId="1742"/>
    <cellStyle name="Input cel new 2 2 2 3 2 3 2" xfId="2981"/>
    <cellStyle name="Input cel new 2 2 2 3 2 4" xfId="1275"/>
    <cellStyle name="Input cel new 2 2 2 3 2 4 2" xfId="2516"/>
    <cellStyle name="Input cel new 2 2 2 3 2 5" xfId="901"/>
    <cellStyle name="Input cel new 2 2 2 3 2 5 2" xfId="3374"/>
    <cellStyle name="Input cel new 2 2 2 3 2 6" xfId="2144"/>
    <cellStyle name="Input cel new 2 2 2 3 3" xfId="646"/>
    <cellStyle name="Input cel new 2 2 2 3 3 2" xfId="1561"/>
    <cellStyle name="Input cel new 2 2 2 3 3 2 2" xfId="2801"/>
    <cellStyle name="Input cel new 2 2 2 3 3 3" xfId="1876"/>
    <cellStyle name="Input cel new 2 2 2 3 3 3 2" xfId="3115"/>
    <cellStyle name="Input cel new 2 2 2 3 3 4" xfId="1335"/>
    <cellStyle name="Input cel new 2 2 2 3 3 4 2" xfId="2576"/>
    <cellStyle name="Input cel new 2 2 2 3 3 5" xfId="950"/>
    <cellStyle name="Input cel new 2 2 2 3 3 6" xfId="2193"/>
    <cellStyle name="Input cel new 2 2 2 3 4" xfId="710"/>
    <cellStyle name="Input cel new 2 2 2 3 4 2" xfId="1940"/>
    <cellStyle name="Input cel new 2 2 2 3 4 2 2" xfId="3179"/>
    <cellStyle name="Input cel new 2 2 2 3 4 3" xfId="1622"/>
    <cellStyle name="Input cel new 2 2 2 3 4 3 2" xfId="2862"/>
    <cellStyle name="Input cel new 2 2 2 3 4 4" xfId="1014"/>
    <cellStyle name="Input cel new 2 2 2 3 4 5" xfId="2257"/>
    <cellStyle name="Input cel new 2 2 2 3 5" xfId="771"/>
    <cellStyle name="Input cel new 2 2 2 3 5 2" xfId="2001"/>
    <cellStyle name="Input cel new 2 2 2 3 5 2 2" xfId="3240"/>
    <cellStyle name="Input cel new 2 2 2 3 5 3" xfId="1679"/>
    <cellStyle name="Input cel new 2 2 2 3 5 3 2" xfId="2918"/>
    <cellStyle name="Input cel new 2 2 2 3 5 4" xfId="1075"/>
    <cellStyle name="Input cel new 2 2 2 3 5 5" xfId="2318"/>
    <cellStyle name="Input cel new 2 2 2 3 6" xfId="527"/>
    <cellStyle name="Input cel new 2 2 2 3 6 2" xfId="1454"/>
    <cellStyle name="Input cel new 2 2 2 3 6 3" xfId="2694"/>
    <cellStyle name="Input cel new 2 2 2 3 7" xfId="1294"/>
    <cellStyle name="Input cel new 2 2 2 3 7 2" xfId="2535"/>
    <cellStyle name="Input cel new 2 2 2 3 8" xfId="1099"/>
    <cellStyle name="Input cel new 2 2 2 3 8 2" xfId="2342"/>
    <cellStyle name="Input cel new 2 2 2 3 9" xfId="828"/>
    <cellStyle name="Input cel new 2 2 2 3 9 2" xfId="3285"/>
    <cellStyle name="Input cel new 2 2 2 4" xfId="417"/>
    <cellStyle name="Input cel new 2 2 2 4 2" xfId="1379"/>
    <cellStyle name="Input cel new 2 2 2 4 2 2" xfId="2620"/>
    <cellStyle name="Input cel new 2 2 2 4 3" xfId="1682"/>
    <cellStyle name="Input cel new 2 2 2 4 3 2" xfId="2921"/>
    <cellStyle name="Input cel new 2 2 2 4 4" xfId="776"/>
    <cellStyle name="Input cel new 2 2 2 4 4 2" xfId="3262"/>
    <cellStyle name="Input cel new 2 2 2 4 5" xfId="2024"/>
    <cellStyle name="Input cel new 2 2 2 5" xfId="660"/>
    <cellStyle name="Input cel new 2 2 2 5 2" xfId="1572"/>
    <cellStyle name="Input cel new 2 2 2 5 2 2" xfId="1890"/>
    <cellStyle name="Input cel new 2 2 2 5 2 2 2" xfId="3129"/>
    <cellStyle name="Input cel new 2 2 2 5 2 3" xfId="2812"/>
    <cellStyle name="Input cel new 2 2 2 5 3" xfId="1322"/>
    <cellStyle name="Input cel new 2 2 2 5 3 2" xfId="2563"/>
    <cellStyle name="Input cel new 2 2 2 5 4" xfId="1210"/>
    <cellStyle name="Input cel new 2 2 2 5 4 2" xfId="2451"/>
    <cellStyle name="Input cel new 2 2 2 5 5" xfId="964"/>
    <cellStyle name="Input cel new 2 2 2 5 5 2" xfId="3402"/>
    <cellStyle name="Input cel new 2 2 2 5 6" xfId="2207"/>
    <cellStyle name="Input cel new 2 2 2 6" xfId="723"/>
    <cellStyle name="Input cel new 2 2 2 6 2" xfId="1953"/>
    <cellStyle name="Input cel new 2 2 2 6 2 2" xfId="3192"/>
    <cellStyle name="Input cel new 2 2 2 6 3" xfId="1247"/>
    <cellStyle name="Input cel new 2 2 2 6 3 2" xfId="2488"/>
    <cellStyle name="Input cel new 2 2 2 6 4" xfId="1027"/>
    <cellStyle name="Input cel new 2 2 2 6 5" xfId="2270"/>
    <cellStyle name="Input cel new 2 2 2 7" xfId="490"/>
    <cellStyle name="Input cel new 2 2 2 7 2" xfId="1687"/>
    <cellStyle name="Input cel new 2 2 2 7 2 2" xfId="2926"/>
    <cellStyle name="Input cel new 2 2 2 7 3" xfId="1427"/>
    <cellStyle name="Input cel new 2 2 2 7 4" xfId="2667"/>
    <cellStyle name="Input cel new 2 2 2 8" xfId="426"/>
    <cellStyle name="Input cel new 2 2 2 8 2" xfId="3320"/>
    <cellStyle name="Input cel new 2 2 2 9" xfId="434"/>
    <cellStyle name="Input cel new 2 2 3" xfId="336"/>
    <cellStyle name="Input cel new 2 2 3 2" xfId="482"/>
    <cellStyle name="Input cel new 2 2 3 2 2" xfId="629"/>
    <cellStyle name="Input cel new 2 2 3 2 2 2" xfId="1544"/>
    <cellStyle name="Input cel new 2 2 3 2 2 2 2" xfId="1859"/>
    <cellStyle name="Input cel new 2 2 3 2 2 2 2 2" xfId="3098"/>
    <cellStyle name="Input cel new 2 2 3 2 2 2 3" xfId="2784"/>
    <cellStyle name="Input cel new 2 2 3 2 2 3" xfId="1725"/>
    <cellStyle name="Input cel new 2 2 3 2 2 3 2" xfId="2964"/>
    <cellStyle name="Input cel new 2 2 3 2 2 4" xfId="1317"/>
    <cellStyle name="Input cel new 2 2 3 2 2 4 2" xfId="2558"/>
    <cellStyle name="Input cel new 2 2 3 2 2 5" xfId="933"/>
    <cellStyle name="Input cel new 2 2 3 2 2 5 2" xfId="3385"/>
    <cellStyle name="Input cel new 2 2 3 2 2 6" xfId="2176"/>
    <cellStyle name="Input cel new 2 2 3 2 3" xfId="693"/>
    <cellStyle name="Input cel new 2 2 3 2 3 2" xfId="1923"/>
    <cellStyle name="Input cel new 2 2 3 2 3 2 2" xfId="3162"/>
    <cellStyle name="Input cel new 2 2 3 2 3 3" xfId="1605"/>
    <cellStyle name="Input cel new 2 2 3 2 3 3 2" xfId="2845"/>
    <cellStyle name="Input cel new 2 2 3 2 3 4" xfId="997"/>
    <cellStyle name="Input cel new 2 2 3 2 3 5" xfId="2240"/>
    <cellStyle name="Input cel new 2 2 3 2 4" xfId="755"/>
    <cellStyle name="Input cel new 2 2 3 2 4 2" xfId="1985"/>
    <cellStyle name="Input cel new 2 2 3 2 4 2 2" xfId="3224"/>
    <cellStyle name="Input cel new 2 2 3 2 4 3" xfId="1663"/>
    <cellStyle name="Input cel new 2 2 3 2 4 3 2" xfId="2902"/>
    <cellStyle name="Input cel new 2 2 3 2 4 4" xfId="1059"/>
    <cellStyle name="Input cel new 2 2 3 2 4 5" xfId="2302"/>
    <cellStyle name="Input cel new 2 2 3 2 5" xfId="580"/>
    <cellStyle name="Input cel new 2 2 3 2 5 2" xfId="1819"/>
    <cellStyle name="Input cel new 2 2 3 2 5 2 2" xfId="3058"/>
    <cellStyle name="Input cel new 2 2 3 2 5 3" xfId="1506"/>
    <cellStyle name="Input cel new 2 2 3 2 5 4" xfId="2746"/>
    <cellStyle name="Input cel new 2 2 3 2 6" xfId="1527"/>
    <cellStyle name="Input cel new 2 2 3 2 6 2" xfId="2767"/>
    <cellStyle name="Input cel new 2 2 3 2 7" xfId="1150"/>
    <cellStyle name="Input cel new 2 2 3 2 7 2" xfId="2392"/>
    <cellStyle name="Input cel new 2 2 3 2 8" xfId="884"/>
    <cellStyle name="Input cel new 2 2 3 2 8 2" xfId="3358"/>
    <cellStyle name="Input cel new 2 2 3 2 9" xfId="2128"/>
    <cellStyle name="Input cel new 2 2 3 3" xfId="376"/>
    <cellStyle name="Input cel new 2 2 3 3 2" xfId="1783"/>
    <cellStyle name="Input cel new 2 2 3 3 2 2" xfId="3022"/>
    <cellStyle name="Input cel new 2 2 3 3 3" xfId="1359"/>
    <cellStyle name="Input cel new 2 2 3 3 3 2" xfId="2600"/>
    <cellStyle name="Input cel new 2 2 3 3 4" xfId="816"/>
    <cellStyle name="Input cel new 2 2 3 3 4 2" xfId="3261"/>
    <cellStyle name="Input cel new 2 2 3 3 5" xfId="2060"/>
    <cellStyle name="Input cel new 2 2 3 4" xfId="1761"/>
    <cellStyle name="Input cel new 2 2 3 4 2" xfId="3000"/>
    <cellStyle name="Input cel new 2 2 3 5" xfId="1417"/>
    <cellStyle name="Input cel new 2 2 3 5 2" xfId="2657"/>
    <cellStyle name="Input cel new 2 2 3 6" xfId="791"/>
    <cellStyle name="Input cel new 2 2 3 7" xfId="2039"/>
    <cellStyle name="Input cel new 2 2 3 8" xfId="282"/>
    <cellStyle name="Input cel new 2 2 4" xfId="1081"/>
    <cellStyle name="Input cel new 2 2 4 2" xfId="2324"/>
    <cellStyle name="Input cel new 2 2 5" xfId="297"/>
    <cellStyle name="Input cel new 2 3" xfId="257"/>
    <cellStyle name="Input cel new 2 3 2" xfId="404"/>
    <cellStyle name="Input cel new 2 3 2 2" xfId="462"/>
    <cellStyle name="Input cel new 2 3 2 2 2" xfId="562"/>
    <cellStyle name="Input cel new 2 3 2 2 2 2" xfId="1488"/>
    <cellStyle name="Input cel new 2 3 2 2 2 3" xfId="2728"/>
    <cellStyle name="Input cel new 2 3 2 2 3" xfId="1405"/>
    <cellStyle name="Input cel new 2 3 2 2 3 2" xfId="2645"/>
    <cellStyle name="Input cel new 2 3 2 2 4" xfId="1700"/>
    <cellStyle name="Input cel new 2 3 2 2 4 2" xfId="2939"/>
    <cellStyle name="Input cel new 2 3 2 2 5" xfId="1227"/>
    <cellStyle name="Input cel new 2 3 2 2 5 2" xfId="2468"/>
    <cellStyle name="Input cel new 2 3 2 2 6" xfId="866"/>
    <cellStyle name="Input cel new 2 3 2 2 6 2" xfId="3341"/>
    <cellStyle name="Input cel new 2 3 2 2 7" xfId="2110"/>
    <cellStyle name="Input cel new 2 3 2 3" xfId="611"/>
    <cellStyle name="Input cel new 2 3 2 3 2" xfId="1841"/>
    <cellStyle name="Input cel new 2 3 2 3 2 2" xfId="3080"/>
    <cellStyle name="Input cel new 2 3 2 3 3" xfId="1370"/>
    <cellStyle name="Input cel new 2 3 2 3 3 2" xfId="2611"/>
    <cellStyle name="Input cel new 2 3 2 3 4" xfId="1289"/>
    <cellStyle name="Input cel new 2 3 2 3 4 2" xfId="2530"/>
    <cellStyle name="Input cel new 2 3 2 3 5" xfId="915"/>
    <cellStyle name="Input cel new 2 3 2 3 6" xfId="2158"/>
    <cellStyle name="Input cel new 2 3 2 4" xfId="675"/>
    <cellStyle name="Input cel new 2 3 2 4 2" xfId="1905"/>
    <cellStyle name="Input cel new 2 3 2 4 2 2" xfId="3144"/>
    <cellStyle name="Input cel new 2 3 2 4 3" xfId="1587"/>
    <cellStyle name="Input cel new 2 3 2 4 3 2" xfId="2827"/>
    <cellStyle name="Input cel new 2 3 2 4 4" xfId="979"/>
    <cellStyle name="Input cel new 2 3 2 4 5" xfId="2222"/>
    <cellStyle name="Input cel new 2 3 2 5" xfId="737"/>
    <cellStyle name="Input cel new 2 3 2 5 2" xfId="1967"/>
    <cellStyle name="Input cel new 2 3 2 5 2 2" xfId="3206"/>
    <cellStyle name="Input cel new 2 3 2 5 3" xfId="1645"/>
    <cellStyle name="Input cel new 2 3 2 5 3 2" xfId="2884"/>
    <cellStyle name="Input cel new 2 3 2 5 4" xfId="1041"/>
    <cellStyle name="Input cel new 2 3 2 5 5" xfId="2284"/>
    <cellStyle name="Input cel new 2 3 2 6" xfId="542"/>
    <cellStyle name="Input cel new 2 3 2 6 2" xfId="1469"/>
    <cellStyle name="Input cel new 2 3 2 6 3" xfId="2709"/>
    <cellStyle name="Input cel new 2 3 2 7" xfId="1110"/>
    <cellStyle name="Input cel new 2 3 2 7 2" xfId="2353"/>
    <cellStyle name="Input cel new 2 3 2 8" xfId="843"/>
    <cellStyle name="Input cel new 2 3 2 8 2" xfId="3279"/>
    <cellStyle name="Input cel new 2 3 2 9" xfId="2087"/>
    <cellStyle name="Input cel new 2 3 3" xfId="386"/>
    <cellStyle name="Input cel new 2 3 3 10" xfId="2069"/>
    <cellStyle name="Input cel new 2 3 3 2" xfId="445"/>
    <cellStyle name="Input cel new 2 3 3 2 2" xfId="594"/>
    <cellStyle name="Input cel new 2 3 3 2 2 2" xfId="1824"/>
    <cellStyle name="Input cel new 2 3 3 2 2 2 2" xfId="3063"/>
    <cellStyle name="Input cel new 2 3 3 2 2 3" xfId="1519"/>
    <cellStyle name="Input cel new 2 3 3 2 2 4" xfId="2759"/>
    <cellStyle name="Input cel new 2 3 3 2 3" xfId="1739"/>
    <cellStyle name="Input cel new 2 3 3 2 3 2" xfId="2978"/>
    <cellStyle name="Input cel new 2 3 3 2 4" xfId="1272"/>
    <cellStyle name="Input cel new 2 3 3 2 4 2" xfId="2513"/>
    <cellStyle name="Input cel new 2 3 3 2 5" xfId="898"/>
    <cellStyle name="Input cel new 2 3 3 2 5 2" xfId="3371"/>
    <cellStyle name="Input cel new 2 3 3 2 6" xfId="2141"/>
    <cellStyle name="Input cel new 2 3 3 3" xfId="643"/>
    <cellStyle name="Input cel new 2 3 3 3 2" xfId="1558"/>
    <cellStyle name="Input cel new 2 3 3 3 2 2" xfId="2798"/>
    <cellStyle name="Input cel new 2 3 3 3 3" xfId="1873"/>
    <cellStyle name="Input cel new 2 3 3 3 3 2" xfId="3112"/>
    <cellStyle name="Input cel new 2 3 3 3 4" xfId="1332"/>
    <cellStyle name="Input cel new 2 3 3 3 4 2" xfId="2573"/>
    <cellStyle name="Input cel new 2 3 3 3 5" xfId="947"/>
    <cellStyle name="Input cel new 2 3 3 3 6" xfId="2190"/>
    <cellStyle name="Input cel new 2 3 3 4" xfId="707"/>
    <cellStyle name="Input cel new 2 3 3 4 2" xfId="1937"/>
    <cellStyle name="Input cel new 2 3 3 4 2 2" xfId="3176"/>
    <cellStyle name="Input cel new 2 3 3 4 3" xfId="1619"/>
    <cellStyle name="Input cel new 2 3 3 4 3 2" xfId="2859"/>
    <cellStyle name="Input cel new 2 3 3 4 4" xfId="1011"/>
    <cellStyle name="Input cel new 2 3 3 4 5" xfId="2254"/>
    <cellStyle name="Input cel new 2 3 3 5" xfId="768"/>
    <cellStyle name="Input cel new 2 3 3 5 2" xfId="1998"/>
    <cellStyle name="Input cel new 2 3 3 5 2 2" xfId="3237"/>
    <cellStyle name="Input cel new 2 3 3 5 3" xfId="1676"/>
    <cellStyle name="Input cel new 2 3 3 5 3 2" xfId="2915"/>
    <cellStyle name="Input cel new 2 3 3 5 4" xfId="1072"/>
    <cellStyle name="Input cel new 2 3 3 5 5" xfId="2315"/>
    <cellStyle name="Input cel new 2 3 3 6" xfId="524"/>
    <cellStyle name="Input cel new 2 3 3 6 2" xfId="1451"/>
    <cellStyle name="Input cel new 2 3 3 6 3" xfId="2691"/>
    <cellStyle name="Input cel new 2 3 3 7" xfId="1138"/>
    <cellStyle name="Input cel new 2 3 3 7 2" xfId="2380"/>
    <cellStyle name="Input cel new 2 3 3 8" xfId="1096"/>
    <cellStyle name="Input cel new 2 3 3 8 2" xfId="2339"/>
    <cellStyle name="Input cel new 2 3 3 9" xfId="825"/>
    <cellStyle name="Input cel new 2 3 3 9 2" xfId="3249"/>
    <cellStyle name="Input cel new 2 3 4" xfId="372"/>
    <cellStyle name="Input cel new 2 3 4 2" xfId="1356"/>
    <cellStyle name="Input cel new 2 3 4 2 2" xfId="2597"/>
    <cellStyle name="Input cel new 2 3 4 3" xfId="1302"/>
    <cellStyle name="Input cel new 2 3 4 3 2" xfId="2543"/>
    <cellStyle name="Input cel new 2 3 4 4" xfId="313"/>
    <cellStyle name="Input cel new 2 3 4 4 2" xfId="3296"/>
    <cellStyle name="Input cel new 2 3 4 5" xfId="2005"/>
    <cellStyle name="Input cel new 2 3 5" xfId="657"/>
    <cellStyle name="Input cel new 2 3 5 2" xfId="1569"/>
    <cellStyle name="Input cel new 2 3 5 2 2" xfId="1887"/>
    <cellStyle name="Input cel new 2 3 5 2 2 2" xfId="3126"/>
    <cellStyle name="Input cel new 2 3 5 2 3" xfId="2809"/>
    <cellStyle name="Input cel new 2 3 5 3" xfId="1185"/>
    <cellStyle name="Input cel new 2 3 5 3 2" xfId="2426"/>
    <cellStyle name="Input cel new 2 3 5 4" xfId="1207"/>
    <cellStyle name="Input cel new 2 3 5 4 2" xfId="2448"/>
    <cellStyle name="Input cel new 2 3 5 5" xfId="961"/>
    <cellStyle name="Input cel new 2 3 5 5 2" xfId="3399"/>
    <cellStyle name="Input cel new 2 3 5 6" xfId="2204"/>
    <cellStyle name="Input cel new 2 3 6" xfId="720"/>
    <cellStyle name="Input cel new 2 3 6 2" xfId="1950"/>
    <cellStyle name="Input cel new 2 3 6 2 2" xfId="3189"/>
    <cellStyle name="Input cel new 2 3 6 3" xfId="1244"/>
    <cellStyle name="Input cel new 2 3 6 3 2" xfId="2485"/>
    <cellStyle name="Input cel new 2 3 6 4" xfId="1024"/>
    <cellStyle name="Input cel new 2 3 6 5" xfId="2267"/>
    <cellStyle name="Input cel new 2 3 7" xfId="488"/>
    <cellStyle name="Input cel new 2 3 7 2" xfId="1363"/>
    <cellStyle name="Input cel new 2 3 7 2 2" xfId="2604"/>
    <cellStyle name="Input cel new 2 3 7 3" xfId="1426"/>
    <cellStyle name="Input cel new 2 3 7 4" xfId="2666"/>
    <cellStyle name="Input cel new 2 3 8" xfId="272"/>
    <cellStyle name="Input cel new 2 3 8 2" xfId="3313"/>
    <cellStyle name="Input cel new 2 3 9" xfId="360"/>
    <cellStyle name="Input cel new 2 4" xfId="277"/>
    <cellStyle name="Input cel new 2 4 2" xfId="476"/>
    <cellStyle name="Input cel new 2 4 2 2" xfId="620"/>
    <cellStyle name="Input cel new 2 4 2 2 2" xfId="1535"/>
    <cellStyle name="Input cel new 2 4 2 2 2 2" xfId="1850"/>
    <cellStyle name="Input cel new 2 4 2 2 2 2 2" xfId="3089"/>
    <cellStyle name="Input cel new 2 4 2 2 2 3" xfId="2775"/>
    <cellStyle name="Input cel new 2 4 2 2 3" xfId="1722"/>
    <cellStyle name="Input cel new 2 4 2 2 3 2" xfId="2961"/>
    <cellStyle name="Input cel new 2 4 2 2 4" xfId="1308"/>
    <cellStyle name="Input cel new 2 4 2 2 4 2" xfId="2549"/>
    <cellStyle name="Input cel new 2 4 2 2 5" xfId="924"/>
    <cellStyle name="Input cel new 2 4 2 2 5 2" xfId="3379"/>
    <cellStyle name="Input cel new 2 4 2 2 6" xfId="2167"/>
    <cellStyle name="Input cel new 2 4 2 3" xfId="684"/>
    <cellStyle name="Input cel new 2 4 2 3 2" xfId="1914"/>
    <cellStyle name="Input cel new 2 4 2 3 2 2" xfId="3153"/>
    <cellStyle name="Input cel new 2 4 2 3 3" xfId="1596"/>
    <cellStyle name="Input cel new 2 4 2 3 3 2" xfId="2836"/>
    <cellStyle name="Input cel new 2 4 2 3 4" xfId="988"/>
    <cellStyle name="Input cel new 2 4 2 3 5" xfId="2231"/>
    <cellStyle name="Input cel new 2 4 2 4" xfId="746"/>
    <cellStyle name="Input cel new 2 4 2 4 2" xfId="1976"/>
    <cellStyle name="Input cel new 2 4 2 4 2 2" xfId="3215"/>
    <cellStyle name="Input cel new 2 4 2 4 3" xfId="1654"/>
    <cellStyle name="Input cel new 2 4 2 4 3 2" xfId="2893"/>
    <cellStyle name="Input cel new 2 4 2 4 4" xfId="1050"/>
    <cellStyle name="Input cel new 2 4 2 4 5" xfId="2293"/>
    <cellStyle name="Input cel new 2 4 2 5" xfId="571"/>
    <cellStyle name="Input cel new 2 4 2 5 2" xfId="1813"/>
    <cellStyle name="Input cel new 2 4 2 5 2 2" xfId="3052"/>
    <cellStyle name="Input cel new 2 4 2 5 3" xfId="1497"/>
    <cellStyle name="Input cel new 2 4 2 5 4" xfId="2737"/>
    <cellStyle name="Input cel new 2 4 2 6" xfId="1387"/>
    <cellStyle name="Input cel new 2 4 2 6 2" xfId="2628"/>
    <cellStyle name="Input cel new 2 4 2 7" xfId="1153"/>
    <cellStyle name="Input cel new 2 4 2 7 2" xfId="2395"/>
    <cellStyle name="Input cel new 2 4 2 8" xfId="875"/>
    <cellStyle name="Input cel new 2 4 2 8 2" xfId="3349"/>
    <cellStyle name="Input cel new 2 4 2 9" xfId="2119"/>
    <cellStyle name="Input cel new 2 4 3" xfId="331"/>
    <cellStyle name="Input cel new 2 4 3 2" xfId="1782"/>
    <cellStyle name="Input cel new 2 4 3 2 2" xfId="3021"/>
    <cellStyle name="Input cel new 2 4 3 3" xfId="1198"/>
    <cellStyle name="Input cel new 2 4 3 3 2" xfId="2439"/>
    <cellStyle name="Input cel new 2 4 3 4" xfId="815"/>
    <cellStyle name="Input cel new 2 4 3 4 2" xfId="3255"/>
    <cellStyle name="Input cel new 2 4 3 5" xfId="2059"/>
    <cellStyle name="Input cel new 2 4 4" xfId="1747"/>
    <cellStyle name="Input cel new 2 4 4 2" xfId="2986"/>
    <cellStyle name="Input cel new 2 4 5" xfId="1632"/>
    <cellStyle name="Input cel new 2 4 5 2" xfId="2871"/>
    <cellStyle name="Input cel new 2 4 6" xfId="492"/>
    <cellStyle name="Input cel new 2 4 7" xfId="2008"/>
    <cellStyle name="Input cel new 2 4 8" xfId="497"/>
    <cellStyle name="Input cel new 2 5" xfId="785"/>
    <cellStyle name="Input cel new 2 5 2" xfId="2033"/>
    <cellStyle name="Input cel new 2 6" xfId="1078"/>
    <cellStyle name="Input cel new 2 6 2" xfId="2321"/>
    <cellStyle name="Input cel new 2 7" xfId="299"/>
    <cellStyle name="Input cel new 3" xfId="25"/>
    <cellStyle name="Input cel new 3 2" xfId="214"/>
    <cellStyle name="Input cel new 3 2 2" xfId="261"/>
    <cellStyle name="Input cel new 3 2 2 2" xfId="408"/>
    <cellStyle name="Input cel new 3 2 2 2 2" xfId="466"/>
    <cellStyle name="Input cel new 3 2 2 2 2 2" xfId="566"/>
    <cellStyle name="Input cel new 3 2 2 2 2 2 2" xfId="1492"/>
    <cellStyle name="Input cel new 3 2 2 2 2 2 3" xfId="2732"/>
    <cellStyle name="Input cel new 3 2 2 2 2 3" xfId="1409"/>
    <cellStyle name="Input cel new 3 2 2 2 2 3 2" xfId="2649"/>
    <cellStyle name="Input cel new 3 2 2 2 2 4" xfId="1704"/>
    <cellStyle name="Input cel new 3 2 2 2 2 4 2" xfId="2943"/>
    <cellStyle name="Input cel new 3 2 2 2 2 5" xfId="1231"/>
    <cellStyle name="Input cel new 3 2 2 2 2 5 2" xfId="2472"/>
    <cellStyle name="Input cel new 3 2 2 2 2 6" xfId="870"/>
    <cellStyle name="Input cel new 3 2 2 2 2 6 2" xfId="3345"/>
    <cellStyle name="Input cel new 3 2 2 2 2 7" xfId="2114"/>
    <cellStyle name="Input cel new 3 2 2 2 3" xfId="615"/>
    <cellStyle name="Input cel new 3 2 2 2 3 2" xfId="1845"/>
    <cellStyle name="Input cel new 3 2 2 2 3 2 2" xfId="3084"/>
    <cellStyle name="Input cel new 3 2 2 2 3 3" xfId="1186"/>
    <cellStyle name="Input cel new 3 2 2 2 3 3 2" xfId="2427"/>
    <cellStyle name="Input cel new 3 2 2 2 3 4" xfId="1293"/>
    <cellStyle name="Input cel new 3 2 2 2 3 4 2" xfId="2534"/>
    <cellStyle name="Input cel new 3 2 2 2 3 5" xfId="919"/>
    <cellStyle name="Input cel new 3 2 2 2 3 6" xfId="2162"/>
    <cellStyle name="Input cel new 3 2 2 2 4" xfId="679"/>
    <cellStyle name="Input cel new 3 2 2 2 4 2" xfId="1909"/>
    <cellStyle name="Input cel new 3 2 2 2 4 2 2" xfId="3148"/>
    <cellStyle name="Input cel new 3 2 2 2 4 3" xfId="1591"/>
    <cellStyle name="Input cel new 3 2 2 2 4 3 2" xfId="2831"/>
    <cellStyle name="Input cel new 3 2 2 2 4 4" xfId="983"/>
    <cellStyle name="Input cel new 3 2 2 2 4 5" xfId="2226"/>
    <cellStyle name="Input cel new 3 2 2 2 5" xfId="741"/>
    <cellStyle name="Input cel new 3 2 2 2 5 2" xfId="1971"/>
    <cellStyle name="Input cel new 3 2 2 2 5 2 2" xfId="3210"/>
    <cellStyle name="Input cel new 3 2 2 2 5 3" xfId="1649"/>
    <cellStyle name="Input cel new 3 2 2 2 5 3 2" xfId="2888"/>
    <cellStyle name="Input cel new 3 2 2 2 5 4" xfId="1045"/>
    <cellStyle name="Input cel new 3 2 2 2 5 5" xfId="2288"/>
    <cellStyle name="Input cel new 3 2 2 2 6" xfId="546"/>
    <cellStyle name="Input cel new 3 2 2 2 6 2" xfId="1473"/>
    <cellStyle name="Input cel new 3 2 2 2 6 3" xfId="2713"/>
    <cellStyle name="Input cel new 3 2 2 2 7" xfId="1119"/>
    <cellStyle name="Input cel new 3 2 2 2 7 2" xfId="2361"/>
    <cellStyle name="Input cel new 3 2 2 2 8" xfId="847"/>
    <cellStyle name="Input cel new 3 2 2 2 8 2" xfId="3256"/>
    <cellStyle name="Input cel new 3 2 2 2 9" xfId="2091"/>
    <cellStyle name="Input cel new 3 2 2 3" xfId="390"/>
    <cellStyle name="Input cel new 3 2 2 3 10" xfId="2073"/>
    <cellStyle name="Input cel new 3 2 2 3 2" xfId="449"/>
    <cellStyle name="Input cel new 3 2 2 3 2 2" xfId="598"/>
    <cellStyle name="Input cel new 3 2 2 3 2 2 2" xfId="1828"/>
    <cellStyle name="Input cel new 3 2 2 3 2 2 2 2" xfId="3067"/>
    <cellStyle name="Input cel new 3 2 2 3 2 2 3" xfId="1523"/>
    <cellStyle name="Input cel new 3 2 2 3 2 2 4" xfId="2763"/>
    <cellStyle name="Input cel new 3 2 2 3 2 3" xfId="1743"/>
    <cellStyle name="Input cel new 3 2 2 3 2 3 2" xfId="2982"/>
    <cellStyle name="Input cel new 3 2 2 3 2 4" xfId="1276"/>
    <cellStyle name="Input cel new 3 2 2 3 2 4 2" xfId="2517"/>
    <cellStyle name="Input cel new 3 2 2 3 2 5" xfId="902"/>
    <cellStyle name="Input cel new 3 2 2 3 2 5 2" xfId="3375"/>
    <cellStyle name="Input cel new 3 2 2 3 2 6" xfId="2145"/>
    <cellStyle name="Input cel new 3 2 2 3 3" xfId="647"/>
    <cellStyle name="Input cel new 3 2 2 3 3 2" xfId="1562"/>
    <cellStyle name="Input cel new 3 2 2 3 3 2 2" xfId="2802"/>
    <cellStyle name="Input cel new 3 2 2 3 3 3" xfId="1877"/>
    <cellStyle name="Input cel new 3 2 2 3 3 3 2" xfId="3116"/>
    <cellStyle name="Input cel new 3 2 2 3 3 4" xfId="1336"/>
    <cellStyle name="Input cel new 3 2 2 3 3 4 2" xfId="2577"/>
    <cellStyle name="Input cel new 3 2 2 3 3 5" xfId="951"/>
    <cellStyle name="Input cel new 3 2 2 3 3 6" xfId="2194"/>
    <cellStyle name="Input cel new 3 2 2 3 4" xfId="711"/>
    <cellStyle name="Input cel new 3 2 2 3 4 2" xfId="1941"/>
    <cellStyle name="Input cel new 3 2 2 3 4 2 2" xfId="3180"/>
    <cellStyle name="Input cel new 3 2 2 3 4 3" xfId="1623"/>
    <cellStyle name="Input cel new 3 2 2 3 4 3 2" xfId="2863"/>
    <cellStyle name="Input cel new 3 2 2 3 4 4" xfId="1015"/>
    <cellStyle name="Input cel new 3 2 2 3 4 5" xfId="2258"/>
    <cellStyle name="Input cel new 3 2 2 3 5" xfId="772"/>
    <cellStyle name="Input cel new 3 2 2 3 5 2" xfId="2002"/>
    <cellStyle name="Input cel new 3 2 2 3 5 2 2" xfId="3241"/>
    <cellStyle name="Input cel new 3 2 2 3 5 3" xfId="1680"/>
    <cellStyle name="Input cel new 3 2 2 3 5 3 2" xfId="2919"/>
    <cellStyle name="Input cel new 3 2 2 3 5 4" xfId="1076"/>
    <cellStyle name="Input cel new 3 2 2 3 5 5" xfId="2319"/>
    <cellStyle name="Input cel new 3 2 2 3 6" xfId="528"/>
    <cellStyle name="Input cel new 3 2 2 3 6 2" xfId="1455"/>
    <cellStyle name="Input cel new 3 2 2 3 6 3" xfId="2695"/>
    <cellStyle name="Input cel new 3 2 2 3 7" xfId="1299"/>
    <cellStyle name="Input cel new 3 2 2 3 7 2" xfId="2540"/>
    <cellStyle name="Input cel new 3 2 2 3 8" xfId="1100"/>
    <cellStyle name="Input cel new 3 2 2 3 8 2" xfId="2343"/>
    <cellStyle name="Input cel new 3 2 2 3 9" xfId="829"/>
    <cellStyle name="Input cel new 3 2 2 3 9 2" xfId="3277"/>
    <cellStyle name="Input cel new 3 2 2 4" xfId="413"/>
    <cellStyle name="Input cel new 3 2 2 4 2" xfId="1375"/>
    <cellStyle name="Input cel new 3 2 2 4 2 2" xfId="2616"/>
    <cellStyle name="Input cel new 3 2 2 4 3" xfId="1683"/>
    <cellStyle name="Input cel new 3 2 2 4 3 2" xfId="2922"/>
    <cellStyle name="Input cel new 3 2 2 4 4" xfId="781"/>
    <cellStyle name="Input cel new 3 2 2 4 4 2" xfId="3298"/>
    <cellStyle name="Input cel new 3 2 2 4 5" xfId="2029"/>
    <cellStyle name="Input cel new 3 2 2 5" xfId="661"/>
    <cellStyle name="Input cel new 3 2 2 5 2" xfId="1573"/>
    <cellStyle name="Input cel new 3 2 2 5 2 2" xfId="1891"/>
    <cellStyle name="Input cel new 3 2 2 5 2 2 2" xfId="3130"/>
    <cellStyle name="Input cel new 3 2 2 5 2 3" xfId="2813"/>
    <cellStyle name="Input cel new 3 2 2 5 3" xfId="1695"/>
    <cellStyle name="Input cel new 3 2 2 5 3 2" xfId="2934"/>
    <cellStyle name="Input cel new 3 2 2 5 4" xfId="1211"/>
    <cellStyle name="Input cel new 3 2 2 5 4 2" xfId="2452"/>
    <cellStyle name="Input cel new 3 2 2 5 5" xfId="965"/>
    <cellStyle name="Input cel new 3 2 2 5 5 2" xfId="3403"/>
    <cellStyle name="Input cel new 3 2 2 5 6" xfId="2208"/>
    <cellStyle name="Input cel new 3 2 2 6" xfId="724"/>
    <cellStyle name="Input cel new 3 2 2 6 2" xfId="1954"/>
    <cellStyle name="Input cel new 3 2 2 6 2 2" xfId="3193"/>
    <cellStyle name="Input cel new 3 2 2 6 3" xfId="1248"/>
    <cellStyle name="Input cel new 3 2 2 6 3 2" xfId="2489"/>
    <cellStyle name="Input cel new 3 2 2 6 4" xfId="1028"/>
    <cellStyle name="Input cel new 3 2 2 6 5" xfId="2271"/>
    <cellStyle name="Input cel new 3 2 2 7" xfId="469"/>
    <cellStyle name="Input cel new 3 2 2 7 2" xfId="1688"/>
    <cellStyle name="Input cel new 3 2 2 7 2 2" xfId="2927"/>
    <cellStyle name="Input cel new 3 2 2 7 3" xfId="1411"/>
    <cellStyle name="Input cel new 3 2 2 7 4" xfId="2651"/>
    <cellStyle name="Input cel new 3 2 2 8" xfId="300"/>
    <cellStyle name="Input cel new 3 2 2 8 2" xfId="3324"/>
    <cellStyle name="Input cel new 3 2 2 9" xfId="295"/>
    <cellStyle name="Input cel new 3 2 3" xfId="333"/>
    <cellStyle name="Input cel new 3 2 3 2" xfId="481"/>
    <cellStyle name="Input cel new 3 2 3 2 2" xfId="628"/>
    <cellStyle name="Input cel new 3 2 3 2 2 2" xfId="1543"/>
    <cellStyle name="Input cel new 3 2 3 2 2 2 2" xfId="1858"/>
    <cellStyle name="Input cel new 3 2 3 2 2 2 2 2" xfId="3097"/>
    <cellStyle name="Input cel new 3 2 3 2 2 2 3" xfId="2783"/>
    <cellStyle name="Input cel new 3 2 3 2 2 3" xfId="1684"/>
    <cellStyle name="Input cel new 3 2 3 2 2 3 2" xfId="2923"/>
    <cellStyle name="Input cel new 3 2 3 2 2 4" xfId="1316"/>
    <cellStyle name="Input cel new 3 2 3 2 2 4 2" xfId="2557"/>
    <cellStyle name="Input cel new 3 2 3 2 2 5" xfId="932"/>
    <cellStyle name="Input cel new 3 2 3 2 2 5 2" xfId="3384"/>
    <cellStyle name="Input cel new 3 2 3 2 2 6" xfId="2175"/>
    <cellStyle name="Input cel new 3 2 3 2 3" xfId="692"/>
    <cellStyle name="Input cel new 3 2 3 2 3 2" xfId="1922"/>
    <cellStyle name="Input cel new 3 2 3 2 3 2 2" xfId="3161"/>
    <cellStyle name="Input cel new 3 2 3 2 3 3" xfId="1604"/>
    <cellStyle name="Input cel new 3 2 3 2 3 3 2" xfId="2844"/>
    <cellStyle name="Input cel new 3 2 3 2 3 4" xfId="996"/>
    <cellStyle name="Input cel new 3 2 3 2 3 5" xfId="2239"/>
    <cellStyle name="Input cel new 3 2 3 2 4" xfId="754"/>
    <cellStyle name="Input cel new 3 2 3 2 4 2" xfId="1984"/>
    <cellStyle name="Input cel new 3 2 3 2 4 2 2" xfId="3223"/>
    <cellStyle name="Input cel new 3 2 3 2 4 3" xfId="1662"/>
    <cellStyle name="Input cel new 3 2 3 2 4 3 2" xfId="2901"/>
    <cellStyle name="Input cel new 3 2 3 2 4 4" xfId="1058"/>
    <cellStyle name="Input cel new 3 2 3 2 4 5" xfId="2301"/>
    <cellStyle name="Input cel new 3 2 3 2 5" xfId="579"/>
    <cellStyle name="Input cel new 3 2 3 2 5 2" xfId="1818"/>
    <cellStyle name="Input cel new 3 2 3 2 5 2 2" xfId="3057"/>
    <cellStyle name="Input cel new 3 2 3 2 5 3" xfId="1505"/>
    <cellStyle name="Input cel new 3 2 3 2 5 4" xfId="2745"/>
    <cellStyle name="Input cel new 3 2 3 2 6" xfId="1371"/>
    <cellStyle name="Input cel new 3 2 3 2 6 2" xfId="2612"/>
    <cellStyle name="Input cel new 3 2 3 2 7" xfId="1151"/>
    <cellStyle name="Input cel new 3 2 3 2 7 2" xfId="2393"/>
    <cellStyle name="Input cel new 3 2 3 2 8" xfId="883"/>
    <cellStyle name="Input cel new 3 2 3 2 8 2" xfId="3357"/>
    <cellStyle name="Input cel new 3 2 3 2 9" xfId="2127"/>
    <cellStyle name="Input cel new 3 2 3 3" xfId="377"/>
    <cellStyle name="Input cel new 3 2 3 3 2" xfId="1784"/>
    <cellStyle name="Input cel new 3 2 3 3 2 2" xfId="3023"/>
    <cellStyle name="Input cel new 3 2 3 3 3" xfId="1360"/>
    <cellStyle name="Input cel new 3 2 3 3 3 2" xfId="2601"/>
    <cellStyle name="Input cel new 3 2 3 3 4" xfId="817"/>
    <cellStyle name="Input cel new 3 2 3 3 4 2" xfId="3244"/>
    <cellStyle name="Input cel new 3 2 3 3 5" xfId="2061"/>
    <cellStyle name="Input cel new 3 2 3 4" xfId="1787"/>
    <cellStyle name="Input cel new 3 2 3 4 2" xfId="3026"/>
    <cellStyle name="Input cel new 3 2 3 5" xfId="1180"/>
    <cellStyle name="Input cel new 3 2 3 5 2" xfId="2421"/>
    <cellStyle name="Input cel new 3 2 3 6" xfId="790"/>
    <cellStyle name="Input cel new 3 2 3 7" xfId="2038"/>
    <cellStyle name="Input cel new 3 2 3 8" xfId="296"/>
    <cellStyle name="Input cel new 3 2 4" xfId="1082"/>
    <cellStyle name="Input cel new 3 2 4 2" xfId="2325"/>
    <cellStyle name="Input cel new 3 2 5" xfId="302"/>
    <cellStyle name="Input cel new 3 3" xfId="258"/>
    <cellStyle name="Input cel new 3 3 2" xfId="405"/>
    <cellStyle name="Input cel new 3 3 2 2" xfId="463"/>
    <cellStyle name="Input cel new 3 3 2 2 2" xfId="563"/>
    <cellStyle name="Input cel new 3 3 2 2 2 2" xfId="1489"/>
    <cellStyle name="Input cel new 3 3 2 2 2 3" xfId="2729"/>
    <cellStyle name="Input cel new 3 3 2 2 3" xfId="1406"/>
    <cellStyle name="Input cel new 3 3 2 2 3 2" xfId="2646"/>
    <cellStyle name="Input cel new 3 3 2 2 4" xfId="1701"/>
    <cellStyle name="Input cel new 3 3 2 2 4 2" xfId="2940"/>
    <cellStyle name="Input cel new 3 3 2 2 5" xfId="1228"/>
    <cellStyle name="Input cel new 3 3 2 2 5 2" xfId="2469"/>
    <cellStyle name="Input cel new 3 3 2 2 6" xfId="867"/>
    <cellStyle name="Input cel new 3 3 2 2 6 2" xfId="3342"/>
    <cellStyle name="Input cel new 3 3 2 2 7" xfId="2111"/>
    <cellStyle name="Input cel new 3 3 2 3" xfId="612"/>
    <cellStyle name="Input cel new 3 3 2 3 2" xfId="1842"/>
    <cellStyle name="Input cel new 3 3 2 3 2 2" xfId="3081"/>
    <cellStyle name="Input cel new 3 3 2 3 3" xfId="1528"/>
    <cellStyle name="Input cel new 3 3 2 3 3 2" xfId="2768"/>
    <cellStyle name="Input cel new 3 3 2 3 4" xfId="1290"/>
    <cellStyle name="Input cel new 3 3 2 3 4 2" xfId="2531"/>
    <cellStyle name="Input cel new 3 3 2 3 5" xfId="916"/>
    <cellStyle name="Input cel new 3 3 2 3 6" xfId="2159"/>
    <cellStyle name="Input cel new 3 3 2 4" xfId="676"/>
    <cellStyle name="Input cel new 3 3 2 4 2" xfId="1906"/>
    <cellStyle name="Input cel new 3 3 2 4 2 2" xfId="3145"/>
    <cellStyle name="Input cel new 3 3 2 4 3" xfId="1588"/>
    <cellStyle name="Input cel new 3 3 2 4 3 2" xfId="2828"/>
    <cellStyle name="Input cel new 3 3 2 4 4" xfId="980"/>
    <cellStyle name="Input cel new 3 3 2 4 5" xfId="2223"/>
    <cellStyle name="Input cel new 3 3 2 5" xfId="738"/>
    <cellStyle name="Input cel new 3 3 2 5 2" xfId="1968"/>
    <cellStyle name="Input cel new 3 3 2 5 2 2" xfId="3207"/>
    <cellStyle name="Input cel new 3 3 2 5 3" xfId="1646"/>
    <cellStyle name="Input cel new 3 3 2 5 3 2" xfId="2885"/>
    <cellStyle name="Input cel new 3 3 2 5 4" xfId="1042"/>
    <cellStyle name="Input cel new 3 3 2 5 5" xfId="2285"/>
    <cellStyle name="Input cel new 3 3 2 6" xfId="543"/>
    <cellStyle name="Input cel new 3 3 2 6 2" xfId="1470"/>
    <cellStyle name="Input cel new 3 3 2 6 3" xfId="2710"/>
    <cellStyle name="Input cel new 3 3 2 7" xfId="1155"/>
    <cellStyle name="Input cel new 3 3 2 7 2" xfId="2397"/>
    <cellStyle name="Input cel new 3 3 2 8" xfId="844"/>
    <cellStyle name="Input cel new 3 3 2 8 2" xfId="3273"/>
    <cellStyle name="Input cel new 3 3 2 9" xfId="2088"/>
    <cellStyle name="Input cel new 3 3 3" xfId="387"/>
    <cellStyle name="Input cel new 3 3 3 10" xfId="2070"/>
    <cellStyle name="Input cel new 3 3 3 2" xfId="446"/>
    <cellStyle name="Input cel new 3 3 3 2 2" xfId="595"/>
    <cellStyle name="Input cel new 3 3 3 2 2 2" xfId="1825"/>
    <cellStyle name="Input cel new 3 3 3 2 2 2 2" xfId="3064"/>
    <cellStyle name="Input cel new 3 3 3 2 2 3" xfId="1520"/>
    <cellStyle name="Input cel new 3 3 3 2 2 4" xfId="2760"/>
    <cellStyle name="Input cel new 3 3 3 2 3" xfId="1740"/>
    <cellStyle name="Input cel new 3 3 3 2 3 2" xfId="2979"/>
    <cellStyle name="Input cel new 3 3 3 2 4" xfId="1273"/>
    <cellStyle name="Input cel new 3 3 3 2 4 2" xfId="2514"/>
    <cellStyle name="Input cel new 3 3 3 2 5" xfId="899"/>
    <cellStyle name="Input cel new 3 3 3 2 5 2" xfId="3372"/>
    <cellStyle name="Input cel new 3 3 3 2 6" xfId="2142"/>
    <cellStyle name="Input cel new 3 3 3 3" xfId="644"/>
    <cellStyle name="Input cel new 3 3 3 3 2" xfId="1559"/>
    <cellStyle name="Input cel new 3 3 3 3 2 2" xfId="2799"/>
    <cellStyle name="Input cel new 3 3 3 3 3" xfId="1874"/>
    <cellStyle name="Input cel new 3 3 3 3 3 2" xfId="3113"/>
    <cellStyle name="Input cel new 3 3 3 3 4" xfId="1333"/>
    <cellStyle name="Input cel new 3 3 3 3 4 2" xfId="2574"/>
    <cellStyle name="Input cel new 3 3 3 3 5" xfId="948"/>
    <cellStyle name="Input cel new 3 3 3 3 6" xfId="2191"/>
    <cellStyle name="Input cel new 3 3 3 4" xfId="708"/>
    <cellStyle name="Input cel new 3 3 3 4 2" xfId="1938"/>
    <cellStyle name="Input cel new 3 3 3 4 2 2" xfId="3177"/>
    <cellStyle name="Input cel new 3 3 3 4 3" xfId="1620"/>
    <cellStyle name="Input cel new 3 3 3 4 3 2" xfId="2860"/>
    <cellStyle name="Input cel new 3 3 3 4 4" xfId="1012"/>
    <cellStyle name="Input cel new 3 3 3 4 5" xfId="2255"/>
    <cellStyle name="Input cel new 3 3 3 5" xfId="769"/>
    <cellStyle name="Input cel new 3 3 3 5 2" xfId="1999"/>
    <cellStyle name="Input cel new 3 3 3 5 2 2" xfId="3238"/>
    <cellStyle name="Input cel new 3 3 3 5 3" xfId="1677"/>
    <cellStyle name="Input cel new 3 3 3 5 3 2" xfId="2916"/>
    <cellStyle name="Input cel new 3 3 3 5 4" xfId="1073"/>
    <cellStyle name="Input cel new 3 3 3 5 5" xfId="2316"/>
    <cellStyle name="Input cel new 3 3 3 6" xfId="525"/>
    <cellStyle name="Input cel new 3 3 3 6 2" xfId="1452"/>
    <cellStyle name="Input cel new 3 3 3 6 3" xfId="2692"/>
    <cellStyle name="Input cel new 3 3 3 7" xfId="1154"/>
    <cellStyle name="Input cel new 3 3 3 7 2" xfId="2396"/>
    <cellStyle name="Input cel new 3 3 3 8" xfId="1097"/>
    <cellStyle name="Input cel new 3 3 3 8 2" xfId="2340"/>
    <cellStyle name="Input cel new 3 3 3 9" xfId="826"/>
    <cellStyle name="Input cel new 3 3 3 9 2" xfId="3291"/>
    <cellStyle name="Input cel new 3 3 4" xfId="502"/>
    <cellStyle name="Input cel new 3 3 4 2" xfId="1433"/>
    <cellStyle name="Input cel new 3 3 4 2 2" xfId="2673"/>
    <cellStyle name="Input cel new 3 3 4 3" xfId="1113"/>
    <cellStyle name="Input cel new 3 3 4 3 2" xfId="2356"/>
    <cellStyle name="Input cel new 3 3 4 4" xfId="798"/>
    <cellStyle name="Input cel new 3 3 4 4 2" xfId="3309"/>
    <cellStyle name="Input cel new 3 3 4 5" xfId="2045"/>
    <cellStyle name="Input cel new 3 3 5" xfId="658"/>
    <cellStyle name="Input cel new 3 3 5 2" xfId="1570"/>
    <cellStyle name="Input cel new 3 3 5 2 2" xfId="1888"/>
    <cellStyle name="Input cel new 3 3 5 2 2 2" xfId="3127"/>
    <cellStyle name="Input cel new 3 3 5 2 3" xfId="2810"/>
    <cellStyle name="Input cel new 3 3 5 3" xfId="1132"/>
    <cellStyle name="Input cel new 3 3 5 3 2" xfId="2374"/>
    <cellStyle name="Input cel new 3 3 5 4" xfId="1208"/>
    <cellStyle name="Input cel new 3 3 5 4 2" xfId="2449"/>
    <cellStyle name="Input cel new 3 3 5 5" xfId="962"/>
    <cellStyle name="Input cel new 3 3 5 5 2" xfId="3400"/>
    <cellStyle name="Input cel new 3 3 5 6" xfId="2205"/>
    <cellStyle name="Input cel new 3 3 6" xfId="721"/>
    <cellStyle name="Input cel new 3 3 6 2" xfId="1951"/>
    <cellStyle name="Input cel new 3 3 6 2 2" xfId="3190"/>
    <cellStyle name="Input cel new 3 3 6 3" xfId="1245"/>
    <cellStyle name="Input cel new 3 3 6 3 2" xfId="2486"/>
    <cellStyle name="Input cel new 3 3 6 4" xfId="1025"/>
    <cellStyle name="Input cel new 3 3 6 5" xfId="2268"/>
    <cellStyle name="Input cel new 3 3 7" xfId="470"/>
    <cellStyle name="Input cel new 3 3 7 2" xfId="1158"/>
    <cellStyle name="Input cel new 3 3 7 2 2" xfId="2400"/>
    <cellStyle name="Input cel new 3 3 7 3" xfId="1412"/>
    <cellStyle name="Input cel new 3 3 7 4" xfId="2652"/>
    <cellStyle name="Input cel new 3 3 8" xfId="335"/>
    <cellStyle name="Input cel new 3 3 8 2" xfId="3317"/>
    <cellStyle name="Input cel new 3 3 9" xfId="423"/>
    <cellStyle name="Input cel new 3 4" xfId="276"/>
    <cellStyle name="Input cel new 3 4 2" xfId="475"/>
    <cellStyle name="Input cel new 3 4 2 2" xfId="619"/>
    <cellStyle name="Input cel new 3 4 2 2 2" xfId="1534"/>
    <cellStyle name="Input cel new 3 4 2 2 2 2" xfId="1849"/>
    <cellStyle name="Input cel new 3 4 2 2 2 2 2" xfId="3088"/>
    <cellStyle name="Input cel new 3 4 2 2 2 3" xfId="2774"/>
    <cellStyle name="Input cel new 3 4 2 2 3" xfId="1524"/>
    <cellStyle name="Input cel new 3 4 2 2 3 2" xfId="2764"/>
    <cellStyle name="Input cel new 3 4 2 2 4" xfId="1307"/>
    <cellStyle name="Input cel new 3 4 2 2 4 2" xfId="2548"/>
    <cellStyle name="Input cel new 3 4 2 2 5" xfId="923"/>
    <cellStyle name="Input cel new 3 4 2 2 5 2" xfId="3378"/>
    <cellStyle name="Input cel new 3 4 2 2 6" xfId="2166"/>
    <cellStyle name="Input cel new 3 4 2 3" xfId="683"/>
    <cellStyle name="Input cel new 3 4 2 3 2" xfId="1913"/>
    <cellStyle name="Input cel new 3 4 2 3 2 2" xfId="3152"/>
    <cellStyle name="Input cel new 3 4 2 3 3" xfId="1595"/>
    <cellStyle name="Input cel new 3 4 2 3 3 2" xfId="2835"/>
    <cellStyle name="Input cel new 3 4 2 3 4" xfId="987"/>
    <cellStyle name="Input cel new 3 4 2 3 5" xfId="2230"/>
    <cellStyle name="Input cel new 3 4 2 4" xfId="745"/>
    <cellStyle name="Input cel new 3 4 2 4 2" xfId="1975"/>
    <cellStyle name="Input cel new 3 4 2 4 2 2" xfId="3214"/>
    <cellStyle name="Input cel new 3 4 2 4 3" xfId="1653"/>
    <cellStyle name="Input cel new 3 4 2 4 3 2" xfId="2892"/>
    <cellStyle name="Input cel new 3 4 2 4 4" xfId="1049"/>
    <cellStyle name="Input cel new 3 4 2 4 5" xfId="2292"/>
    <cellStyle name="Input cel new 3 4 2 5" xfId="570"/>
    <cellStyle name="Input cel new 3 4 2 5 2" xfId="1812"/>
    <cellStyle name="Input cel new 3 4 2 5 2 2" xfId="3051"/>
    <cellStyle name="Input cel new 3 4 2 5 3" xfId="1496"/>
    <cellStyle name="Input cel new 3 4 2 5 4" xfId="2736"/>
    <cellStyle name="Input cel new 3 4 2 6" xfId="1159"/>
    <cellStyle name="Input cel new 3 4 2 6 2" xfId="2401"/>
    <cellStyle name="Input cel new 3 4 2 7" xfId="1107"/>
    <cellStyle name="Input cel new 3 4 2 7 2" xfId="2350"/>
    <cellStyle name="Input cel new 3 4 2 8" xfId="874"/>
    <cellStyle name="Input cel new 3 4 2 8 2" xfId="3348"/>
    <cellStyle name="Input cel new 3 4 2 9" xfId="2118"/>
    <cellStyle name="Input cel new 3 4 3" xfId="354"/>
    <cellStyle name="Input cel new 3 4 3 2" xfId="1766"/>
    <cellStyle name="Input cel new 3 4 3 2 2" xfId="3005"/>
    <cellStyle name="Input cel new 3 4 3 3" xfId="1346"/>
    <cellStyle name="Input cel new 3 4 3 3 2" xfId="2587"/>
    <cellStyle name="Input cel new 3 4 3 4" xfId="788"/>
    <cellStyle name="Input cel new 3 4 3 4 2" xfId="3271"/>
    <cellStyle name="Input cel new 3 4 3 5" xfId="2036"/>
    <cellStyle name="Input cel new 3 4 4" xfId="1771"/>
    <cellStyle name="Input cel new 3 4 4 2" xfId="3010"/>
    <cellStyle name="Input cel new 3 4 5" xfId="1392"/>
    <cellStyle name="Input cel new 3 4 5 2" xfId="2632"/>
    <cellStyle name="Input cel new 3 4 6" xfId="306"/>
    <cellStyle name="Input cel new 3 4 7" xfId="2007"/>
    <cellStyle name="Input cel new 3 4 8" xfId="437"/>
    <cellStyle name="Input cel new 3 5" xfId="850"/>
    <cellStyle name="Input cel new 3 5 2" xfId="2094"/>
    <cellStyle name="Input cel new 3 6" xfId="1079"/>
    <cellStyle name="Input cel new 3 6 2" xfId="2322"/>
    <cellStyle name="Input cel new 3 7" xfId="298"/>
    <cellStyle name="Input cel new 4" xfId="212"/>
    <cellStyle name="Input cel new 4 2" xfId="259"/>
    <cellStyle name="Input cel new 4 2 2" xfId="406"/>
    <cellStyle name="Input cel new 4 2 2 2" xfId="464"/>
    <cellStyle name="Input cel new 4 2 2 2 2" xfId="564"/>
    <cellStyle name="Input cel new 4 2 2 2 2 2" xfId="1490"/>
    <cellStyle name="Input cel new 4 2 2 2 2 3" xfId="2730"/>
    <cellStyle name="Input cel new 4 2 2 2 3" xfId="1407"/>
    <cellStyle name="Input cel new 4 2 2 2 3 2" xfId="2647"/>
    <cellStyle name="Input cel new 4 2 2 2 4" xfId="1702"/>
    <cellStyle name="Input cel new 4 2 2 2 4 2" xfId="2941"/>
    <cellStyle name="Input cel new 4 2 2 2 5" xfId="1229"/>
    <cellStyle name="Input cel new 4 2 2 2 5 2" xfId="2470"/>
    <cellStyle name="Input cel new 4 2 2 2 6" xfId="868"/>
    <cellStyle name="Input cel new 4 2 2 2 6 2" xfId="3343"/>
    <cellStyle name="Input cel new 4 2 2 2 7" xfId="2112"/>
    <cellStyle name="Input cel new 4 2 2 3" xfId="613"/>
    <cellStyle name="Input cel new 4 2 2 3 2" xfId="1843"/>
    <cellStyle name="Input cel new 4 2 2 3 2 2" xfId="3082"/>
    <cellStyle name="Input cel new 4 2 2 3 3" xfId="1134"/>
    <cellStyle name="Input cel new 4 2 2 3 3 2" xfId="2376"/>
    <cellStyle name="Input cel new 4 2 2 3 4" xfId="1291"/>
    <cellStyle name="Input cel new 4 2 2 3 4 2" xfId="2532"/>
    <cellStyle name="Input cel new 4 2 2 3 5" xfId="917"/>
    <cellStyle name="Input cel new 4 2 2 3 6" xfId="2160"/>
    <cellStyle name="Input cel new 4 2 2 4" xfId="677"/>
    <cellStyle name="Input cel new 4 2 2 4 2" xfId="1907"/>
    <cellStyle name="Input cel new 4 2 2 4 2 2" xfId="3146"/>
    <cellStyle name="Input cel new 4 2 2 4 3" xfId="1589"/>
    <cellStyle name="Input cel new 4 2 2 4 3 2" xfId="2829"/>
    <cellStyle name="Input cel new 4 2 2 4 4" xfId="981"/>
    <cellStyle name="Input cel new 4 2 2 4 5" xfId="2224"/>
    <cellStyle name="Input cel new 4 2 2 5" xfId="739"/>
    <cellStyle name="Input cel new 4 2 2 5 2" xfId="1969"/>
    <cellStyle name="Input cel new 4 2 2 5 2 2" xfId="3208"/>
    <cellStyle name="Input cel new 4 2 2 5 3" xfId="1647"/>
    <cellStyle name="Input cel new 4 2 2 5 3 2" xfId="2886"/>
    <cellStyle name="Input cel new 4 2 2 5 4" xfId="1043"/>
    <cellStyle name="Input cel new 4 2 2 5 5" xfId="2286"/>
    <cellStyle name="Input cel new 4 2 2 6" xfId="544"/>
    <cellStyle name="Input cel new 4 2 2 6 2" xfId="1471"/>
    <cellStyle name="Input cel new 4 2 2 6 3" xfId="2711"/>
    <cellStyle name="Input cel new 4 2 2 7" xfId="1183"/>
    <cellStyle name="Input cel new 4 2 2 7 2" xfId="2424"/>
    <cellStyle name="Input cel new 4 2 2 8" xfId="845"/>
    <cellStyle name="Input cel new 4 2 2 8 2" xfId="3272"/>
    <cellStyle name="Input cel new 4 2 2 9" xfId="2089"/>
    <cellStyle name="Input cel new 4 2 3" xfId="388"/>
    <cellStyle name="Input cel new 4 2 3 10" xfId="2071"/>
    <cellStyle name="Input cel new 4 2 3 2" xfId="447"/>
    <cellStyle name="Input cel new 4 2 3 2 2" xfId="596"/>
    <cellStyle name="Input cel new 4 2 3 2 2 2" xfId="1826"/>
    <cellStyle name="Input cel new 4 2 3 2 2 2 2" xfId="3065"/>
    <cellStyle name="Input cel new 4 2 3 2 2 3" xfId="1521"/>
    <cellStyle name="Input cel new 4 2 3 2 2 4" xfId="2761"/>
    <cellStyle name="Input cel new 4 2 3 2 3" xfId="1741"/>
    <cellStyle name="Input cel new 4 2 3 2 3 2" xfId="2980"/>
    <cellStyle name="Input cel new 4 2 3 2 4" xfId="1274"/>
    <cellStyle name="Input cel new 4 2 3 2 4 2" xfId="2515"/>
    <cellStyle name="Input cel new 4 2 3 2 5" xfId="900"/>
    <cellStyle name="Input cel new 4 2 3 2 5 2" xfId="3373"/>
    <cellStyle name="Input cel new 4 2 3 2 6" xfId="2143"/>
    <cellStyle name="Input cel new 4 2 3 3" xfId="645"/>
    <cellStyle name="Input cel new 4 2 3 3 2" xfId="1560"/>
    <cellStyle name="Input cel new 4 2 3 3 2 2" xfId="2800"/>
    <cellStyle name="Input cel new 4 2 3 3 3" xfId="1875"/>
    <cellStyle name="Input cel new 4 2 3 3 3 2" xfId="3114"/>
    <cellStyle name="Input cel new 4 2 3 3 4" xfId="1334"/>
    <cellStyle name="Input cel new 4 2 3 3 4 2" xfId="2575"/>
    <cellStyle name="Input cel new 4 2 3 3 5" xfId="949"/>
    <cellStyle name="Input cel new 4 2 3 3 6" xfId="2192"/>
    <cellStyle name="Input cel new 4 2 3 4" xfId="709"/>
    <cellStyle name="Input cel new 4 2 3 4 2" xfId="1939"/>
    <cellStyle name="Input cel new 4 2 3 4 2 2" xfId="3178"/>
    <cellStyle name="Input cel new 4 2 3 4 3" xfId="1621"/>
    <cellStyle name="Input cel new 4 2 3 4 3 2" xfId="2861"/>
    <cellStyle name="Input cel new 4 2 3 4 4" xfId="1013"/>
    <cellStyle name="Input cel new 4 2 3 4 5" xfId="2256"/>
    <cellStyle name="Input cel new 4 2 3 5" xfId="770"/>
    <cellStyle name="Input cel new 4 2 3 5 2" xfId="2000"/>
    <cellStyle name="Input cel new 4 2 3 5 2 2" xfId="3239"/>
    <cellStyle name="Input cel new 4 2 3 5 3" xfId="1678"/>
    <cellStyle name="Input cel new 4 2 3 5 3 2" xfId="2917"/>
    <cellStyle name="Input cel new 4 2 3 5 4" xfId="1074"/>
    <cellStyle name="Input cel new 4 2 3 5 5" xfId="2317"/>
    <cellStyle name="Input cel new 4 2 3 6" xfId="526"/>
    <cellStyle name="Input cel new 4 2 3 6 2" xfId="1453"/>
    <cellStyle name="Input cel new 4 2 3 6 3" xfId="2693"/>
    <cellStyle name="Input cel new 4 2 3 7" xfId="1124"/>
    <cellStyle name="Input cel new 4 2 3 7 2" xfId="2366"/>
    <cellStyle name="Input cel new 4 2 3 8" xfId="1098"/>
    <cellStyle name="Input cel new 4 2 3 8 2" xfId="2341"/>
    <cellStyle name="Input cel new 4 2 3 9" xfId="827"/>
    <cellStyle name="Input cel new 4 2 3 9 2" xfId="3288"/>
    <cellStyle name="Input cel new 4 2 4" xfId="504"/>
    <cellStyle name="Input cel new 4 2 4 2" xfId="1435"/>
    <cellStyle name="Input cel new 4 2 4 2 2" xfId="2675"/>
    <cellStyle name="Input cel new 4 2 4 3" xfId="1681"/>
    <cellStyle name="Input cel new 4 2 4 3 2" xfId="2920"/>
    <cellStyle name="Input cel new 4 2 4 4" xfId="801"/>
    <cellStyle name="Input cel new 4 2 4 4 2" xfId="3299"/>
    <cellStyle name="Input cel new 4 2 4 5" xfId="2048"/>
    <cellStyle name="Input cel new 4 2 5" xfId="659"/>
    <cellStyle name="Input cel new 4 2 5 2" xfId="1571"/>
    <cellStyle name="Input cel new 4 2 5 2 2" xfId="1889"/>
    <cellStyle name="Input cel new 4 2 5 2 2 2" xfId="3128"/>
    <cellStyle name="Input cel new 4 2 5 2 3" xfId="2811"/>
    <cellStyle name="Input cel new 4 2 5 3" xfId="1337"/>
    <cellStyle name="Input cel new 4 2 5 3 2" xfId="2578"/>
    <cellStyle name="Input cel new 4 2 5 4" xfId="1209"/>
    <cellStyle name="Input cel new 4 2 5 4 2" xfId="2450"/>
    <cellStyle name="Input cel new 4 2 5 5" xfId="963"/>
    <cellStyle name="Input cel new 4 2 5 5 2" xfId="3401"/>
    <cellStyle name="Input cel new 4 2 5 6" xfId="2206"/>
    <cellStyle name="Input cel new 4 2 6" xfId="722"/>
    <cellStyle name="Input cel new 4 2 6 2" xfId="1952"/>
    <cellStyle name="Input cel new 4 2 6 2 2" xfId="3191"/>
    <cellStyle name="Input cel new 4 2 6 3" xfId="1246"/>
    <cellStyle name="Input cel new 4 2 6 3 2" xfId="2487"/>
    <cellStyle name="Input cel new 4 2 6 4" xfId="1026"/>
    <cellStyle name="Input cel new 4 2 6 5" xfId="2269"/>
    <cellStyle name="Input cel new 4 2 7" xfId="314"/>
    <cellStyle name="Input cel new 4 2 7 2" xfId="1296"/>
    <cellStyle name="Input cel new 4 2 7 2 2" xfId="2537"/>
    <cellStyle name="Input cel new 4 2 7 3" xfId="1122"/>
    <cellStyle name="Input cel new 4 2 7 4" xfId="2364"/>
    <cellStyle name="Input cel new 4 2 8" xfId="316"/>
    <cellStyle name="Input cel new 4 2 8 2" xfId="3248"/>
    <cellStyle name="Input cel new 4 2 9" xfId="514"/>
    <cellStyle name="Input cel new 4 3" xfId="337"/>
    <cellStyle name="Input cel new 4 3 2" xfId="483"/>
    <cellStyle name="Input cel new 4 3 2 2" xfId="630"/>
    <cellStyle name="Input cel new 4 3 2 2 2" xfId="1545"/>
    <cellStyle name="Input cel new 4 3 2 2 2 2" xfId="1860"/>
    <cellStyle name="Input cel new 4 3 2 2 2 2 2" xfId="3099"/>
    <cellStyle name="Input cel new 4 3 2 2 2 3" xfId="2785"/>
    <cellStyle name="Input cel new 4 3 2 2 3" xfId="1726"/>
    <cellStyle name="Input cel new 4 3 2 2 3 2" xfId="2965"/>
    <cellStyle name="Input cel new 4 3 2 2 4" xfId="1318"/>
    <cellStyle name="Input cel new 4 3 2 2 4 2" xfId="2559"/>
    <cellStyle name="Input cel new 4 3 2 2 5" xfId="934"/>
    <cellStyle name="Input cel new 4 3 2 2 5 2" xfId="3386"/>
    <cellStyle name="Input cel new 4 3 2 2 6" xfId="2177"/>
    <cellStyle name="Input cel new 4 3 2 3" xfId="694"/>
    <cellStyle name="Input cel new 4 3 2 3 2" xfId="1924"/>
    <cellStyle name="Input cel new 4 3 2 3 2 2" xfId="3163"/>
    <cellStyle name="Input cel new 4 3 2 3 3" xfId="1606"/>
    <cellStyle name="Input cel new 4 3 2 3 3 2" xfId="2846"/>
    <cellStyle name="Input cel new 4 3 2 3 4" xfId="998"/>
    <cellStyle name="Input cel new 4 3 2 3 5" xfId="2241"/>
    <cellStyle name="Input cel new 4 3 2 4" xfId="756"/>
    <cellStyle name="Input cel new 4 3 2 4 2" xfId="1986"/>
    <cellStyle name="Input cel new 4 3 2 4 2 2" xfId="3225"/>
    <cellStyle name="Input cel new 4 3 2 4 3" xfId="1664"/>
    <cellStyle name="Input cel new 4 3 2 4 3 2" xfId="2903"/>
    <cellStyle name="Input cel new 4 3 2 4 4" xfId="1060"/>
    <cellStyle name="Input cel new 4 3 2 4 5" xfId="2303"/>
    <cellStyle name="Input cel new 4 3 2 5" xfId="581"/>
    <cellStyle name="Input cel new 4 3 2 5 2" xfId="1820"/>
    <cellStyle name="Input cel new 4 3 2 5 2 2" xfId="3059"/>
    <cellStyle name="Input cel new 4 3 2 5 3" xfId="1507"/>
    <cellStyle name="Input cel new 4 3 2 5 4" xfId="2747"/>
    <cellStyle name="Input cel new 4 3 2 6" xfId="1121"/>
    <cellStyle name="Input cel new 4 3 2 6 2" xfId="2363"/>
    <cellStyle name="Input cel new 4 3 2 7" xfId="1193"/>
    <cellStyle name="Input cel new 4 3 2 7 2" xfId="2434"/>
    <cellStyle name="Input cel new 4 3 2 8" xfId="885"/>
    <cellStyle name="Input cel new 4 3 2 8 2" xfId="3359"/>
    <cellStyle name="Input cel new 4 3 2 9" xfId="2129"/>
    <cellStyle name="Input cel new 4 3 3" xfId="375"/>
    <cellStyle name="Input cel new 4 3 3 2" xfId="1781"/>
    <cellStyle name="Input cel new 4 3 3 2 2" xfId="3020"/>
    <cellStyle name="Input cel new 4 3 3 3" xfId="1358"/>
    <cellStyle name="Input cel new 4 3 3 3 2" xfId="2599"/>
    <cellStyle name="Input cel new 4 3 3 4" xfId="814"/>
    <cellStyle name="Input cel new 4 3 3 4 2" xfId="3294"/>
    <cellStyle name="Input cel new 4 3 3 5" xfId="2058"/>
    <cellStyle name="Input cel new 4 3 4" xfId="1767"/>
    <cellStyle name="Input cel new 4 3 4 2" xfId="3006"/>
    <cellStyle name="Input cel new 4 3 5" xfId="1182"/>
    <cellStyle name="Input cel new 4 3 5 2" xfId="2423"/>
    <cellStyle name="Input cel new 4 3 6" xfId="792"/>
    <cellStyle name="Input cel new 4 3 7" xfId="2040"/>
    <cellStyle name="Input cel new 4 3 8" xfId="359"/>
    <cellStyle name="Input cel new 4 4" xfId="1080"/>
    <cellStyle name="Input cel new 4 4 2" xfId="2323"/>
    <cellStyle name="Input cel new 4 5" xfId="366"/>
    <cellStyle name="Input cel new 5" xfId="256"/>
    <cellStyle name="Input cel new 5 2" xfId="394"/>
    <cellStyle name="Input cel new 5 2 2" xfId="452"/>
    <cellStyle name="Input cel new 5 2 2 2" xfId="552"/>
    <cellStyle name="Input cel new 5 2 2 2 2" xfId="1478"/>
    <cellStyle name="Input cel new 5 2 2 2 3" xfId="2718"/>
    <cellStyle name="Input cel new 5 2 2 3" xfId="1395"/>
    <cellStyle name="Input cel new 5 2 2 3 2" xfId="2635"/>
    <cellStyle name="Input cel new 5 2 2 4" xfId="1699"/>
    <cellStyle name="Input cel new 5 2 2 4 2" xfId="2938"/>
    <cellStyle name="Input cel new 5 2 2 5" xfId="1217"/>
    <cellStyle name="Input cel new 5 2 2 5 2" xfId="2458"/>
    <cellStyle name="Input cel new 5 2 2 6" xfId="856"/>
    <cellStyle name="Input cel new 5 2 2 6 2" xfId="3331"/>
    <cellStyle name="Input cel new 5 2 2 7" xfId="2100"/>
    <cellStyle name="Input cel new 5 2 3" xfId="601"/>
    <cellStyle name="Input cel new 5 2 3 2" xfId="1831"/>
    <cellStyle name="Input cel new 5 2 3 2 2" xfId="3070"/>
    <cellStyle name="Input cel new 5 2 3 3" xfId="1714"/>
    <cellStyle name="Input cel new 5 2 3 3 2" xfId="2953"/>
    <cellStyle name="Input cel new 5 2 3 4" xfId="1279"/>
    <cellStyle name="Input cel new 5 2 3 4 2" xfId="2520"/>
    <cellStyle name="Input cel new 5 2 3 5" xfId="905"/>
    <cellStyle name="Input cel new 5 2 3 6" xfId="2148"/>
    <cellStyle name="Input cel new 5 2 4" xfId="665"/>
    <cellStyle name="Input cel new 5 2 4 2" xfId="1895"/>
    <cellStyle name="Input cel new 5 2 4 2 2" xfId="3134"/>
    <cellStyle name="Input cel new 5 2 4 3" xfId="1577"/>
    <cellStyle name="Input cel new 5 2 4 3 2" xfId="2817"/>
    <cellStyle name="Input cel new 5 2 4 4" xfId="969"/>
    <cellStyle name="Input cel new 5 2 4 5" xfId="2212"/>
    <cellStyle name="Input cel new 5 2 5" xfId="727"/>
    <cellStyle name="Input cel new 5 2 5 2" xfId="1957"/>
    <cellStyle name="Input cel new 5 2 5 2 2" xfId="3196"/>
    <cellStyle name="Input cel new 5 2 5 3" xfId="1635"/>
    <cellStyle name="Input cel new 5 2 5 3 2" xfId="2874"/>
    <cellStyle name="Input cel new 5 2 5 4" xfId="1031"/>
    <cellStyle name="Input cel new 5 2 5 5" xfId="2274"/>
    <cellStyle name="Input cel new 5 2 6" xfId="532"/>
    <cellStyle name="Input cel new 5 2 6 2" xfId="1459"/>
    <cellStyle name="Input cel new 5 2 6 3" xfId="2699"/>
    <cellStyle name="Input cel new 5 2 7" xfId="1175"/>
    <cellStyle name="Input cel new 5 2 7 2" xfId="2417"/>
    <cellStyle name="Input cel new 5 2 8" xfId="833"/>
    <cellStyle name="Input cel new 5 2 8 2" xfId="3280"/>
    <cellStyle name="Input cel new 5 2 9" xfId="2077"/>
    <cellStyle name="Input cel new 5 3" xfId="385"/>
    <cellStyle name="Input cel new 5 3 10" xfId="2068"/>
    <cellStyle name="Input cel new 5 3 2" xfId="444"/>
    <cellStyle name="Input cel new 5 3 2 2" xfId="593"/>
    <cellStyle name="Input cel new 5 3 2 2 2" xfId="1823"/>
    <cellStyle name="Input cel new 5 3 2 2 2 2" xfId="3062"/>
    <cellStyle name="Input cel new 5 3 2 2 3" xfId="1518"/>
    <cellStyle name="Input cel new 5 3 2 2 4" xfId="2758"/>
    <cellStyle name="Input cel new 5 3 2 3" xfId="1738"/>
    <cellStyle name="Input cel new 5 3 2 3 2" xfId="2977"/>
    <cellStyle name="Input cel new 5 3 2 4" xfId="1271"/>
    <cellStyle name="Input cel new 5 3 2 4 2" xfId="2512"/>
    <cellStyle name="Input cel new 5 3 2 5" xfId="897"/>
    <cellStyle name="Input cel new 5 3 2 5 2" xfId="3370"/>
    <cellStyle name="Input cel new 5 3 2 6" xfId="2140"/>
    <cellStyle name="Input cel new 5 3 3" xfId="642"/>
    <cellStyle name="Input cel new 5 3 3 2" xfId="1557"/>
    <cellStyle name="Input cel new 5 3 3 2 2" xfId="2797"/>
    <cellStyle name="Input cel new 5 3 3 3" xfId="1872"/>
    <cellStyle name="Input cel new 5 3 3 3 2" xfId="3111"/>
    <cellStyle name="Input cel new 5 3 3 4" xfId="1331"/>
    <cellStyle name="Input cel new 5 3 3 4 2" xfId="2572"/>
    <cellStyle name="Input cel new 5 3 3 5" xfId="946"/>
    <cellStyle name="Input cel new 5 3 3 6" xfId="2189"/>
    <cellStyle name="Input cel new 5 3 4" xfId="706"/>
    <cellStyle name="Input cel new 5 3 4 2" xfId="1936"/>
    <cellStyle name="Input cel new 5 3 4 2 2" xfId="3175"/>
    <cellStyle name="Input cel new 5 3 4 3" xfId="1618"/>
    <cellStyle name="Input cel new 5 3 4 3 2" xfId="2858"/>
    <cellStyle name="Input cel new 5 3 4 4" xfId="1010"/>
    <cellStyle name="Input cel new 5 3 4 5" xfId="2253"/>
    <cellStyle name="Input cel new 5 3 5" xfId="767"/>
    <cellStyle name="Input cel new 5 3 5 2" xfId="1997"/>
    <cellStyle name="Input cel new 5 3 5 2 2" xfId="3236"/>
    <cellStyle name="Input cel new 5 3 5 3" xfId="1675"/>
    <cellStyle name="Input cel new 5 3 5 3 2" xfId="2914"/>
    <cellStyle name="Input cel new 5 3 5 4" xfId="1071"/>
    <cellStyle name="Input cel new 5 3 5 5" xfId="2314"/>
    <cellStyle name="Input cel new 5 3 6" xfId="523"/>
    <cellStyle name="Input cel new 5 3 6 2" xfId="1450"/>
    <cellStyle name="Input cel new 5 3 6 3" xfId="2690"/>
    <cellStyle name="Input cel new 5 3 7" xfId="1197"/>
    <cellStyle name="Input cel new 5 3 7 2" xfId="2438"/>
    <cellStyle name="Input cel new 5 3 8" xfId="1095"/>
    <cellStyle name="Input cel new 5 3 8 2" xfId="2338"/>
    <cellStyle name="Input cel new 5 3 9" xfId="824"/>
    <cellStyle name="Input cel new 5 3 9 2" xfId="3286"/>
    <cellStyle name="Input cel new 5 4" xfId="506"/>
    <cellStyle name="Input cel new 5 4 2" xfId="1437"/>
    <cellStyle name="Input cel new 5 4 2 2" xfId="2677"/>
    <cellStyle name="Input cel new 5 4 3" xfId="1249"/>
    <cellStyle name="Input cel new 5 4 3 2" xfId="2490"/>
    <cellStyle name="Input cel new 5 4 4" xfId="803"/>
    <cellStyle name="Input cel new 5 4 4 2" xfId="3325"/>
    <cellStyle name="Input cel new 5 4 5" xfId="2050"/>
    <cellStyle name="Input cel new 5 5" xfId="656"/>
    <cellStyle name="Input cel new 5 5 2" xfId="1568"/>
    <cellStyle name="Input cel new 5 5 2 2" xfId="1886"/>
    <cellStyle name="Input cel new 5 5 2 2 2" xfId="3125"/>
    <cellStyle name="Input cel new 5 5 2 3" xfId="2808"/>
    <cellStyle name="Input cel new 5 5 3" xfId="1696"/>
    <cellStyle name="Input cel new 5 5 3 2" xfId="2935"/>
    <cellStyle name="Input cel new 5 5 4" xfId="1206"/>
    <cellStyle name="Input cel new 5 5 4 2" xfId="2447"/>
    <cellStyle name="Input cel new 5 5 5" xfId="960"/>
    <cellStyle name="Input cel new 5 5 5 2" xfId="3398"/>
    <cellStyle name="Input cel new 5 5 6" xfId="2203"/>
    <cellStyle name="Input cel new 5 6" xfId="719"/>
    <cellStyle name="Input cel new 5 6 2" xfId="1949"/>
    <cellStyle name="Input cel new 5 6 2 2" xfId="3188"/>
    <cellStyle name="Input cel new 5 6 3" xfId="1243"/>
    <cellStyle name="Input cel new 5 6 3 2" xfId="2484"/>
    <cellStyle name="Input cel new 5 6 4" xfId="1023"/>
    <cellStyle name="Input cel new 5 6 5" xfId="2266"/>
    <cellStyle name="Input cel new 5 7" xfId="284"/>
    <cellStyle name="Input cel new 5 7 2" xfId="1130"/>
    <cellStyle name="Input cel new 5 7 2 2" xfId="2372"/>
    <cellStyle name="Input cel new 5 7 3" xfId="1140"/>
    <cellStyle name="Input cel new 5 7 4" xfId="2382"/>
    <cellStyle name="Input cel new 5 8" xfId="420"/>
    <cellStyle name="Input cel new 5 8 2" xfId="3300"/>
    <cellStyle name="Input cel new 5 9" xfId="339"/>
    <cellStyle name="Input cel new 6" xfId="325"/>
    <cellStyle name="Input cel new 6 2" xfId="480"/>
    <cellStyle name="Input cel new 6 2 2" xfId="624"/>
    <cellStyle name="Input cel new 6 2 2 2" xfId="1539"/>
    <cellStyle name="Input cel new 6 2 2 2 2" xfId="1854"/>
    <cellStyle name="Input cel new 6 2 2 2 2 2" xfId="3093"/>
    <cellStyle name="Input cel new 6 2 2 2 3" xfId="2779"/>
    <cellStyle name="Input cel new 6 2 2 3" xfId="1691"/>
    <cellStyle name="Input cel new 6 2 2 3 2" xfId="2930"/>
    <cellStyle name="Input cel new 6 2 2 4" xfId="1312"/>
    <cellStyle name="Input cel new 6 2 2 4 2" xfId="2553"/>
    <cellStyle name="Input cel new 6 2 2 5" xfId="928"/>
    <cellStyle name="Input cel new 6 2 2 5 2" xfId="3383"/>
    <cellStyle name="Input cel new 6 2 2 6" xfId="2171"/>
    <cellStyle name="Input cel new 6 2 3" xfId="688"/>
    <cellStyle name="Input cel new 6 2 3 2" xfId="1918"/>
    <cellStyle name="Input cel new 6 2 3 2 2" xfId="3157"/>
    <cellStyle name="Input cel new 6 2 3 3" xfId="1600"/>
    <cellStyle name="Input cel new 6 2 3 3 2" xfId="2840"/>
    <cellStyle name="Input cel new 6 2 3 4" xfId="992"/>
    <cellStyle name="Input cel new 6 2 3 5" xfId="2235"/>
    <cellStyle name="Input cel new 6 2 4" xfId="750"/>
    <cellStyle name="Input cel new 6 2 4 2" xfId="1980"/>
    <cellStyle name="Input cel new 6 2 4 2 2" xfId="3219"/>
    <cellStyle name="Input cel new 6 2 4 3" xfId="1658"/>
    <cellStyle name="Input cel new 6 2 4 3 2" xfId="2897"/>
    <cellStyle name="Input cel new 6 2 4 4" xfId="1054"/>
    <cellStyle name="Input cel new 6 2 4 5" xfId="2297"/>
    <cellStyle name="Input cel new 6 2 5" xfId="575"/>
    <cellStyle name="Input cel new 6 2 5 2" xfId="1817"/>
    <cellStyle name="Input cel new 6 2 5 2 2" xfId="3056"/>
    <cellStyle name="Input cel new 6 2 5 3" xfId="1501"/>
    <cellStyle name="Input cel new 6 2 5 4" xfId="2741"/>
    <cellStyle name="Input cel new 6 2 6" xfId="1321"/>
    <cellStyle name="Input cel new 6 2 6 2" xfId="2562"/>
    <cellStyle name="Input cel new 6 2 7" xfId="1171"/>
    <cellStyle name="Input cel new 6 2 7 2" xfId="2413"/>
    <cellStyle name="Input cel new 6 2 8" xfId="879"/>
    <cellStyle name="Input cel new 6 2 8 2" xfId="3353"/>
    <cellStyle name="Input cel new 6 2 9" xfId="2123"/>
    <cellStyle name="Input cel new 6 3" xfId="371"/>
    <cellStyle name="Input cel new 6 3 2" xfId="1791"/>
    <cellStyle name="Input cel new 6 3 2 2" xfId="3030"/>
    <cellStyle name="Input cel new 6 3 3" xfId="1355"/>
    <cellStyle name="Input cel new 6 3 3 2" xfId="2596"/>
    <cellStyle name="Input cel new 6 3 4" xfId="848"/>
    <cellStyle name="Input cel new 6 3 4 2" xfId="3326"/>
    <cellStyle name="Input cel new 6 3 5" xfId="2092"/>
    <cellStyle name="Input cel new 6 4" xfId="1263"/>
    <cellStyle name="Input cel new 6 4 2" xfId="2504"/>
    <cellStyle name="Input cel new 6 5" xfId="1165"/>
    <cellStyle name="Input cel new 6 5 2" xfId="2407"/>
    <cellStyle name="Input cel new 6 6" xfId="782"/>
    <cellStyle name="Input cel new 6 7" xfId="2030"/>
    <cellStyle name="Input cel new 6 8" xfId="489"/>
    <cellStyle name="Input cel new 7" xfId="308"/>
    <cellStyle name="Input cel new 7 2" xfId="2017"/>
    <cellStyle name="Input cel new 8" xfId="1077"/>
    <cellStyle name="Input cel new 8 2" xfId="2320"/>
    <cellStyle name="Input cel new 9" xfId="291"/>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eutral 3" xfId="274"/>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3 3" xfId="369"/>
    <cellStyle name="Normal 14" xfId="197"/>
    <cellStyle name="Normal 15" xfId="218"/>
    <cellStyle name="Normal 15 2" xfId="1631"/>
    <cellStyle name="Normal 15 3" xfId="1176"/>
    <cellStyle name="Normal 16" xfId="219"/>
    <cellStyle name="Normal 16 2" xfId="1391"/>
    <cellStyle name="Normal 16 3" xfId="1118"/>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Numbers (0.00) 2 10" xfId="495"/>
    <cellStyle name="Normal GHG Numbers (0.00) 2 2" xfId="397"/>
    <cellStyle name="Normal GHG Numbers (0.00) 2 2 2" xfId="455"/>
    <cellStyle name="Normal GHG Numbers (0.00) 2 2 2 2" xfId="555"/>
    <cellStyle name="Normal GHG Numbers (0.00) 2 2 2 2 2" xfId="1800"/>
    <cellStyle name="Normal GHG Numbers (0.00) 2 2 2 2 2 2" xfId="3039"/>
    <cellStyle name="Normal GHG Numbers (0.00) 2 2 2 2 3" xfId="1481"/>
    <cellStyle name="Normal GHG Numbers (0.00) 2 2 2 2 4" xfId="2721"/>
    <cellStyle name="Normal GHG Numbers (0.00) 2 2 2 3" xfId="1398"/>
    <cellStyle name="Normal GHG Numbers (0.00) 2 2 2 3 2" xfId="2638"/>
    <cellStyle name="Normal GHG Numbers (0.00) 2 2 2 4" xfId="1383"/>
    <cellStyle name="Normal GHG Numbers (0.00) 2 2 2 4 2" xfId="2624"/>
    <cellStyle name="Normal GHG Numbers (0.00) 2 2 2 5" xfId="1220"/>
    <cellStyle name="Normal GHG Numbers (0.00) 2 2 2 5 2" xfId="2461"/>
    <cellStyle name="Normal GHG Numbers (0.00) 2 2 2 6" xfId="859"/>
    <cellStyle name="Normal GHG Numbers (0.00) 2 2 2 6 2" xfId="3334"/>
    <cellStyle name="Normal GHG Numbers (0.00) 2 2 2 7" xfId="2103"/>
    <cellStyle name="Normal GHG Numbers (0.00) 2 2 3" xfId="604"/>
    <cellStyle name="Normal GHG Numbers (0.00) 2 2 3 2" xfId="1834"/>
    <cellStyle name="Normal GHG Numbers (0.00) 2 2 3 2 2" xfId="3073"/>
    <cellStyle name="Normal GHG Numbers (0.00) 2 2 3 3" xfId="1282"/>
    <cellStyle name="Normal GHG Numbers (0.00) 2 2 3 3 2" xfId="2523"/>
    <cellStyle name="Normal GHG Numbers (0.00) 2 2 3 4" xfId="908"/>
    <cellStyle name="Normal GHG Numbers (0.00) 2 2 3 5" xfId="2151"/>
    <cellStyle name="Normal GHG Numbers (0.00) 2 2 4" xfId="668"/>
    <cellStyle name="Normal GHG Numbers (0.00) 2 2 4 2" xfId="1898"/>
    <cellStyle name="Normal GHG Numbers (0.00) 2 2 4 2 2" xfId="3137"/>
    <cellStyle name="Normal GHG Numbers (0.00) 2 2 4 3" xfId="1580"/>
    <cellStyle name="Normal GHG Numbers (0.00) 2 2 4 3 2" xfId="2820"/>
    <cellStyle name="Normal GHG Numbers (0.00) 2 2 4 4" xfId="972"/>
    <cellStyle name="Normal GHG Numbers (0.00) 2 2 4 5" xfId="2215"/>
    <cellStyle name="Normal GHG Numbers (0.00) 2 2 5" xfId="730"/>
    <cellStyle name="Normal GHG Numbers (0.00) 2 2 5 2" xfId="1960"/>
    <cellStyle name="Normal GHG Numbers (0.00) 2 2 5 2 2" xfId="3199"/>
    <cellStyle name="Normal GHG Numbers (0.00) 2 2 5 3" xfId="1638"/>
    <cellStyle name="Normal GHG Numbers (0.00) 2 2 5 3 2" xfId="2877"/>
    <cellStyle name="Normal GHG Numbers (0.00) 2 2 5 4" xfId="1034"/>
    <cellStyle name="Normal GHG Numbers (0.00) 2 2 5 5" xfId="2277"/>
    <cellStyle name="Normal GHG Numbers (0.00) 2 2 6" xfId="535"/>
    <cellStyle name="Normal GHG Numbers (0.00) 2 2 6 2" xfId="1462"/>
    <cellStyle name="Normal GHG Numbers (0.00) 2 2 6 3" xfId="2702"/>
    <cellStyle name="Normal GHG Numbers (0.00) 2 2 7" xfId="1261"/>
    <cellStyle name="Normal GHG Numbers (0.00) 2 2 7 2" xfId="2502"/>
    <cellStyle name="Normal GHG Numbers (0.00) 2 2 8" xfId="836"/>
    <cellStyle name="Normal GHG Numbers (0.00) 2 2 8 2" xfId="3292"/>
    <cellStyle name="Normal GHG Numbers (0.00) 2 2 9" xfId="2080"/>
    <cellStyle name="Normal GHG Numbers (0.00) 2 3" xfId="327"/>
    <cellStyle name="Normal GHG Numbers (0.00) 2 3 10" xfId="2031"/>
    <cellStyle name="Normal GHG Numbers (0.00) 2 3 2" xfId="427"/>
    <cellStyle name="Normal GHG Numbers (0.00) 2 3 2 2" xfId="576"/>
    <cellStyle name="Normal GHG Numbers (0.00) 2 3 2 2 2" xfId="1502"/>
    <cellStyle name="Normal GHG Numbers (0.00) 2 3 2 2 3" xfId="2742"/>
    <cellStyle name="Normal GHG Numbers (0.00) 2 3 2 3" xfId="1706"/>
    <cellStyle name="Normal GHG Numbers (0.00) 2 3 2 3 2" xfId="2945"/>
    <cellStyle name="Normal GHG Numbers (0.00) 2 3 2 4" xfId="1255"/>
    <cellStyle name="Normal GHG Numbers (0.00) 2 3 2 4 2" xfId="2496"/>
    <cellStyle name="Normal GHG Numbers (0.00) 2 3 2 5" xfId="880"/>
    <cellStyle name="Normal GHG Numbers (0.00) 2 3 2 5 2" xfId="3354"/>
    <cellStyle name="Normal GHG Numbers (0.00) 2 3 2 6" xfId="2124"/>
    <cellStyle name="Normal GHG Numbers (0.00) 2 3 3" xfId="625"/>
    <cellStyle name="Normal GHG Numbers (0.00) 2 3 3 2" xfId="1540"/>
    <cellStyle name="Normal GHG Numbers (0.00) 2 3 3 2 2" xfId="1855"/>
    <cellStyle name="Normal GHG Numbers (0.00) 2 3 3 2 2 2" xfId="3094"/>
    <cellStyle name="Normal GHG Numbers (0.00) 2 3 3 2 3" xfId="2780"/>
    <cellStyle name="Normal GHG Numbers (0.00) 2 3 3 3" xfId="1149"/>
    <cellStyle name="Normal GHG Numbers (0.00) 2 3 3 3 2" xfId="2391"/>
    <cellStyle name="Normal GHG Numbers (0.00) 2 3 3 4" xfId="1313"/>
    <cellStyle name="Normal GHG Numbers (0.00) 2 3 3 4 2" xfId="2554"/>
    <cellStyle name="Normal GHG Numbers (0.00) 2 3 3 5" xfId="929"/>
    <cellStyle name="Normal GHG Numbers (0.00) 2 3 3 6" xfId="2172"/>
    <cellStyle name="Normal GHG Numbers (0.00) 2 3 4" xfId="689"/>
    <cellStyle name="Normal GHG Numbers (0.00) 2 3 4 2" xfId="1919"/>
    <cellStyle name="Normal GHG Numbers (0.00) 2 3 4 2 2" xfId="3158"/>
    <cellStyle name="Normal GHG Numbers (0.00) 2 3 4 3" xfId="1601"/>
    <cellStyle name="Normal GHG Numbers (0.00) 2 3 4 3 2" xfId="2841"/>
    <cellStyle name="Normal GHG Numbers (0.00) 2 3 4 4" xfId="993"/>
    <cellStyle name="Normal GHG Numbers (0.00) 2 3 4 5" xfId="2236"/>
    <cellStyle name="Normal GHG Numbers (0.00) 2 3 5" xfId="751"/>
    <cellStyle name="Normal GHG Numbers (0.00) 2 3 5 2" xfId="1981"/>
    <cellStyle name="Normal GHG Numbers (0.00) 2 3 5 2 2" xfId="3220"/>
    <cellStyle name="Normal GHG Numbers (0.00) 2 3 5 3" xfId="1659"/>
    <cellStyle name="Normal GHG Numbers (0.00) 2 3 5 3 2" xfId="2898"/>
    <cellStyle name="Normal GHG Numbers (0.00) 2 3 5 4" xfId="1055"/>
    <cellStyle name="Normal GHG Numbers (0.00) 2 3 5 5" xfId="2298"/>
    <cellStyle name="Normal GHG Numbers (0.00) 2 3 6" xfId="431"/>
    <cellStyle name="Normal GHG Numbers (0.00) 2 3 6 2" xfId="1385"/>
    <cellStyle name="Normal GHG Numbers (0.00) 2 3 6 3" xfId="2626"/>
    <cellStyle name="Normal GHG Numbers (0.00) 2 3 7" xfId="1526"/>
    <cellStyle name="Normal GHG Numbers (0.00) 2 3 7 2" xfId="2766"/>
    <cellStyle name="Normal GHG Numbers (0.00) 2 3 8" xfId="1085"/>
    <cellStyle name="Normal GHG Numbers (0.00) 2 3 8 2" xfId="2328"/>
    <cellStyle name="Normal GHG Numbers (0.00) 2 3 9" xfId="783"/>
    <cellStyle name="Normal GHG Numbers (0.00) 2 3 9 2" xfId="3270"/>
    <cellStyle name="Normal GHG Numbers (0.00) 2 4" xfId="529"/>
    <cellStyle name="Normal GHG Numbers (0.00) 2 4 2" xfId="1456"/>
    <cellStyle name="Normal GHG Numbers (0.00) 2 4 2 2" xfId="1788"/>
    <cellStyle name="Normal GHG Numbers (0.00) 2 4 2 2 2" xfId="3027"/>
    <cellStyle name="Normal GHG Numbers (0.00) 2 4 2 3" xfId="2696"/>
    <cellStyle name="Normal GHG Numbers (0.00) 2 4 3" xfId="1697"/>
    <cellStyle name="Normal GHG Numbers (0.00) 2 4 3 2" xfId="2936"/>
    <cellStyle name="Normal GHG Numbers (0.00) 2 4 4" xfId="1179"/>
    <cellStyle name="Normal GHG Numbers (0.00) 2 4 4 2" xfId="2420"/>
    <cellStyle name="Normal GHG Numbers (0.00) 2 4 5" xfId="830"/>
    <cellStyle name="Normal GHG Numbers (0.00) 2 4 5 2" xfId="3246"/>
    <cellStyle name="Normal GHG Numbers (0.00) 2 4 6" xfId="2074"/>
    <cellStyle name="Normal GHG Numbers (0.00) 2 5" xfId="549"/>
    <cellStyle name="Normal GHG Numbers (0.00) 2 5 2" xfId="1795"/>
    <cellStyle name="Normal GHG Numbers (0.00) 2 5 2 2" xfId="3034"/>
    <cellStyle name="Normal GHG Numbers (0.00) 2 5 3" xfId="1184"/>
    <cellStyle name="Normal GHG Numbers (0.00) 2 5 3 2" xfId="2425"/>
    <cellStyle name="Normal GHG Numbers (0.00) 2 5 4" xfId="853"/>
    <cellStyle name="Normal GHG Numbers (0.00) 2 5 4 2" xfId="3328"/>
    <cellStyle name="Normal GHG Numbers (0.00) 2 5 5" xfId="2097"/>
    <cellStyle name="Normal GHG Numbers (0.00) 2 6" xfId="547"/>
    <cellStyle name="Normal GHG Numbers (0.00) 2 6 2" xfId="1792"/>
    <cellStyle name="Normal GHG Numbers (0.00) 2 6 2 2" xfId="3031"/>
    <cellStyle name="Normal GHG Numbers (0.00) 2 6 3" xfId="1474"/>
    <cellStyle name="Normal GHG Numbers (0.00) 2 6 3 2" xfId="2714"/>
    <cellStyle name="Normal GHG Numbers (0.00) 2 6 4" xfId="849"/>
    <cellStyle name="Normal GHG Numbers (0.00) 2 6 5" xfId="2093"/>
    <cellStyle name="Normal GHG Numbers (0.00) 2 7" xfId="348"/>
    <cellStyle name="Normal GHG Numbers (0.00) 2 7 2" xfId="1698"/>
    <cellStyle name="Normal GHG Numbers (0.00) 2 7 2 2" xfId="2937"/>
    <cellStyle name="Normal GHG Numbers (0.00) 2 7 3" xfId="1341"/>
    <cellStyle name="Normal GHG Numbers (0.00) 2 7 4" xfId="2582"/>
    <cellStyle name="Normal GHG Numbers (0.00) 2 8" xfId="1105"/>
    <cellStyle name="Normal GHG Numbers (0.00) 2 8 2" xfId="2348"/>
    <cellStyle name="Normal GHG Numbers (0.00) 2 9" xfId="290"/>
    <cellStyle name="Normal GHG Numbers (0.00) 2 9 2" xfId="3303"/>
    <cellStyle name="Normal GHG Numbers (0.00) 3" xfId="275"/>
    <cellStyle name="Normal GHG Numbers (0.00) 3 2" xfId="474"/>
    <cellStyle name="Normal GHG Numbers (0.00) 3 2 10" xfId="2117"/>
    <cellStyle name="Normal GHG Numbers (0.00) 3 2 2" xfId="618"/>
    <cellStyle name="Normal GHG Numbers (0.00) 3 2 2 2" xfId="1848"/>
    <cellStyle name="Normal GHG Numbers (0.00) 3 2 2 2 2" xfId="3087"/>
    <cellStyle name="Normal GHG Numbers (0.00) 3 2 2 3" xfId="1236"/>
    <cellStyle name="Normal GHG Numbers (0.00) 3 2 2 3 2" xfId="2477"/>
    <cellStyle name="Normal GHG Numbers (0.00) 3 2 2 4" xfId="1533"/>
    <cellStyle name="Normal GHG Numbers (0.00) 3 2 2 4 2" xfId="2773"/>
    <cellStyle name="Normal GHG Numbers (0.00) 3 2 2 5" xfId="922"/>
    <cellStyle name="Normal GHG Numbers (0.00) 3 2 2 5 2" xfId="3377"/>
    <cellStyle name="Normal GHG Numbers (0.00) 3 2 2 6" xfId="2165"/>
    <cellStyle name="Normal GHG Numbers (0.00) 3 2 3" xfId="682"/>
    <cellStyle name="Normal GHG Numbers (0.00) 3 2 3 2" xfId="1912"/>
    <cellStyle name="Normal GHG Numbers (0.00) 3 2 3 2 2" xfId="3151"/>
    <cellStyle name="Normal GHG Numbers (0.00) 3 2 3 3" xfId="1594"/>
    <cellStyle name="Normal GHG Numbers (0.00) 3 2 3 3 2" xfId="2834"/>
    <cellStyle name="Normal GHG Numbers (0.00) 3 2 3 4" xfId="986"/>
    <cellStyle name="Normal GHG Numbers (0.00) 3 2 3 5" xfId="2229"/>
    <cellStyle name="Normal GHG Numbers (0.00) 3 2 4" xfId="744"/>
    <cellStyle name="Normal GHG Numbers (0.00) 3 2 4 2" xfId="1974"/>
    <cellStyle name="Normal GHG Numbers (0.00) 3 2 4 2 2" xfId="3213"/>
    <cellStyle name="Normal GHG Numbers (0.00) 3 2 4 3" xfId="1652"/>
    <cellStyle name="Normal GHG Numbers (0.00) 3 2 4 3 2" xfId="2891"/>
    <cellStyle name="Normal GHG Numbers (0.00) 3 2 4 4" xfId="1048"/>
    <cellStyle name="Normal GHG Numbers (0.00) 3 2 4 5" xfId="2291"/>
    <cellStyle name="Normal GHG Numbers (0.00) 3 2 5" xfId="569"/>
    <cellStyle name="Normal GHG Numbers (0.00) 3 2 5 2" xfId="1811"/>
    <cellStyle name="Normal GHG Numbers (0.00) 3 2 5 2 2" xfId="3050"/>
    <cellStyle name="Normal GHG Numbers (0.00) 3 2 5 3" xfId="1495"/>
    <cellStyle name="Normal GHG Numbers (0.00) 3 2 5 4" xfId="2735"/>
    <cellStyle name="Normal GHG Numbers (0.00) 3 2 6" xfId="1415"/>
    <cellStyle name="Normal GHG Numbers (0.00) 3 2 6 2" xfId="2655"/>
    <cellStyle name="Normal GHG Numbers (0.00) 3 2 7" xfId="1298"/>
    <cellStyle name="Normal GHG Numbers (0.00) 3 2 7 2" xfId="2539"/>
    <cellStyle name="Normal GHG Numbers (0.00) 3 2 8" xfId="1306"/>
    <cellStyle name="Normal GHG Numbers (0.00) 3 2 8 2" xfId="2547"/>
    <cellStyle name="Normal GHG Numbers (0.00) 3 2 9" xfId="873"/>
    <cellStyle name="Normal GHG Numbers (0.00) 3 2 9 2" xfId="3347"/>
    <cellStyle name="Normal GHG Numbers (0.00) 3 3" xfId="370"/>
    <cellStyle name="Normal GHG Numbers (0.00) 3 3 2" xfId="1748"/>
    <cellStyle name="Normal GHG Numbers (0.00) 3 3 2 2" xfId="2987"/>
    <cellStyle name="Normal GHG Numbers (0.00) 3 3 3" xfId="1354"/>
    <cellStyle name="Normal GHG Numbers (0.00) 3 3 3 2" xfId="2595"/>
    <cellStyle name="Normal GHG Numbers (0.00) 3 3 4" xfId="493"/>
    <cellStyle name="Normal GHG Numbers (0.00) 3 3 4 2" xfId="3269"/>
    <cellStyle name="Normal GHG Numbers (0.00) 3 3 5" xfId="2009"/>
    <cellStyle name="Normal GHG Numbers (0.00) 3 4" xfId="1785"/>
    <cellStyle name="Normal GHG Numbers (0.00) 3 4 2" xfId="3024"/>
    <cellStyle name="Normal GHG Numbers (0.00) 3 5" xfId="1366"/>
    <cellStyle name="Normal GHG Numbers (0.00) 3 5 2" xfId="2607"/>
    <cellStyle name="Normal GHG Numbers (0.00) 3 6" xfId="1152"/>
    <cellStyle name="Normal GHG Numbers (0.00) 3 6 2" xfId="2394"/>
    <cellStyle name="Normal GHG Numbers (0.00) 3 7" xfId="419"/>
    <cellStyle name="Normal GHG Numbers (0.00) 3 8" xfId="2006"/>
    <cellStyle name="Normal GHG Numbers (0.00) 3 9" xfId="425"/>
    <cellStyle name="Normal GHG Numbers (0.00) 4" xfId="309"/>
    <cellStyle name="Normal GHG Textfiels Bold" xfId="234"/>
    <cellStyle name="Normal GHG Textfiels Bold 10" xfId="374"/>
    <cellStyle name="Normal GHG Textfiels Bold 2" xfId="395"/>
    <cellStyle name="Normal GHG Textfiels Bold 2 2" xfId="453"/>
    <cellStyle name="Normal GHG Textfiels Bold 2 2 2" xfId="553"/>
    <cellStyle name="Normal GHG Textfiels Bold 2 2 2 2" xfId="1798"/>
    <cellStyle name="Normal GHG Textfiels Bold 2 2 2 2 2" xfId="3037"/>
    <cellStyle name="Normal GHG Textfiels Bold 2 2 2 3" xfId="1479"/>
    <cellStyle name="Normal GHG Textfiels Bold 2 2 2 4" xfId="2719"/>
    <cellStyle name="Normal GHG Textfiels Bold 2 2 3" xfId="1396"/>
    <cellStyle name="Normal GHG Textfiels Bold 2 2 3 2" xfId="2636"/>
    <cellStyle name="Normal GHG Textfiels Bold 2 2 4" xfId="1250"/>
    <cellStyle name="Normal GHG Textfiels Bold 2 2 4 2" xfId="2491"/>
    <cellStyle name="Normal GHG Textfiels Bold 2 2 5" xfId="1218"/>
    <cellStyle name="Normal GHG Textfiels Bold 2 2 5 2" xfId="2459"/>
    <cellStyle name="Normal GHG Textfiels Bold 2 2 6" xfId="857"/>
    <cellStyle name="Normal GHG Textfiels Bold 2 2 6 2" xfId="3332"/>
    <cellStyle name="Normal GHG Textfiels Bold 2 2 7" xfId="2101"/>
    <cellStyle name="Normal GHG Textfiels Bold 2 3" xfId="602"/>
    <cellStyle name="Normal GHG Textfiels Bold 2 3 2" xfId="1832"/>
    <cellStyle name="Normal GHG Textfiels Bold 2 3 2 2" xfId="3071"/>
    <cellStyle name="Normal GHG Textfiels Bold 2 3 3" xfId="1280"/>
    <cellStyle name="Normal GHG Textfiels Bold 2 3 3 2" xfId="2521"/>
    <cellStyle name="Normal GHG Textfiels Bold 2 3 4" xfId="906"/>
    <cellStyle name="Normal GHG Textfiels Bold 2 3 5" xfId="2149"/>
    <cellStyle name="Normal GHG Textfiels Bold 2 4" xfId="666"/>
    <cellStyle name="Normal GHG Textfiels Bold 2 4 2" xfId="1896"/>
    <cellStyle name="Normal GHG Textfiels Bold 2 4 2 2" xfId="3135"/>
    <cellStyle name="Normal GHG Textfiels Bold 2 4 3" xfId="1578"/>
    <cellStyle name="Normal GHG Textfiels Bold 2 4 3 2" xfId="2818"/>
    <cellStyle name="Normal GHG Textfiels Bold 2 4 4" xfId="970"/>
    <cellStyle name="Normal GHG Textfiels Bold 2 4 5" xfId="2213"/>
    <cellStyle name="Normal GHG Textfiels Bold 2 5" xfId="728"/>
    <cellStyle name="Normal GHG Textfiels Bold 2 5 2" xfId="1958"/>
    <cellStyle name="Normal GHG Textfiels Bold 2 5 2 2" xfId="3197"/>
    <cellStyle name="Normal GHG Textfiels Bold 2 5 3" xfId="1636"/>
    <cellStyle name="Normal GHG Textfiels Bold 2 5 3 2" xfId="2875"/>
    <cellStyle name="Normal GHG Textfiels Bold 2 5 4" xfId="1032"/>
    <cellStyle name="Normal GHG Textfiels Bold 2 5 5" xfId="2275"/>
    <cellStyle name="Normal GHG Textfiels Bold 2 6" xfId="533"/>
    <cellStyle name="Normal GHG Textfiels Bold 2 6 2" xfId="1460"/>
    <cellStyle name="Normal GHG Textfiels Bold 2 6 3" xfId="2700"/>
    <cellStyle name="Normal GHG Textfiels Bold 2 7" xfId="1235"/>
    <cellStyle name="Normal GHG Textfiels Bold 2 7 2" xfId="2476"/>
    <cellStyle name="Normal GHG Textfiels Bold 2 8" xfId="834"/>
    <cellStyle name="Normal GHG Textfiels Bold 2 8 2" xfId="3275"/>
    <cellStyle name="Normal GHG Textfiels Bold 2 9" xfId="2078"/>
    <cellStyle name="Normal GHG Textfiels Bold 3" xfId="355"/>
    <cellStyle name="Normal GHG Textfiels Bold 3 10" xfId="2047"/>
    <cellStyle name="Normal GHG Textfiels Bold 3 2" xfId="436"/>
    <cellStyle name="Normal GHG Textfiels Bold 3 2 2" xfId="586"/>
    <cellStyle name="Normal GHG Textfiels Bold 3 2 2 2" xfId="1511"/>
    <cellStyle name="Normal GHG Textfiels Bold 3 2 2 3" xfId="2751"/>
    <cellStyle name="Normal GHG Textfiels Bold 3 2 3" xfId="1712"/>
    <cellStyle name="Normal GHG Textfiels Bold 3 2 3 2" xfId="2951"/>
    <cellStyle name="Normal GHG Textfiels Bold 3 2 4" xfId="1264"/>
    <cellStyle name="Normal GHG Textfiels Bold 3 2 4 2" xfId="2505"/>
    <cellStyle name="Normal GHG Textfiels Bold 3 2 5" xfId="890"/>
    <cellStyle name="Normal GHG Textfiels Bold 3 2 5 2" xfId="3363"/>
    <cellStyle name="Normal GHG Textfiels Bold 3 2 6" xfId="2133"/>
    <cellStyle name="Normal GHG Textfiels Bold 3 3" xfId="635"/>
    <cellStyle name="Normal GHG Textfiels Bold 3 3 2" xfId="1550"/>
    <cellStyle name="Normal GHG Textfiels Bold 3 3 2 2" xfId="1865"/>
    <cellStyle name="Normal GHG Textfiels Bold 3 3 2 2 2" xfId="3104"/>
    <cellStyle name="Normal GHG Textfiels Bold 3 3 2 3" xfId="2790"/>
    <cellStyle name="Normal GHG Textfiels Bold 3 3 3" xfId="1731"/>
    <cellStyle name="Normal GHG Textfiels Bold 3 3 3 2" xfId="2970"/>
    <cellStyle name="Normal GHG Textfiels Bold 3 3 4" xfId="1324"/>
    <cellStyle name="Normal GHG Textfiels Bold 3 3 4 2" xfId="2565"/>
    <cellStyle name="Normal GHG Textfiels Bold 3 3 5" xfId="939"/>
    <cellStyle name="Normal GHG Textfiels Bold 3 3 6" xfId="2182"/>
    <cellStyle name="Normal GHG Textfiels Bold 3 4" xfId="699"/>
    <cellStyle name="Normal GHG Textfiels Bold 3 4 2" xfId="1929"/>
    <cellStyle name="Normal GHG Textfiels Bold 3 4 2 2" xfId="3168"/>
    <cellStyle name="Normal GHG Textfiels Bold 3 4 3" xfId="1611"/>
    <cellStyle name="Normal GHG Textfiels Bold 3 4 3 2" xfId="2851"/>
    <cellStyle name="Normal GHG Textfiels Bold 3 4 4" xfId="1003"/>
    <cellStyle name="Normal GHG Textfiels Bold 3 4 5" xfId="2246"/>
    <cellStyle name="Normal GHG Textfiels Bold 3 5" xfId="760"/>
    <cellStyle name="Normal GHG Textfiels Bold 3 5 2" xfId="1990"/>
    <cellStyle name="Normal GHG Textfiels Bold 3 5 2 2" xfId="3229"/>
    <cellStyle name="Normal GHG Textfiels Bold 3 5 3" xfId="1668"/>
    <cellStyle name="Normal GHG Textfiels Bold 3 5 3 2" xfId="2907"/>
    <cellStyle name="Normal GHG Textfiels Bold 3 5 4" xfId="1064"/>
    <cellStyle name="Normal GHG Textfiels Bold 3 5 5" xfId="2307"/>
    <cellStyle name="Normal GHG Textfiels Bold 3 6" xfId="503"/>
    <cellStyle name="Normal GHG Textfiels Bold 3 6 2" xfId="1434"/>
    <cellStyle name="Normal GHG Textfiels Bold 3 6 3" xfId="2674"/>
    <cellStyle name="Normal GHG Textfiels Bold 3 7" xfId="1389"/>
    <cellStyle name="Normal GHG Textfiels Bold 3 7 2" xfId="2630"/>
    <cellStyle name="Normal GHG Textfiels Bold 3 8" xfId="1086"/>
    <cellStyle name="Normal GHG Textfiels Bold 3 8 2" xfId="2329"/>
    <cellStyle name="Normal GHG Textfiels Bold 3 9" xfId="800"/>
    <cellStyle name="Normal GHG Textfiels Bold 3 9 2" xfId="3307"/>
    <cellStyle name="Normal GHG Textfiels Bold 4" xfId="507"/>
    <cellStyle name="Normal GHG Textfiels Bold 4 2" xfId="1438"/>
    <cellStyle name="Normal GHG Textfiels Bold 4 2 2" xfId="1775"/>
    <cellStyle name="Normal GHG Textfiels Bold 4 2 2 2" xfId="3014"/>
    <cellStyle name="Normal GHG Textfiels Bold 4 2 3" xfId="2678"/>
    <cellStyle name="Normal GHG Textfiels Bold 4 3" xfId="1685"/>
    <cellStyle name="Normal GHG Textfiels Bold 4 3 2" xfId="2924"/>
    <cellStyle name="Normal GHG Textfiels Bold 4 4" xfId="1114"/>
    <cellStyle name="Normal GHG Textfiels Bold 4 4 2" xfId="2357"/>
    <cellStyle name="Normal GHG Textfiels Bold 4 5" xfId="805"/>
    <cellStyle name="Normal GHG Textfiels Bold 4 5 2" xfId="3243"/>
    <cellStyle name="Normal GHG Textfiels Bold 4 6" xfId="2052"/>
    <cellStyle name="Normal GHG Textfiels Bold 5" xfId="411"/>
    <cellStyle name="Normal GHG Textfiels Bold 5 2" xfId="1757"/>
    <cellStyle name="Normal GHG Textfiels Bold 5 2 2" xfId="2996"/>
    <cellStyle name="Normal GHG Textfiels Bold 5 3" xfId="1195"/>
    <cellStyle name="Normal GHG Textfiels Bold 5 3 2" xfId="2436"/>
    <cellStyle name="Normal GHG Textfiels Bold 5 4" xfId="412"/>
    <cellStyle name="Normal GHG Textfiels Bold 5 4 2" xfId="3254"/>
    <cellStyle name="Normal GHG Textfiels Bold 5 5" xfId="2020"/>
    <cellStyle name="Normal GHG Textfiels Bold 6" xfId="548"/>
    <cellStyle name="Normal GHG Textfiels Bold 6 2" xfId="1793"/>
    <cellStyle name="Normal GHG Textfiels Bold 6 2 2" xfId="3032"/>
    <cellStyle name="Normal GHG Textfiels Bold 6 3" xfId="1475"/>
    <cellStyle name="Normal GHG Textfiels Bold 6 3 2" xfId="2715"/>
    <cellStyle name="Normal GHG Textfiels Bold 6 4" xfId="851"/>
    <cellStyle name="Normal GHG Textfiels Bold 6 5" xfId="2095"/>
    <cellStyle name="Normal GHG Textfiels Bold 7" xfId="344"/>
    <cellStyle name="Normal GHG Textfiels Bold 7 2" xfId="1188"/>
    <cellStyle name="Normal GHG Textfiels Bold 7 2 2" xfId="2429"/>
    <cellStyle name="Normal GHG Textfiels Bold 7 3" xfId="1340"/>
    <cellStyle name="Normal GHG Textfiels Bold 7 4" xfId="2581"/>
    <cellStyle name="Normal GHG Textfiels Bold 8" xfId="1135"/>
    <cellStyle name="Normal GHG Textfiels Bold 8 2" xfId="2377"/>
    <cellStyle name="Normal GHG Textfiels Bold 9" xfId="280"/>
    <cellStyle name="Normal GHG Textfiels Bold 9 2" xfId="3315"/>
    <cellStyle name="Normal GHG whole table" xfId="235"/>
    <cellStyle name="Normal GHG whole table 10" xfId="357"/>
    <cellStyle name="Normal GHG whole table 2" xfId="393"/>
    <cellStyle name="Normal GHG whole table 2 2" xfId="451"/>
    <cellStyle name="Normal GHG whole table 2 2 2" xfId="551"/>
    <cellStyle name="Normal GHG whole table 2 2 2 2" xfId="1797"/>
    <cellStyle name="Normal GHG whole table 2 2 2 2 2" xfId="3036"/>
    <cellStyle name="Normal GHG whole table 2 2 2 3" xfId="1477"/>
    <cellStyle name="Normal GHG whole table 2 2 2 4" xfId="2717"/>
    <cellStyle name="Normal GHG whole table 2 2 3" xfId="1394"/>
    <cellStyle name="Normal GHG whole table 2 2 3 2" xfId="2634"/>
    <cellStyle name="Normal GHG whole table 2 2 4" xfId="1300"/>
    <cellStyle name="Normal GHG whole table 2 2 4 2" xfId="2541"/>
    <cellStyle name="Normal GHG whole table 2 2 5" xfId="1216"/>
    <cellStyle name="Normal GHG whole table 2 2 5 2" xfId="2457"/>
    <cellStyle name="Normal GHG whole table 2 2 6" xfId="855"/>
    <cellStyle name="Normal GHG whole table 2 2 6 2" xfId="3330"/>
    <cellStyle name="Normal GHG whole table 2 2 7" xfId="2099"/>
    <cellStyle name="Normal GHG whole table 2 3" xfId="600"/>
    <cellStyle name="Normal GHG whole table 2 3 2" xfId="1830"/>
    <cellStyle name="Normal GHG whole table 2 3 2 2" xfId="3069"/>
    <cellStyle name="Normal GHG whole table 2 3 3" xfId="1278"/>
    <cellStyle name="Normal GHG whole table 2 3 3 2" xfId="2519"/>
    <cellStyle name="Normal GHG whole table 2 3 4" xfId="904"/>
    <cellStyle name="Normal GHG whole table 2 3 5" xfId="2147"/>
    <cellStyle name="Normal GHG whole table 2 4" xfId="664"/>
    <cellStyle name="Normal GHG whole table 2 4 2" xfId="1894"/>
    <cellStyle name="Normal GHG whole table 2 4 2 2" xfId="3133"/>
    <cellStyle name="Normal GHG whole table 2 4 3" xfId="1576"/>
    <cellStyle name="Normal GHG whole table 2 4 3 2" xfId="2816"/>
    <cellStyle name="Normal GHG whole table 2 4 4" xfId="968"/>
    <cellStyle name="Normal GHG whole table 2 4 5" xfId="2211"/>
    <cellStyle name="Normal GHG whole table 2 5" xfId="726"/>
    <cellStyle name="Normal GHG whole table 2 5 2" xfId="1956"/>
    <cellStyle name="Normal GHG whole table 2 5 2 2" xfId="3195"/>
    <cellStyle name="Normal GHG whole table 2 5 3" xfId="1634"/>
    <cellStyle name="Normal GHG whole table 2 5 3 2" xfId="2873"/>
    <cellStyle name="Normal GHG whole table 2 5 4" xfId="1030"/>
    <cellStyle name="Normal GHG whole table 2 5 5" xfId="2273"/>
    <cellStyle name="Normal GHG whole table 2 6" xfId="531"/>
    <cellStyle name="Normal GHG whole table 2 6 2" xfId="1458"/>
    <cellStyle name="Normal GHG whole table 2 6 3" xfId="2698"/>
    <cellStyle name="Normal GHG whole table 2 7" xfId="1129"/>
    <cellStyle name="Normal GHG whole table 2 7 2" xfId="2371"/>
    <cellStyle name="Normal GHG whole table 2 8" xfId="832"/>
    <cellStyle name="Normal GHG whole table 2 8 2" xfId="3276"/>
    <cellStyle name="Normal GHG whole table 2 9" xfId="2076"/>
    <cellStyle name="Normal GHG whole table 3" xfId="338"/>
    <cellStyle name="Normal GHG whole table 3 10" xfId="2041"/>
    <cellStyle name="Normal GHG whole table 3 2" xfId="432"/>
    <cellStyle name="Normal GHG whole table 3 2 2" xfId="582"/>
    <cellStyle name="Normal GHG whole table 3 2 2 2" xfId="1508"/>
    <cellStyle name="Normal GHG whole table 3 2 2 3" xfId="2748"/>
    <cellStyle name="Normal GHG whole table 3 2 3" xfId="1709"/>
    <cellStyle name="Normal GHG whole table 3 2 3 2" xfId="2948"/>
    <cellStyle name="Normal GHG whole table 3 2 4" xfId="1260"/>
    <cellStyle name="Normal GHG whole table 3 2 4 2" xfId="2501"/>
    <cellStyle name="Normal GHG whole table 3 2 5" xfId="886"/>
    <cellStyle name="Normal GHG whole table 3 2 5 2" xfId="3360"/>
    <cellStyle name="Normal GHG whole table 3 2 6" xfId="2130"/>
    <cellStyle name="Normal GHG whole table 3 3" xfId="631"/>
    <cellStyle name="Normal GHG whole table 3 3 2" xfId="1546"/>
    <cellStyle name="Normal GHG whole table 3 3 2 2" xfId="1861"/>
    <cellStyle name="Normal GHG whole table 3 3 2 2 2" xfId="3100"/>
    <cellStyle name="Normal GHG whole table 3 3 2 3" xfId="2786"/>
    <cellStyle name="Normal GHG whole table 3 3 3" xfId="1727"/>
    <cellStyle name="Normal GHG whole table 3 3 3 2" xfId="2966"/>
    <cellStyle name="Normal GHG whole table 3 3 4" xfId="1319"/>
    <cellStyle name="Normal GHG whole table 3 3 4 2" xfId="2560"/>
    <cellStyle name="Normal GHG whole table 3 3 5" xfId="935"/>
    <cellStyle name="Normal GHG whole table 3 3 6" xfId="2178"/>
    <cellStyle name="Normal GHG whole table 3 4" xfId="695"/>
    <cellStyle name="Normal GHG whole table 3 4 2" xfId="1925"/>
    <cellStyle name="Normal GHG whole table 3 4 2 2" xfId="3164"/>
    <cellStyle name="Normal GHG whole table 3 4 3" xfId="1607"/>
    <cellStyle name="Normal GHG whole table 3 4 3 2" xfId="2847"/>
    <cellStyle name="Normal GHG whole table 3 4 4" xfId="999"/>
    <cellStyle name="Normal GHG whole table 3 4 5" xfId="2242"/>
    <cellStyle name="Normal GHG whole table 3 5" xfId="757"/>
    <cellStyle name="Normal GHG whole table 3 5 2" xfId="1987"/>
    <cellStyle name="Normal GHG whole table 3 5 2 2" xfId="3226"/>
    <cellStyle name="Normal GHG whole table 3 5 3" xfId="1665"/>
    <cellStyle name="Normal GHG whole table 3 5 3 2" xfId="2904"/>
    <cellStyle name="Normal GHG whole table 3 5 4" xfId="1061"/>
    <cellStyle name="Normal GHG whole table 3 5 5" xfId="2304"/>
    <cellStyle name="Normal GHG whole table 3 6" xfId="499"/>
    <cellStyle name="Normal GHG whole table 3 6 2" xfId="1430"/>
    <cellStyle name="Normal GHG whole table 3 6 3" xfId="2670"/>
    <cellStyle name="Normal GHG whole table 3 7" xfId="1133"/>
    <cellStyle name="Normal GHG whole table 3 7 2" xfId="2375"/>
    <cellStyle name="Normal GHG whole table 3 8" xfId="1087"/>
    <cellStyle name="Normal GHG whole table 3 8 2" xfId="2330"/>
    <cellStyle name="Normal GHG whole table 3 9" xfId="793"/>
    <cellStyle name="Normal GHG whole table 3 9 2" xfId="3322"/>
    <cellStyle name="Normal GHG whole table 4" xfId="303"/>
    <cellStyle name="Normal GHG whole table 4 2" xfId="1200"/>
    <cellStyle name="Normal GHG whole table 4 2 2" xfId="1753"/>
    <cellStyle name="Normal GHG whole table 4 2 2 2" xfId="2992"/>
    <cellStyle name="Normal GHG whole table 4 2 3" xfId="2441"/>
    <cellStyle name="Normal GHG whole table 4 3" xfId="1344"/>
    <cellStyle name="Normal GHG whole table 4 3 2" xfId="2585"/>
    <cellStyle name="Normal GHG whole table 4 4" xfId="1187"/>
    <cellStyle name="Normal GHG whole table 4 4 2" xfId="2428"/>
    <cellStyle name="Normal GHG whole table 4 5" xfId="345"/>
    <cellStyle name="Normal GHG whole table 4 5 2" xfId="3250"/>
    <cellStyle name="Normal GHG whole table 4 6" xfId="2014"/>
    <cellStyle name="Normal GHG whole table 5" xfId="324"/>
    <cellStyle name="Normal GHG whole table 5 2" xfId="1765"/>
    <cellStyle name="Normal GHG whole table 5 2 2" xfId="3004"/>
    <cellStyle name="Normal GHG whole table 5 3" xfId="1148"/>
    <cellStyle name="Normal GHG whole table 5 3 2" xfId="2390"/>
    <cellStyle name="Normal GHG whole table 5 4" xfId="786"/>
    <cellStyle name="Normal GHG whole table 5 4 2" xfId="3253"/>
    <cellStyle name="Normal GHG whole table 5 5" xfId="2034"/>
    <cellStyle name="Normal GHG whole table 6" xfId="509"/>
    <cellStyle name="Normal GHG whole table 6 2" xfId="1777"/>
    <cellStyle name="Normal GHG whole table 6 2 2" xfId="3016"/>
    <cellStyle name="Normal GHG whole table 6 3" xfId="1440"/>
    <cellStyle name="Normal GHG whole table 6 3 2" xfId="2680"/>
    <cellStyle name="Normal GHG whole table 6 4" xfId="807"/>
    <cellStyle name="Normal GHG whole table 6 5" xfId="2054"/>
    <cellStyle name="Normal GHG whole table 7" xfId="418"/>
    <cellStyle name="Normal GHG whole table 7 2" xfId="1745"/>
    <cellStyle name="Normal GHG whole table 7 2 2" xfId="2984"/>
    <cellStyle name="Normal GHG whole table 7 3" xfId="1380"/>
    <cellStyle name="Normal GHG whole table 7 4" xfId="2621"/>
    <cellStyle name="Normal GHG whole table 8" xfId="1167"/>
    <cellStyle name="Normal GHG whole table 8 2" xfId="2409"/>
    <cellStyle name="Normal GHG whole table 9" xfId="346"/>
    <cellStyle name="Normal GHG whole table 9 2" xfId="3258"/>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attern 10" xfId="810"/>
    <cellStyle name="Pattern 2" xfId="400"/>
    <cellStyle name="Pattern 2 2" xfId="458"/>
    <cellStyle name="Pattern 2 2 2" xfId="558"/>
    <cellStyle name="Pattern 2 2 2 2" xfId="1803"/>
    <cellStyle name="Pattern 2 2 2 2 2" xfId="3042"/>
    <cellStyle name="Pattern 2 2 2 3" xfId="1484"/>
    <cellStyle name="Pattern 2 2 2 4" xfId="2724"/>
    <cellStyle name="Pattern 2 2 3" xfId="1401"/>
    <cellStyle name="Pattern 2 2 3 2" xfId="2641"/>
    <cellStyle name="Pattern 2 2 4" xfId="1713"/>
    <cellStyle name="Pattern 2 2 4 2" xfId="2952"/>
    <cellStyle name="Pattern 2 2 5" xfId="1223"/>
    <cellStyle name="Pattern 2 2 5 2" xfId="2464"/>
    <cellStyle name="Pattern 2 2 6" xfId="862"/>
    <cellStyle name="Pattern 2 2 6 2" xfId="3337"/>
    <cellStyle name="Pattern 2 2 7" xfId="2106"/>
    <cellStyle name="Pattern 2 3" xfId="607"/>
    <cellStyle name="Pattern 2 3 2" xfId="1837"/>
    <cellStyle name="Pattern 2 3 2 2" xfId="3076"/>
    <cellStyle name="Pattern 2 3 3" xfId="1285"/>
    <cellStyle name="Pattern 2 3 3 2" xfId="2526"/>
    <cellStyle name="Pattern 2 3 4" xfId="911"/>
    <cellStyle name="Pattern 2 3 5" xfId="2154"/>
    <cellStyle name="Pattern 2 4" xfId="671"/>
    <cellStyle name="Pattern 2 4 2" xfId="1901"/>
    <cellStyle name="Pattern 2 4 2 2" xfId="3140"/>
    <cellStyle name="Pattern 2 4 3" xfId="1583"/>
    <cellStyle name="Pattern 2 4 3 2" xfId="2823"/>
    <cellStyle name="Pattern 2 4 4" xfId="975"/>
    <cellStyle name="Pattern 2 4 5" xfId="2218"/>
    <cellStyle name="Pattern 2 5" xfId="733"/>
    <cellStyle name="Pattern 2 5 2" xfId="1963"/>
    <cellStyle name="Pattern 2 5 2 2" xfId="3202"/>
    <cellStyle name="Pattern 2 5 3" xfId="1641"/>
    <cellStyle name="Pattern 2 5 3 2" xfId="2880"/>
    <cellStyle name="Pattern 2 5 4" xfId="1037"/>
    <cellStyle name="Pattern 2 5 5" xfId="2280"/>
    <cellStyle name="Pattern 2 6" xfId="538"/>
    <cellStyle name="Pattern 2 6 2" xfId="1465"/>
    <cellStyle name="Pattern 2 6 3" xfId="2705"/>
    <cellStyle name="Pattern 2 7" xfId="1156"/>
    <cellStyle name="Pattern 2 7 2" xfId="2398"/>
    <cellStyle name="Pattern 2 8" xfId="839"/>
    <cellStyle name="Pattern 2 8 2" xfId="3302"/>
    <cellStyle name="Pattern 2 9" xfId="2083"/>
    <cellStyle name="Pattern 3" xfId="330"/>
    <cellStyle name="Pattern 3 10" xfId="2035"/>
    <cellStyle name="Pattern 3 2" xfId="428"/>
    <cellStyle name="Pattern 3 2 2" xfId="577"/>
    <cellStyle name="Pattern 3 2 2 2" xfId="1503"/>
    <cellStyle name="Pattern 3 2 2 3" xfId="2743"/>
    <cellStyle name="Pattern 3 2 3" xfId="1707"/>
    <cellStyle name="Pattern 3 2 3 2" xfId="2946"/>
    <cellStyle name="Pattern 3 2 4" xfId="1256"/>
    <cellStyle name="Pattern 3 2 4 2" xfId="2497"/>
    <cellStyle name="Pattern 3 2 5" xfId="881"/>
    <cellStyle name="Pattern 3 2 5 2" xfId="3355"/>
    <cellStyle name="Pattern 3 2 6" xfId="2125"/>
    <cellStyle name="Pattern 3 3" xfId="626"/>
    <cellStyle name="Pattern 3 3 2" xfId="1541"/>
    <cellStyle name="Pattern 3 3 2 2" xfId="1856"/>
    <cellStyle name="Pattern 3 3 2 2 2" xfId="3095"/>
    <cellStyle name="Pattern 3 3 2 3" xfId="2781"/>
    <cellStyle name="Pattern 3 3 3" xfId="1117"/>
    <cellStyle name="Pattern 3 3 3 2" xfId="2360"/>
    <cellStyle name="Pattern 3 3 4" xfId="1314"/>
    <cellStyle name="Pattern 3 3 4 2" xfId="2555"/>
    <cellStyle name="Pattern 3 3 5" xfId="930"/>
    <cellStyle name="Pattern 3 3 6" xfId="2173"/>
    <cellStyle name="Pattern 3 4" xfId="690"/>
    <cellStyle name="Pattern 3 4 2" xfId="1920"/>
    <cellStyle name="Pattern 3 4 2 2" xfId="3159"/>
    <cellStyle name="Pattern 3 4 3" xfId="1602"/>
    <cellStyle name="Pattern 3 4 3 2" xfId="2842"/>
    <cellStyle name="Pattern 3 4 4" xfId="994"/>
    <cellStyle name="Pattern 3 4 5" xfId="2237"/>
    <cellStyle name="Pattern 3 5" xfId="752"/>
    <cellStyle name="Pattern 3 5 2" xfId="1982"/>
    <cellStyle name="Pattern 3 5 2 2" xfId="3221"/>
    <cellStyle name="Pattern 3 5 3" xfId="1660"/>
    <cellStyle name="Pattern 3 5 3 2" xfId="2899"/>
    <cellStyle name="Pattern 3 5 4" xfId="1056"/>
    <cellStyle name="Pattern 3 5 5" xfId="2299"/>
    <cellStyle name="Pattern 3 6" xfId="430"/>
    <cellStyle name="Pattern 3 6 2" xfId="1384"/>
    <cellStyle name="Pattern 3 6 3" xfId="2625"/>
    <cellStyle name="Pattern 3 7" xfId="1112"/>
    <cellStyle name="Pattern 3 7 2" xfId="2355"/>
    <cellStyle name="Pattern 3 8" xfId="1088"/>
    <cellStyle name="Pattern 3 8 2" xfId="2331"/>
    <cellStyle name="Pattern 3 9" xfId="787"/>
    <cellStyle name="Pattern 3 9 2" xfId="3283"/>
    <cellStyle name="Pattern 4" xfId="508"/>
    <cellStyle name="Pattern 4 2" xfId="1439"/>
    <cellStyle name="Pattern 4 2 2" xfId="1776"/>
    <cellStyle name="Pattern 4 2 2 2" xfId="3015"/>
    <cellStyle name="Pattern 4 2 3" xfId="2679"/>
    <cellStyle name="Pattern 4 3" xfId="1689"/>
    <cellStyle name="Pattern 4 3 2" xfId="2928"/>
    <cellStyle name="Pattern 4 4" xfId="1104"/>
    <cellStyle name="Pattern 4 4 2" xfId="2347"/>
    <cellStyle name="Pattern 4 5" xfId="806"/>
    <cellStyle name="Pattern 4 5 2" xfId="3314"/>
    <cellStyle name="Pattern 4 6" xfId="2053"/>
    <cellStyle name="Pattern 5" xfId="649"/>
    <cellStyle name="Pattern 5 2" xfId="1879"/>
    <cellStyle name="Pattern 5 2 2" xfId="3118"/>
    <cellStyle name="Pattern 5 3" xfId="1102"/>
    <cellStyle name="Pattern 5 3 2" xfId="2345"/>
    <cellStyle name="Pattern 5 4" xfId="953"/>
    <cellStyle name="Pattern 5 4 2" xfId="3391"/>
    <cellStyle name="Pattern 5 5" xfId="2196"/>
    <cellStyle name="Pattern 6" xfId="350"/>
    <cellStyle name="Pattern 6 2" xfId="1756"/>
    <cellStyle name="Pattern 6 2 2" xfId="2995"/>
    <cellStyle name="Pattern 6 3" xfId="1343"/>
    <cellStyle name="Pattern 6 3 2" xfId="2584"/>
    <cellStyle name="Pattern 6 4" xfId="304"/>
    <cellStyle name="Pattern 6 5" xfId="2018"/>
    <cellStyle name="Pattern 7" xfId="373"/>
    <cellStyle name="Pattern 7 2" xfId="1789"/>
    <cellStyle name="Pattern 7 2 2" xfId="3028"/>
    <cellStyle name="Pattern 7 3" xfId="1357"/>
    <cellStyle name="Pattern 7 4" xfId="2598"/>
    <cellStyle name="Pattern 8" xfId="1364"/>
    <cellStyle name="Pattern 8 2" xfId="2605"/>
    <cellStyle name="Pattern 9" xfId="491"/>
    <cellStyle name="Pattern 9 2" xfId="3311"/>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abeltitel 2 2" xfId="409"/>
    <cellStyle name="Tabeltitel 2 2 2" xfId="467"/>
    <cellStyle name="Tabeltitel 2 2 2 2" xfId="494"/>
    <cellStyle name="Tabeltitel 2 2 2 2 2" xfId="648"/>
    <cellStyle name="Tabeltitel 2 2 2 2 2 2" xfId="1878"/>
    <cellStyle name="Tabeltitel 2 2 2 2 2 2 2" xfId="3117"/>
    <cellStyle name="Tabeltitel 2 2 2 2 2 3" xfId="1563"/>
    <cellStyle name="Tabeltitel 2 2 2 2 2 4" xfId="2803"/>
    <cellStyle name="Tabeltitel 2 2 2 2 3" xfId="1744"/>
    <cellStyle name="Tabeltitel 2 2 2 2 3 2" xfId="2983"/>
    <cellStyle name="Tabeltitel 2 2 2 2 4" xfId="1428"/>
    <cellStyle name="Tabeltitel 2 2 2 2 4 2" xfId="2668"/>
    <cellStyle name="Tabeltitel 2 2 2 2 5" xfId="952"/>
    <cellStyle name="Tabeltitel 2 2 2 2 5 2" xfId="3390"/>
    <cellStyle name="Tabeltitel 2 2 2 2 6" xfId="2195"/>
    <cellStyle name="Tabeltitel 2 2 2 3" xfId="712"/>
    <cellStyle name="Tabeltitel 2 2 2 3 2" xfId="1942"/>
    <cellStyle name="Tabeltitel 2 2 2 3 2 2" xfId="3181"/>
    <cellStyle name="Tabeltitel 2 2 2 3 3" xfId="1624"/>
    <cellStyle name="Tabeltitel 2 2 2 3 3 2" xfId="2864"/>
    <cellStyle name="Tabeltitel 2 2 2 3 4" xfId="1016"/>
    <cellStyle name="Tabeltitel 2 2 2 3 5" xfId="2259"/>
    <cellStyle name="Tabeltitel 2 2 2 4" xfId="1410"/>
    <cellStyle name="Tabeltitel 2 2 2 4 2" xfId="2650"/>
    <cellStyle name="Tabeltitel 2 2 2 5" xfId="1705"/>
    <cellStyle name="Tabeltitel 2 2 2 5 2" xfId="2944"/>
    <cellStyle name="Tabeltitel 2 2 2 6" xfId="1232"/>
    <cellStyle name="Tabeltitel 2 2 2 6 2" xfId="2473"/>
    <cellStyle name="Tabeltitel 2 2 3" xfId="472"/>
    <cellStyle name="Tabeltitel 2 2 3 2" xfId="567"/>
    <cellStyle name="Tabeltitel 2 2 3 2 2" xfId="1493"/>
    <cellStyle name="Tabeltitel 2 2 3 2 3" xfId="2733"/>
    <cellStyle name="Tabeltitel 2 2 3 3" xfId="1809"/>
    <cellStyle name="Tabeltitel 2 2 3 3 2" xfId="3048"/>
    <cellStyle name="Tabeltitel 2 2 3 4" xfId="1413"/>
    <cellStyle name="Tabeltitel 2 2 3 4 2" xfId="2653"/>
    <cellStyle name="Tabeltitel 2 2 3 5" xfId="871"/>
    <cellStyle name="Tabeltitel 2 2 3 6" xfId="2115"/>
    <cellStyle name="Tabeltitel 2 2 4" xfId="616"/>
    <cellStyle name="Tabeltitel 2 2 4 2" xfId="1846"/>
    <cellStyle name="Tabeltitel 2 2 4 2 2" xfId="3085"/>
    <cellStyle name="Tabeltitel 2 2 4 3" xfId="1531"/>
    <cellStyle name="Tabeltitel 2 2 4 3 2" xfId="2771"/>
    <cellStyle name="Tabeltitel 2 2 4 4" xfId="920"/>
    <cellStyle name="Tabeltitel 2 2 4 5" xfId="2163"/>
    <cellStyle name="Tabeltitel 2 2 5" xfId="680"/>
    <cellStyle name="Tabeltitel 2 2 5 2" xfId="1910"/>
    <cellStyle name="Tabeltitel 2 2 5 2 2" xfId="3149"/>
    <cellStyle name="Tabeltitel 2 2 5 3" xfId="1592"/>
    <cellStyle name="Tabeltitel 2 2 5 3 2" xfId="2832"/>
    <cellStyle name="Tabeltitel 2 2 5 4" xfId="984"/>
    <cellStyle name="Tabeltitel 2 2 5 5" xfId="2227"/>
    <cellStyle name="Tabeltitel 2 2 6" xfId="742"/>
    <cellStyle name="Tabeltitel 2 2 6 2" xfId="1972"/>
    <cellStyle name="Tabeltitel 2 2 6 2 2" xfId="3211"/>
    <cellStyle name="Tabeltitel 2 2 6 3" xfId="1650"/>
    <cellStyle name="Tabeltitel 2 2 6 3 2" xfId="2889"/>
    <cellStyle name="Tabeltitel 2 2 6 4" xfId="1046"/>
    <cellStyle name="Tabeltitel 2 2 6 5" xfId="2289"/>
    <cellStyle name="Tabeltitel 2 2 7" xfId="1234"/>
    <cellStyle name="Tabeltitel 2 2 7 2" xfId="2475"/>
    <cellStyle name="Tabeltitel 2 2 8" xfId="1191"/>
    <cellStyle name="Tabeltitel 2 2 8 2" xfId="2432"/>
    <cellStyle name="Tabeltitel 2 3" xfId="421"/>
    <cellStyle name="Tabeltitel 2 3 2" xfId="662"/>
    <cellStyle name="Tabeltitel 2 3 2 2" xfId="1892"/>
    <cellStyle name="Tabeltitel 2 3 2 2 2" xfId="3131"/>
    <cellStyle name="Tabeltitel 2 3 2 3" xfId="1574"/>
    <cellStyle name="Tabeltitel 2 3 2 4" xfId="2814"/>
    <cellStyle name="Tabeltitel 2 3 3" xfId="1381"/>
    <cellStyle name="Tabeltitel 2 3 3 2" xfId="2622"/>
    <cellStyle name="Tabeltitel 2 3 4" xfId="1686"/>
    <cellStyle name="Tabeltitel 2 3 4 2" xfId="2925"/>
    <cellStyle name="Tabeltitel 2 3 5" xfId="1199"/>
    <cellStyle name="Tabeltitel 2 3 5 2" xfId="2440"/>
    <cellStyle name="Tabeltitel 2 3 6" xfId="966"/>
    <cellStyle name="Tabeltitel 2 3 6 2" xfId="3404"/>
    <cellStyle name="Tabeltitel 2 3 7" xfId="2209"/>
    <cellStyle name="Tabeltitel 2 4" xfId="312"/>
    <cellStyle name="Tabeltitel 2 4 2" xfId="1164"/>
    <cellStyle name="Tabeltitel 2 4 2 2" xfId="2406"/>
    <cellStyle name="Tabeltitel 2 4 3" xfId="1252"/>
    <cellStyle name="Tabeltitel 2 4 3 2" xfId="2493"/>
    <cellStyle name="Tabeltitel 2 4 4" xfId="1213"/>
    <cellStyle name="Tabeltitel 2 4 5" xfId="2454"/>
    <cellStyle name="Tabeltitel 2 5" xfId="1142"/>
    <cellStyle name="Tabeltitel 2 5 2" xfId="2384"/>
    <cellStyle name="Tabeltitel 2 6" xfId="1101"/>
    <cellStyle name="Tabeltitel 2 6 2" xfId="2344"/>
    <cellStyle name="Tabeltitel 3" xfId="343"/>
    <cellStyle name="Tabeltitel 3 2" xfId="433"/>
    <cellStyle name="Tabeltitel 3 2 2" xfId="485"/>
    <cellStyle name="Tabeltitel 3 2 2 2" xfId="633"/>
    <cellStyle name="Tabeltitel 3 2 2 2 2" xfId="1863"/>
    <cellStyle name="Tabeltitel 3 2 2 2 2 2" xfId="3102"/>
    <cellStyle name="Tabeltitel 3 2 2 2 3" xfId="1548"/>
    <cellStyle name="Tabeltitel 3 2 2 2 4" xfId="2788"/>
    <cellStyle name="Tabeltitel 3 2 2 3" xfId="1729"/>
    <cellStyle name="Tabeltitel 3 2 2 3 2" xfId="2968"/>
    <cellStyle name="Tabeltitel 3 2 2 4" xfId="1423"/>
    <cellStyle name="Tabeltitel 3 2 2 4 2" xfId="2663"/>
    <cellStyle name="Tabeltitel 3 2 2 5" xfId="937"/>
    <cellStyle name="Tabeltitel 3 2 2 5 2" xfId="3388"/>
    <cellStyle name="Tabeltitel 3 2 2 6" xfId="2180"/>
    <cellStyle name="Tabeltitel 3 2 3" xfId="697"/>
    <cellStyle name="Tabeltitel 3 2 3 2" xfId="1927"/>
    <cellStyle name="Tabeltitel 3 2 3 2 2" xfId="3166"/>
    <cellStyle name="Tabeltitel 3 2 3 3" xfId="1609"/>
    <cellStyle name="Tabeltitel 3 2 3 3 2" xfId="2849"/>
    <cellStyle name="Tabeltitel 3 2 3 4" xfId="1001"/>
    <cellStyle name="Tabeltitel 3 2 3 5" xfId="2244"/>
    <cellStyle name="Tabeltitel 3 2 4" xfId="1386"/>
    <cellStyle name="Tabeltitel 3 2 4 2" xfId="2627"/>
    <cellStyle name="Tabeltitel 3 2 5" xfId="1361"/>
    <cellStyle name="Tabeltitel 3 2 5 2" xfId="2602"/>
    <cellStyle name="Tabeltitel 3 2 6" xfId="1168"/>
    <cellStyle name="Tabeltitel 3 2 6 2" xfId="2410"/>
    <cellStyle name="Tabeltitel 3 3" xfId="356"/>
    <cellStyle name="Tabeltitel 3 3 2" xfId="512"/>
    <cellStyle name="Tabeltitel 3 3 2 2" xfId="1779"/>
    <cellStyle name="Tabeltitel 3 3 2 2 2" xfId="3018"/>
    <cellStyle name="Tabeltitel 3 3 2 3" xfId="1442"/>
    <cellStyle name="Tabeltitel 3 3 2 4" xfId="2682"/>
    <cellStyle name="Tabeltitel 3 3 3" xfId="1710"/>
    <cellStyle name="Tabeltitel 3 3 3 2" xfId="2949"/>
    <cellStyle name="Tabeltitel 3 3 4" xfId="1347"/>
    <cellStyle name="Tabeltitel 3 3 4 2" xfId="2588"/>
    <cellStyle name="Tabeltitel 3 3 5" xfId="812"/>
    <cellStyle name="Tabeltitel 3 3 6" xfId="2056"/>
    <cellStyle name="Tabeltitel 3 4" xfId="500"/>
    <cellStyle name="Tabeltitel 3 4 2" xfId="1769"/>
    <cellStyle name="Tabeltitel 3 4 2 2" xfId="3008"/>
    <cellStyle name="Tabeltitel 3 4 3" xfId="1431"/>
    <cellStyle name="Tabeltitel 3 4 3 2" xfId="2671"/>
    <cellStyle name="Tabeltitel 3 4 4" xfId="795"/>
    <cellStyle name="Tabeltitel 3 4 5" xfId="2043"/>
    <cellStyle name="Tabeltitel 3 5" xfId="328"/>
    <cellStyle name="Tabeltitel 3 5 2" xfId="1754"/>
    <cellStyle name="Tabeltitel 3 5 2 2" xfId="2993"/>
    <cellStyle name="Tabeltitel 3 5 3" xfId="1196"/>
    <cellStyle name="Tabeltitel 3 5 3 2" xfId="2437"/>
    <cellStyle name="Tabeltitel 3 5 4" xfId="283"/>
    <cellStyle name="Tabeltitel 3 5 5" xfId="2015"/>
    <cellStyle name="Tabeltitel 3 6" xfId="340"/>
    <cellStyle name="Tabeltitel 3 6 2" xfId="1755"/>
    <cellStyle name="Tabeltitel 3 6 2 2" xfId="2994"/>
    <cellStyle name="Tabeltitel 3 6 3" xfId="1258"/>
    <cellStyle name="Tabeltitel 3 6 3 2" xfId="2499"/>
    <cellStyle name="Tabeltitel 3 6 4" xfId="435"/>
    <cellStyle name="Tabeltitel 3 6 5" xfId="2016"/>
    <cellStyle name="Tabeltitel 3 7" xfId="1807"/>
    <cellStyle name="Tabeltitel 3 7 2" xfId="3046"/>
    <cellStyle name="Tabeltitel 3 8" xfId="1529"/>
    <cellStyle name="Tabeltitel 3 8 2" xfId="2769"/>
    <cellStyle name="Tabeltitel 3 9" xfId="1083"/>
    <cellStyle name="Tabeltitel 3 9 2" xfId="2326"/>
    <cellStyle name="Tabeltitel 4" xfId="293"/>
    <cellStyle name="Tabeltitel 4 2" xfId="416"/>
    <cellStyle name="Tabeltitel 4 2 2" xfId="1750"/>
    <cellStyle name="Tabeltitel 4 2 2 2" xfId="2989"/>
    <cellStyle name="Tabeltitel 4 2 3" xfId="1378"/>
    <cellStyle name="Tabeltitel 4 2 4" xfId="2619"/>
    <cellStyle name="Tabeltitel 4 3" xfId="1253"/>
    <cellStyle name="Tabeltitel 4 3 2" xfId="2494"/>
    <cellStyle name="Tabeltitel 4 4" xfId="1297"/>
    <cellStyle name="Tabeltitel 4 4 2" xfId="2538"/>
    <cellStyle name="Tabeltitel 4 5" xfId="1141"/>
    <cellStyle name="Tabeltitel 4 5 2" xfId="2383"/>
    <cellStyle name="Tabeltitel 4 6" xfId="301"/>
    <cellStyle name="Tabeltitel 4 6 2" xfId="3264"/>
    <cellStyle name="Tabeltitel 4 7" xfId="2011"/>
    <cellStyle name="Tabeltitel 5" xfId="353"/>
    <cellStyle name="Tabeltitel 5 2" xfId="1345"/>
    <cellStyle name="Tabeltitel 5 2 2" xfId="2586"/>
    <cellStyle name="Tabeltitel 5 3" xfId="1304"/>
    <cellStyle name="Tabeltitel 5 3 2" xfId="2545"/>
    <cellStyle name="Tabeltitel 5 4" xfId="1163"/>
    <cellStyle name="Tabeltitel 5 5" xfId="2405"/>
    <cellStyle name="Tabeltitel 6" xfId="1131"/>
    <cellStyle name="Tabeltitel 6 2" xfId="2373"/>
    <cellStyle name="Tabeltitel 7" xfId="378"/>
    <cellStyle name="Tabeltitel 7 2" xfId="2019"/>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723</v>
      </c>
      <c r="B2" s="398"/>
      <c r="C2" s="399"/>
    </row>
    <row r="3" spans="1:7" s="11" customFormat="1" ht="15" customHeight="1">
      <c r="A3" s="93"/>
      <c r="B3" s="74"/>
      <c r="C3" s="94"/>
    </row>
    <row r="4" spans="1:7" s="11" customFormat="1" ht="15.75" customHeight="1" thickBot="1">
      <c r="A4" s="105" t="s">
        <v>962</v>
      </c>
      <c r="B4" s="106"/>
      <c r="C4" s="107"/>
    </row>
    <row r="5" spans="1:7" s="392" customFormat="1" ht="15.75" customHeight="1">
      <c r="A5" s="389" t="s">
        <v>0</v>
      </c>
      <c r="B5" s="390"/>
      <c r="C5" s="391"/>
    </row>
    <row r="6" spans="1:7" s="392" customFormat="1" ht="15" customHeight="1">
      <c r="A6" s="393" t="str">
        <f>txtNIS</f>
        <v>24028</v>
      </c>
      <c r="B6" s="394"/>
      <c r="C6" s="395"/>
    </row>
    <row r="7" spans="1:7" s="392" customFormat="1" ht="15.75" customHeight="1">
      <c r="A7" s="396" t="str">
        <f>txtMunicipality</f>
        <v>GEETBETS</v>
      </c>
      <c r="B7" s="394"/>
      <c r="C7" s="395"/>
    </row>
    <row r="8" spans="1:7" ht="15.75" thickBot="1">
      <c r="A8" s="45"/>
      <c r="B8" s="108"/>
      <c r="C8" s="109"/>
    </row>
    <row r="9" spans="1:7" s="385" customFormat="1" ht="15.75" thickBot="1">
      <c r="A9" s="409" t="s">
        <v>356</v>
      </c>
      <c r="B9" s="412"/>
      <c r="C9" s="413"/>
    </row>
    <row r="10" spans="1:7" s="15" customFormat="1" ht="57.75" customHeight="1" thickBot="1">
      <c r="A10" s="1059" t="s">
        <v>722</v>
      </c>
      <c r="B10" s="1060"/>
      <c r="C10" s="1061"/>
    </row>
    <row r="11" spans="1:7" s="386" customFormat="1" ht="15.75" thickBot="1">
      <c r="A11" s="409" t="s">
        <v>359</v>
      </c>
      <c r="B11" s="412"/>
      <c r="C11" s="413"/>
      <c r="G11" s="387"/>
    </row>
    <row r="12" spans="1:7">
      <c r="A12" s="44"/>
      <c r="B12" s="43"/>
      <c r="C12" s="96"/>
    </row>
    <row r="13" spans="1:7" s="386" customFormat="1">
      <c r="A13" s="763" t="s">
        <v>626</v>
      </c>
      <c r="B13" s="383"/>
      <c r="C13" s="384"/>
      <c r="D13" s="385"/>
      <c r="E13" s="385"/>
      <c r="G13" s="387"/>
    </row>
    <row r="14" spans="1:7" s="386" customFormat="1">
      <c r="A14" s="388"/>
      <c r="B14" s="383"/>
      <c r="C14" s="384"/>
      <c r="D14" s="385"/>
      <c r="E14" s="385"/>
      <c r="G14" s="387"/>
    </row>
    <row r="15" spans="1:7" s="15" customFormat="1" ht="15.75" thickBot="1">
      <c r="A15" s="97"/>
      <c r="B15" s="43"/>
      <c r="C15" s="96"/>
      <c r="D15"/>
      <c r="E15"/>
      <c r="G15" s="68"/>
    </row>
    <row r="16" spans="1:7" s="385" customFormat="1" ht="32.25" customHeight="1" thickBot="1">
      <c r="A16" s="409" t="s">
        <v>360</v>
      </c>
      <c r="B16" s="1062" t="s">
        <v>531</v>
      </c>
      <c r="C16" s="1063"/>
    </row>
    <row r="17" spans="1:3" s="15" customFormat="1" ht="15.75">
      <c r="A17" s="98"/>
      <c r="B17" s="70"/>
      <c r="C17" s="99"/>
    </row>
    <row r="18" spans="1:3">
      <c r="A18" s="95" t="s">
        <v>363</v>
      </c>
      <c r="B18" s="69" t="s">
        <v>375</v>
      </c>
      <c r="C18" s="100" t="s">
        <v>374</v>
      </c>
    </row>
    <row r="19" spans="1:3" s="337" customFormat="1">
      <c r="A19" s="376" t="s">
        <v>361</v>
      </c>
      <c r="B19" s="377" t="s">
        <v>706</v>
      </c>
      <c r="C19" s="378" t="s">
        <v>529</v>
      </c>
    </row>
    <row r="20" spans="1:3" s="337" customFormat="1">
      <c r="A20" s="379"/>
      <c r="B20" s="334"/>
      <c r="C20" s="380"/>
    </row>
    <row r="21" spans="1:3" s="337" customFormat="1">
      <c r="A21" s="381" t="s">
        <v>362</v>
      </c>
      <c r="B21" s="377" t="s">
        <v>526</v>
      </c>
      <c r="C21" s="378" t="s">
        <v>530</v>
      </c>
    </row>
    <row r="22" spans="1:3" s="337" customFormat="1">
      <c r="A22" s="382"/>
      <c r="B22" s="334"/>
      <c r="C22" s="380"/>
    </row>
    <row r="23" spans="1:3" s="337" customFormat="1" ht="30">
      <c r="A23" s="376" t="s">
        <v>443</v>
      </c>
      <c r="B23" s="448" t="s">
        <v>447</v>
      </c>
      <c r="C23" s="378" t="s">
        <v>527</v>
      </c>
    </row>
    <row r="24" spans="1:3" s="337" customFormat="1">
      <c r="A24" s="382"/>
      <c r="B24" s="334"/>
      <c r="C24" s="380"/>
    </row>
    <row r="25" spans="1:3" s="337" customFormat="1">
      <c r="A25" s="376" t="s">
        <v>445</v>
      </c>
      <c r="B25" s="377" t="s">
        <v>444</v>
      </c>
      <c r="C25" s="378" t="s">
        <v>528</v>
      </c>
    </row>
    <row r="26" spans="1:3" s="337" customFormat="1">
      <c r="A26" s="382"/>
      <c r="B26" s="334"/>
      <c r="C26" s="380"/>
    </row>
    <row r="27" spans="1:3" s="337" customFormat="1">
      <c r="A27" s="376" t="s">
        <v>417</v>
      </c>
      <c r="B27" s="377" t="s">
        <v>442</v>
      </c>
      <c r="C27" s="378"/>
    </row>
    <row r="28" spans="1:3" s="337" customFormat="1">
      <c r="A28" s="382"/>
      <c r="B28" s="334" t="s">
        <v>583</v>
      </c>
      <c r="C28" s="380"/>
    </row>
    <row r="29" spans="1:3" ht="15.75" thickBot="1">
      <c r="A29" s="44"/>
      <c r="B29" s="43"/>
      <c r="C29" s="96"/>
    </row>
    <row r="30" spans="1:3" s="385" customFormat="1" ht="15.75" thickBot="1">
      <c r="A30" s="409" t="s">
        <v>372</v>
      </c>
      <c r="B30" s="410"/>
      <c r="C30" s="411"/>
    </row>
    <row r="31" spans="1:3" s="15" customFormat="1" ht="15.75">
      <c r="A31" s="98"/>
      <c r="B31" s="71"/>
      <c r="C31" s="102"/>
    </row>
    <row r="32" spans="1:3" s="15" customFormat="1">
      <c r="A32" s="103" t="s">
        <v>373</v>
      </c>
      <c r="B32" s="73" t="s">
        <v>375</v>
      </c>
      <c r="C32" s="104"/>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475</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586</v>
      </c>
      <c r="B13" s="457"/>
      <c r="C13" s="476"/>
      <c r="D13" s="476"/>
      <c r="E13" s="476"/>
      <c r="F13" s="476"/>
      <c r="G13" s="476"/>
      <c r="H13" s="476"/>
      <c r="I13" s="476"/>
      <c r="J13" s="476"/>
      <c r="K13" s="476"/>
      <c r="L13" s="476"/>
      <c r="M13" s="476"/>
      <c r="N13" s="476"/>
      <c r="O13" s="1183"/>
      <c r="P13" s="1183"/>
    </row>
    <row r="14" spans="1:16" outlineLevel="1">
      <c r="A14" s="474"/>
      <c r="B14" s="52"/>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0.20375304547488254</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76" t="s">
        <v>327</v>
      </c>
      <c r="B1" s="1177" t="s">
        <v>194</v>
      </c>
      <c r="C1" s="1178"/>
      <c r="D1" s="1178"/>
      <c r="E1" s="1178"/>
      <c r="F1" s="1178"/>
      <c r="G1" s="1178"/>
      <c r="H1" s="1178"/>
      <c r="I1" s="1178"/>
      <c r="J1" s="1178"/>
      <c r="K1" s="1178"/>
      <c r="L1" s="1178"/>
      <c r="M1" s="1178"/>
      <c r="N1" s="1178"/>
      <c r="O1" s="1178"/>
      <c r="P1" s="1178"/>
    </row>
    <row r="2" spans="1:16" ht="15" customHeight="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2"/>
      <c r="D5" s="472"/>
      <c r="E5" s="472"/>
      <c r="F5" s="52"/>
      <c r="G5" s="472"/>
      <c r="H5" s="472"/>
      <c r="I5" s="52"/>
      <c r="J5" s="52"/>
      <c r="K5" s="52"/>
      <c r="L5" s="52"/>
      <c r="M5" s="52"/>
      <c r="N5" s="52"/>
      <c r="O5" s="52"/>
      <c r="P5" s="52"/>
    </row>
    <row r="6" spans="1:16">
      <c r="B6" s="472"/>
      <c r="C6" s="52"/>
      <c r="D6" s="472"/>
      <c r="E6" s="472"/>
      <c r="F6" s="52"/>
      <c r="G6" s="472"/>
      <c r="H6" s="472"/>
      <c r="I6" s="52"/>
      <c r="J6" s="52"/>
      <c r="K6" s="52"/>
      <c r="L6" s="52"/>
      <c r="M6" s="52"/>
      <c r="N6" s="52"/>
      <c r="O6" s="52"/>
      <c r="P6" s="52"/>
    </row>
    <row r="7" spans="1:16">
      <c r="B7" s="472"/>
      <c r="C7" s="52"/>
      <c r="D7" s="472"/>
      <c r="E7" s="472"/>
      <c r="F7" s="52"/>
      <c r="G7" s="472"/>
      <c r="H7" s="472"/>
      <c r="I7" s="52"/>
      <c r="J7" s="52"/>
      <c r="K7" s="52"/>
      <c r="L7" s="52"/>
      <c r="M7" s="52"/>
      <c r="N7" s="52"/>
      <c r="O7" s="52"/>
      <c r="P7" s="52"/>
    </row>
    <row r="8" spans="1:16">
      <c r="A8" s="469"/>
      <c r="B8" s="472"/>
      <c r="C8" s="52"/>
      <c r="D8" s="472"/>
      <c r="E8" s="472"/>
      <c r="F8" s="52"/>
      <c r="G8" s="472"/>
      <c r="H8" s="472"/>
      <c r="I8" s="52"/>
      <c r="J8" s="52"/>
      <c r="K8" s="52"/>
      <c r="L8" s="52"/>
      <c r="M8" s="52"/>
      <c r="N8" s="52"/>
      <c r="O8" s="52"/>
      <c r="P8" s="52"/>
    </row>
    <row r="9" spans="1:16">
      <c r="B9" s="472"/>
      <c r="C9" s="52"/>
      <c r="D9" s="472"/>
      <c r="E9" s="472"/>
      <c r="F9" s="52"/>
      <c r="G9" s="472"/>
      <c r="H9" s="472"/>
      <c r="I9" s="52"/>
      <c r="J9" s="52"/>
      <c r="K9" s="52"/>
      <c r="L9" s="52"/>
      <c r="M9" s="52"/>
      <c r="N9" s="52"/>
      <c r="O9" s="52"/>
      <c r="P9" s="52"/>
    </row>
    <row r="10" spans="1:16">
      <c r="B10" s="472"/>
      <c r="C10" s="52"/>
      <c r="D10" s="472"/>
      <c r="E10" s="472"/>
      <c r="F10" s="52"/>
      <c r="G10" s="472"/>
      <c r="H10" s="472"/>
      <c r="I10" s="52"/>
      <c r="J10" s="52"/>
      <c r="K10" s="52"/>
      <c r="L10" s="52"/>
      <c r="M10" s="52"/>
      <c r="N10" s="52"/>
      <c r="O10" s="52"/>
      <c r="P10" s="52"/>
    </row>
    <row r="11" spans="1:16">
      <c r="B11" s="472"/>
      <c r="C11" s="52"/>
      <c r="D11" s="472"/>
      <c r="E11" s="472"/>
      <c r="F11" s="52"/>
      <c r="G11" s="472"/>
      <c r="H11" s="472"/>
      <c r="I11" s="52"/>
      <c r="J11" s="52"/>
      <c r="K11" s="52"/>
      <c r="L11" s="52"/>
      <c r="M11" s="52"/>
      <c r="N11" s="52"/>
      <c r="O11" s="52"/>
      <c r="P11" s="52"/>
    </row>
    <row r="12" spans="1:16">
      <c r="B12" s="472"/>
      <c r="C12" s="52"/>
      <c r="D12" s="472"/>
      <c r="E12" s="472"/>
      <c r="F12" s="52"/>
      <c r="G12" s="472"/>
      <c r="H12" s="472"/>
      <c r="I12" s="52"/>
      <c r="J12" s="52"/>
      <c r="K12" s="52"/>
      <c r="L12" s="52"/>
      <c r="M12" s="52"/>
      <c r="N12" s="52"/>
      <c r="O12" s="52"/>
      <c r="P12" s="52"/>
    </row>
    <row r="13" spans="1:16">
      <c r="B13" s="472"/>
      <c r="C13" s="52"/>
      <c r="D13" s="472"/>
      <c r="E13" s="472"/>
      <c r="F13" s="52"/>
      <c r="G13" s="472"/>
      <c r="H13" s="472"/>
      <c r="I13" s="52"/>
      <c r="J13" s="52"/>
      <c r="K13" s="52"/>
      <c r="L13" s="52"/>
      <c r="M13" s="52"/>
      <c r="N13" s="52"/>
      <c r="O13" s="52"/>
      <c r="P13" s="52"/>
    </row>
    <row r="14" spans="1:16">
      <c r="B14" s="472"/>
      <c r="C14" s="52"/>
      <c r="D14" s="472"/>
      <c r="E14" s="472"/>
      <c r="F14" s="52"/>
      <c r="G14" s="472"/>
      <c r="H14" s="472"/>
      <c r="I14" s="52"/>
      <c r="J14" s="52"/>
      <c r="K14" s="52"/>
      <c r="L14" s="52"/>
      <c r="M14" s="52"/>
      <c r="N14" s="52"/>
      <c r="O14" s="52"/>
      <c r="P14" s="52"/>
    </row>
    <row r="15" spans="1:16">
      <c r="B15" s="472"/>
      <c r="C15" s="52"/>
      <c r="D15" s="472"/>
      <c r="E15" s="472"/>
      <c r="F15" s="52"/>
      <c r="G15" s="472"/>
      <c r="H15" s="472"/>
      <c r="I15" s="52"/>
      <c r="J15" s="52"/>
      <c r="K15" s="52"/>
      <c r="L15" s="52"/>
      <c r="M15" s="52"/>
      <c r="N15" s="52"/>
      <c r="O15" s="52"/>
      <c r="P15" s="52"/>
    </row>
    <row r="16" spans="1:16">
      <c r="B16" s="472"/>
      <c r="C16" s="52"/>
      <c r="D16" s="472"/>
      <c r="E16" s="472"/>
      <c r="F16" s="52"/>
      <c r="G16" s="472"/>
      <c r="H16" s="472"/>
      <c r="I16" s="52"/>
      <c r="J16" s="52"/>
      <c r="K16" s="52"/>
      <c r="L16" s="52"/>
      <c r="M16" s="52"/>
      <c r="N16" s="52"/>
      <c r="O16" s="52"/>
      <c r="P16" s="52"/>
    </row>
    <row r="17" spans="1:16">
      <c r="B17" s="472"/>
      <c r="C17" s="52"/>
      <c r="D17" s="472"/>
      <c r="E17" s="472"/>
      <c r="F17" s="52"/>
      <c r="G17" s="472"/>
      <c r="H17" s="472"/>
      <c r="I17" s="52"/>
      <c r="J17" s="52"/>
      <c r="K17" s="52"/>
      <c r="L17" s="52"/>
      <c r="M17" s="52"/>
      <c r="N17" s="52"/>
      <c r="O17" s="52"/>
      <c r="P17" s="52"/>
    </row>
    <row r="18" spans="1:16">
      <c r="B18" s="472"/>
      <c r="C18" s="52"/>
      <c r="D18" s="472"/>
      <c r="E18" s="472"/>
      <c r="F18" s="52"/>
      <c r="G18" s="472"/>
      <c r="H18" s="472"/>
      <c r="I18" s="52"/>
      <c r="J18" s="52"/>
      <c r="K18" s="52"/>
      <c r="L18" s="52"/>
      <c r="M18" s="52"/>
      <c r="N18" s="52"/>
      <c r="O18" s="52"/>
      <c r="P18" s="52"/>
    </row>
    <row r="19" spans="1:16">
      <c r="B19" s="472"/>
      <c r="C19" s="52"/>
      <c r="D19" s="472"/>
      <c r="E19" s="472"/>
      <c r="F19" s="52"/>
      <c r="G19" s="472"/>
      <c r="H19" s="472"/>
      <c r="I19" s="52"/>
      <c r="J19" s="52"/>
      <c r="K19" s="52"/>
      <c r="L19" s="52"/>
      <c r="M19" s="52"/>
      <c r="N19" s="52"/>
      <c r="O19" s="52"/>
      <c r="P19" s="52"/>
    </row>
    <row r="20" spans="1:16">
      <c r="B20" s="472"/>
      <c r="C20" s="52"/>
      <c r="D20" s="472"/>
      <c r="E20" s="472"/>
      <c r="F20" s="52"/>
      <c r="G20" s="472"/>
      <c r="H20" s="472"/>
      <c r="I20" s="52"/>
      <c r="J20" s="52"/>
      <c r="K20" s="52"/>
      <c r="L20" s="52"/>
      <c r="M20" s="52"/>
      <c r="N20" s="52"/>
      <c r="O20" s="52"/>
      <c r="P20" s="52"/>
    </row>
    <row r="21" spans="1:16">
      <c r="B21" s="472"/>
      <c r="C21" s="52"/>
      <c r="D21" s="472"/>
      <c r="E21" s="472"/>
      <c r="F21" s="52"/>
      <c r="G21" s="472"/>
      <c r="H21" s="472"/>
      <c r="I21" s="52"/>
      <c r="J21" s="52"/>
      <c r="K21" s="52"/>
      <c r="L21" s="52"/>
      <c r="M21" s="52"/>
      <c r="N21" s="52"/>
      <c r="O21" s="52"/>
      <c r="P21" s="52"/>
    </row>
    <row r="22" spans="1:16">
      <c r="B22" s="472"/>
      <c r="C22" s="52"/>
      <c r="D22" s="472"/>
      <c r="E22" s="472"/>
      <c r="F22" s="52"/>
      <c r="G22" s="472"/>
      <c r="H22" s="472"/>
      <c r="I22" s="52"/>
      <c r="J22" s="52"/>
      <c r="K22" s="52"/>
      <c r="L22" s="52"/>
      <c r="M22" s="52"/>
      <c r="N22" s="52"/>
      <c r="O22" s="52"/>
      <c r="P22" s="52"/>
    </row>
    <row r="23" spans="1:16" ht="15.75" thickBot="1">
      <c r="B23" s="472"/>
      <c r="C23" s="52"/>
      <c r="D23" s="472"/>
      <c r="E23" s="472"/>
      <c r="F23" s="52"/>
      <c r="G23" s="472"/>
      <c r="H23" s="472"/>
      <c r="I23" s="52"/>
      <c r="J23" s="52"/>
      <c r="K23" s="52"/>
      <c r="L23" s="52"/>
      <c r="M23" s="52"/>
      <c r="N23" s="52"/>
      <c r="O23" s="52"/>
      <c r="P23" s="52"/>
    </row>
    <row r="24" spans="1:16" ht="15.75" thickBot="1">
      <c r="A24" s="475" t="s">
        <v>586</v>
      </c>
    </row>
    <row r="26" spans="1:16" s="469" customFormat="1">
      <c r="A26" s="477" t="s">
        <v>536</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604</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613</v>
      </c>
      <c r="B29" s="507">
        <f ca="1">'EF ele_warmte'!B12</f>
        <v>0.20375304547488254</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5" bestFit="1" customWidth="1"/>
    <col min="3" max="3" width="26" customWidth="1"/>
    <col min="4" max="4" width="69.42578125" customWidth="1"/>
  </cols>
  <sheetData>
    <row r="1" spans="1:11" s="43" customFormat="1" ht="15.75" thickBot="1">
      <c r="B1" s="457"/>
    </row>
    <row r="2" spans="1:11" s="43" customFormat="1">
      <c r="A2" s="185" t="s">
        <v>533</v>
      </c>
      <c r="B2" s="508"/>
      <c r="C2" s="186"/>
      <c r="D2" s="187"/>
    </row>
    <row r="3" spans="1:11">
      <c r="A3" s="101"/>
      <c r="B3" s="509"/>
      <c r="C3" s="142" t="s">
        <v>181</v>
      </c>
      <c r="D3" s="145" t="s">
        <v>392</v>
      </c>
    </row>
    <row r="4" spans="1:11">
      <c r="A4" s="44" t="s">
        <v>448</v>
      </c>
      <c r="B4" s="47"/>
      <c r="C4" s="32"/>
      <c r="D4" s="144" t="s">
        <v>394</v>
      </c>
    </row>
    <row r="5" spans="1:11">
      <c r="A5" s="44"/>
      <c r="B5" s="48"/>
      <c r="C5" s="32"/>
      <c r="D5" s="144"/>
    </row>
    <row r="6" spans="1:11" s="10" customFormat="1" ht="21.75" thickBot="1">
      <c r="A6" s="190" t="s">
        <v>481</v>
      </c>
      <c r="B6" s="510"/>
      <c r="C6" s="191"/>
      <c r="D6" s="192"/>
    </row>
    <row r="7" spans="1:11" s="43" customFormat="1" ht="15.75" thickBot="1">
      <c r="B7" s="457"/>
    </row>
    <row r="8" spans="1:11" s="43" customFormat="1">
      <c r="A8" s="185" t="s">
        <v>546</v>
      </c>
      <c r="B8" s="508"/>
      <c r="C8" s="186"/>
      <c r="D8" s="187"/>
    </row>
    <row r="9" spans="1:11" s="32" customFormat="1">
      <c r="A9" s="46"/>
      <c r="B9" s="511"/>
      <c r="C9" s="42"/>
      <c r="D9" s="302"/>
    </row>
    <row r="10" spans="1:11">
      <c r="A10" s="303" t="s">
        <v>574</v>
      </c>
      <c r="B10" s="509"/>
      <c r="C10" s="142" t="s">
        <v>181</v>
      </c>
      <c r="D10" s="145" t="s">
        <v>392</v>
      </c>
      <c r="I10" s="1184"/>
      <c r="K10" s="58"/>
    </row>
    <row r="11" spans="1:11" s="43" customFormat="1">
      <c r="A11" s="44" t="s">
        <v>575</v>
      </c>
      <c r="B11" s="47"/>
      <c r="D11" s="143" t="s">
        <v>393</v>
      </c>
      <c r="I11" s="1184"/>
      <c r="K11" s="58"/>
    </row>
    <row r="12" spans="1:11" s="43" customFormat="1">
      <c r="A12" s="44" t="s">
        <v>576</v>
      </c>
      <c r="B12" s="47"/>
      <c r="D12" s="143" t="s">
        <v>393</v>
      </c>
      <c r="I12" s="1184"/>
      <c r="K12" s="58"/>
    </row>
    <row r="13" spans="1:11" s="43" customFormat="1">
      <c r="A13" s="44"/>
      <c r="B13" s="457"/>
      <c r="D13" s="96"/>
      <c r="I13" s="1184"/>
    </row>
    <row r="14" spans="1:11" s="43" customFormat="1">
      <c r="A14" s="303" t="s">
        <v>573</v>
      </c>
      <c r="B14" s="509"/>
      <c r="C14" s="142" t="s">
        <v>181</v>
      </c>
      <c r="D14" s="145" t="s">
        <v>392</v>
      </c>
      <c r="I14" s="1184"/>
    </row>
    <row r="15" spans="1:11" s="43" customFormat="1">
      <c r="A15" s="44" t="s">
        <v>70</v>
      </c>
      <c r="B15" s="47"/>
      <c r="D15" s="143" t="s">
        <v>393</v>
      </c>
      <c r="I15" s="1184"/>
      <c r="J15" s="1184"/>
    </row>
    <row r="16" spans="1:11" s="43" customFormat="1">
      <c r="A16" s="44" t="s">
        <v>538</v>
      </c>
      <c r="B16" s="47"/>
      <c r="D16" s="143" t="s">
        <v>393</v>
      </c>
      <c r="I16" s="1184"/>
      <c r="J16" s="1184"/>
    </row>
    <row r="17" spans="1:11" s="43" customFormat="1">
      <c r="A17" s="44" t="s">
        <v>77</v>
      </c>
      <c r="B17" s="47"/>
      <c r="D17" s="143" t="s">
        <v>393</v>
      </c>
      <c r="I17" s="1184"/>
      <c r="J17" s="1184"/>
    </row>
    <row r="18" spans="1:11" s="43" customFormat="1">
      <c r="A18" s="44" t="s">
        <v>539</v>
      </c>
      <c r="B18" s="47"/>
      <c r="D18" s="143" t="s">
        <v>393</v>
      </c>
      <c r="I18" s="1184"/>
      <c r="J18" s="1184"/>
      <c r="K18" s="58"/>
    </row>
    <row r="19" spans="1:11" s="43" customFormat="1">
      <c r="A19" s="44" t="s">
        <v>76</v>
      </c>
      <c r="B19" s="47"/>
      <c r="D19" s="143" t="s">
        <v>393</v>
      </c>
      <c r="I19" s="1184"/>
      <c r="J19" s="1185"/>
      <c r="K19" s="58"/>
    </row>
    <row r="20" spans="1:11" s="43" customFormat="1">
      <c r="A20" s="32" t="s">
        <v>540</v>
      </c>
      <c r="B20" s="47"/>
      <c r="D20" s="143" t="s">
        <v>393</v>
      </c>
      <c r="I20" s="304"/>
      <c r="J20" s="305"/>
      <c r="K20" s="58"/>
    </row>
    <row r="21" spans="1:11" s="43" customFormat="1">
      <c r="A21" s="32" t="s">
        <v>541</v>
      </c>
      <c r="B21" s="47"/>
      <c r="D21" s="143" t="s">
        <v>393</v>
      </c>
      <c r="I21" s="304"/>
      <c r="J21" s="305"/>
      <c r="K21" s="58"/>
    </row>
    <row r="22" spans="1:11" s="43" customFormat="1">
      <c r="A22" s="32" t="s">
        <v>542</v>
      </c>
      <c r="B22" s="47"/>
      <c r="D22" s="143" t="s">
        <v>393</v>
      </c>
      <c r="I22" s="304"/>
      <c r="J22" s="305"/>
      <c r="K22" s="58"/>
    </row>
    <row r="23" spans="1:11">
      <c r="A23" s="32" t="s">
        <v>543</v>
      </c>
      <c r="B23" s="47"/>
      <c r="C23" s="43"/>
      <c r="D23" s="143" t="s">
        <v>393</v>
      </c>
      <c r="I23" s="58"/>
      <c r="J23" s="58"/>
      <c r="K23" s="58"/>
    </row>
    <row r="24" spans="1:11">
      <c r="A24" s="32" t="s">
        <v>544</v>
      </c>
      <c r="B24" s="47"/>
      <c r="C24" s="43"/>
      <c r="D24" s="143" t="s">
        <v>393</v>
      </c>
      <c r="I24" s="58"/>
      <c r="J24" s="58"/>
      <c r="K24" s="58"/>
    </row>
    <row r="25" spans="1:11">
      <c r="A25" s="58"/>
      <c r="B25" s="48"/>
      <c r="C25" s="43"/>
      <c r="D25" s="143"/>
      <c r="I25" s="58"/>
      <c r="J25" s="58"/>
      <c r="K25" s="58"/>
    </row>
    <row r="26" spans="1:11" ht="21.75" thickBot="1">
      <c r="A26" s="190" t="s">
        <v>584</v>
      </c>
      <c r="B26" s="512"/>
      <c r="C26" s="108"/>
      <c r="D26" s="109"/>
      <c r="I26" s="58"/>
      <c r="J26" s="58"/>
      <c r="K26" s="58"/>
    </row>
    <row r="28" spans="1:11" ht="15.75" thickBot="1"/>
    <row r="29" spans="1:11" s="43" customFormat="1">
      <c r="A29" s="185" t="s">
        <v>534</v>
      </c>
      <c r="B29" s="508"/>
      <c r="C29" s="186"/>
      <c r="D29" s="187"/>
    </row>
    <row r="30" spans="1:11" s="32" customFormat="1">
      <c r="A30" s="46"/>
      <c r="B30" s="511"/>
      <c r="C30" s="42"/>
      <c r="D30" s="302"/>
    </row>
    <row r="31" spans="1:11">
      <c r="A31" s="303" t="s">
        <v>574</v>
      </c>
      <c r="B31" s="509"/>
      <c r="C31" s="142" t="s">
        <v>181</v>
      </c>
      <c r="D31" s="145" t="s">
        <v>392</v>
      </c>
    </row>
    <row r="32" spans="1:11">
      <c r="A32" s="447" t="s">
        <v>575</v>
      </c>
      <c r="B32" s="47"/>
      <c r="C32" s="48"/>
      <c r="D32" s="143" t="s">
        <v>393</v>
      </c>
    </row>
    <row r="33" spans="1:11">
      <c r="A33" s="44"/>
      <c r="B33" s="48"/>
      <c r="C33" s="48"/>
      <c r="D33" s="143"/>
    </row>
    <row r="34" spans="1:11" s="43" customFormat="1">
      <c r="A34" s="303" t="s">
        <v>573</v>
      </c>
      <c r="B34" s="509"/>
      <c r="C34" s="142" t="s">
        <v>181</v>
      </c>
      <c r="D34" s="145" t="s">
        <v>392</v>
      </c>
      <c r="I34"/>
    </row>
    <row r="35" spans="1:11" s="43" customFormat="1">
      <c r="A35" s="446" t="s">
        <v>70</v>
      </c>
      <c r="B35" s="47"/>
      <c r="D35" s="143" t="s">
        <v>393</v>
      </c>
      <c r="I35" s="1184"/>
      <c r="J35" s="1184"/>
    </row>
    <row r="36" spans="1:11" s="43" customFormat="1">
      <c r="A36" s="446" t="s">
        <v>538</v>
      </c>
      <c r="B36" s="47"/>
      <c r="D36" s="143" t="s">
        <v>393</v>
      </c>
      <c r="I36" s="1184"/>
      <c r="J36" s="1184"/>
    </row>
    <row r="37" spans="1:11" s="43" customFormat="1">
      <c r="A37" s="446" t="s">
        <v>77</v>
      </c>
      <c r="B37" s="47"/>
      <c r="D37" s="143" t="s">
        <v>393</v>
      </c>
      <c r="I37" s="1184"/>
      <c r="J37" s="1184"/>
    </row>
    <row r="38" spans="1:11" s="43" customFormat="1">
      <c r="A38" s="446" t="s">
        <v>539</v>
      </c>
      <c r="B38" s="47"/>
      <c r="D38" s="143" t="s">
        <v>393</v>
      </c>
      <c r="I38" s="1184"/>
      <c r="J38" s="1184"/>
      <c r="K38" s="58"/>
    </row>
    <row r="39" spans="1:11" s="43" customFormat="1">
      <c r="A39" s="446" t="s">
        <v>76</v>
      </c>
      <c r="B39" s="47"/>
      <c r="D39" s="143" t="s">
        <v>393</v>
      </c>
      <c r="I39" s="1184"/>
      <c r="J39" s="1185"/>
      <c r="K39" s="58"/>
    </row>
    <row r="40" spans="1:11" s="43" customFormat="1">
      <c r="A40" s="182" t="s">
        <v>540</v>
      </c>
      <c r="B40" s="48"/>
      <c r="D40" s="143" t="s">
        <v>393</v>
      </c>
      <c r="I40" s="304"/>
      <c r="J40" s="305"/>
      <c r="K40" s="58"/>
    </row>
    <row r="41" spans="1:11" s="43" customFormat="1">
      <c r="A41" s="182" t="s">
        <v>541</v>
      </c>
      <c r="B41" s="47"/>
      <c r="D41" s="143" t="s">
        <v>393</v>
      </c>
      <c r="I41" s="304"/>
      <c r="J41" s="305"/>
      <c r="K41" s="58"/>
    </row>
    <row r="42" spans="1:11" s="43" customFormat="1">
      <c r="A42" s="182" t="s">
        <v>542</v>
      </c>
      <c r="B42" s="47"/>
      <c r="D42" s="143" t="s">
        <v>393</v>
      </c>
      <c r="I42" s="304"/>
      <c r="J42" s="305"/>
      <c r="K42" s="58"/>
    </row>
    <row r="43" spans="1:11">
      <c r="A43" s="182" t="s">
        <v>543</v>
      </c>
      <c r="B43" s="47"/>
      <c r="C43" s="43"/>
      <c r="D43" s="143" t="s">
        <v>393</v>
      </c>
      <c r="I43" s="58"/>
      <c r="J43" s="58"/>
      <c r="K43" s="58"/>
    </row>
    <row r="44" spans="1:11">
      <c r="A44" s="182" t="s">
        <v>544</v>
      </c>
      <c r="B44" s="47"/>
      <c r="C44" s="43"/>
      <c r="D44" s="143" t="s">
        <v>393</v>
      </c>
      <c r="I44" s="58"/>
      <c r="J44" s="58"/>
      <c r="K44" s="58"/>
    </row>
    <row r="45" spans="1:11" s="15" customFormat="1" ht="21.75" thickBot="1">
      <c r="A45" s="905"/>
      <c r="B45" s="188"/>
      <c r="C45" s="155"/>
      <c r="D45" s="306"/>
      <c r="I45" s="58"/>
      <c r="J45" s="58"/>
      <c r="K45" s="58"/>
    </row>
    <row r="46" spans="1:11" s="15" customFormat="1">
      <c r="A46" s="58"/>
      <c r="B46" s="48"/>
      <c r="C46" s="32"/>
      <c r="D46" s="32"/>
      <c r="I46" s="58"/>
      <c r="J46" s="58"/>
      <c r="K46" s="58"/>
    </row>
    <row r="47" spans="1:11" ht="15.75" thickBot="1"/>
    <row r="48" spans="1:11" s="43" customFormat="1">
      <c r="A48" s="185" t="s">
        <v>391</v>
      </c>
      <c r="B48" s="508"/>
      <c r="C48" s="186"/>
      <c r="D48" s="187"/>
    </row>
    <row r="49" spans="1:4">
      <c r="A49" s="101"/>
      <c r="B49" s="509"/>
      <c r="C49" s="142" t="s">
        <v>181</v>
      </c>
      <c r="D49" s="145" t="s">
        <v>392</v>
      </c>
    </row>
    <row r="50" spans="1:4">
      <c r="A50" s="44" t="s">
        <v>577</v>
      </c>
      <c r="B50" s="47"/>
      <c r="C50" s="32"/>
      <c r="D50" s="144" t="s">
        <v>394</v>
      </c>
    </row>
    <row r="51" spans="1:4">
      <c r="A51" s="44" t="s">
        <v>578</v>
      </c>
      <c r="B51" s="47"/>
      <c r="C51" s="32"/>
      <c r="D51" s="144" t="s">
        <v>394</v>
      </c>
    </row>
    <row r="52" spans="1:4" ht="15.75" thickBot="1">
      <c r="A52" s="45"/>
      <c r="B52" s="188"/>
      <c r="C52" s="155"/>
      <c r="D52" s="193"/>
    </row>
    <row r="54" spans="1:4" ht="15.75" thickBot="1"/>
    <row r="55" spans="1:4" s="43" customFormat="1">
      <c r="A55" s="185" t="s">
        <v>535</v>
      </c>
      <c r="B55" s="508"/>
      <c r="C55" s="186"/>
      <c r="D55" s="187"/>
    </row>
    <row r="56" spans="1:4">
      <c r="A56" s="101"/>
      <c r="B56" s="509"/>
      <c r="C56" s="142" t="s">
        <v>181</v>
      </c>
      <c r="D56" s="145" t="s">
        <v>392</v>
      </c>
    </row>
    <row r="57" spans="1:4">
      <c r="A57" s="44" t="s">
        <v>579</v>
      </c>
      <c r="B57" s="47"/>
      <c r="C57" s="32"/>
      <c r="D57" s="143" t="s">
        <v>154</v>
      </c>
    </row>
    <row r="58" spans="1:4">
      <c r="A58" s="44" t="s">
        <v>580</v>
      </c>
      <c r="B58" s="47"/>
      <c r="C58" s="32"/>
      <c r="D58" s="143" t="s">
        <v>155</v>
      </c>
    </row>
    <row r="59" spans="1:4">
      <c r="A59" s="44" t="s">
        <v>581</v>
      </c>
      <c r="B59" s="47"/>
      <c r="C59" s="48"/>
      <c r="D59" s="143" t="s">
        <v>390</v>
      </c>
    </row>
    <row r="60" spans="1:4">
      <c r="A60" s="44" t="s">
        <v>582</v>
      </c>
      <c r="B60" s="47"/>
      <c r="C60" s="48"/>
      <c r="D60" s="143" t="s">
        <v>111</v>
      </c>
    </row>
    <row r="61" spans="1:4">
      <c r="A61" s="44"/>
      <c r="B61" s="48"/>
      <c r="C61" s="48"/>
      <c r="D61" s="143"/>
    </row>
    <row r="62" spans="1:4" ht="21.75" thickBot="1">
      <c r="A62" s="190" t="s">
        <v>537</v>
      </c>
      <c r="B62" s="188"/>
      <c r="C62" s="188"/>
      <c r="D62" s="189"/>
    </row>
    <row r="63" spans="1:4" s="43"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4"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3" t="s">
        <v>599</v>
      </c>
      <c r="B1" s="644"/>
      <c r="C1" s="644"/>
      <c r="D1" s="644"/>
      <c r="E1" s="645"/>
    </row>
    <row r="2" spans="1:5">
      <c r="A2" s="656" t="s">
        <v>395</v>
      </c>
      <c r="B2" s="661" t="s">
        <v>525</v>
      </c>
      <c r="C2" s="657"/>
      <c r="D2" s="657"/>
      <c r="E2" s="658"/>
    </row>
    <row r="3" spans="1:5">
      <c r="A3" s="659"/>
      <c r="B3" s="660"/>
      <c r="C3" s="648"/>
      <c r="D3" s="648"/>
      <c r="E3" s="649"/>
    </row>
    <row r="4" spans="1:5" s="331" customFormat="1" ht="45">
      <c r="A4" s="647" t="s">
        <v>603</v>
      </c>
      <c r="B4" s="655" t="s">
        <v>592</v>
      </c>
      <c r="C4" s="676" t="s">
        <v>614</v>
      </c>
      <c r="D4" s="677" t="s">
        <v>615</v>
      </c>
      <c r="E4" s="678" t="s">
        <v>616</v>
      </c>
    </row>
    <row r="5" spans="1:5">
      <c r="A5" s="650" t="s">
        <v>593</v>
      </c>
      <c r="B5" s="642" t="s">
        <v>594</v>
      </c>
      <c r="C5" s="673">
        <v>3.678273E-2</v>
      </c>
      <c r="D5" s="674">
        <v>0.27778000000000003</v>
      </c>
      <c r="E5" s="666">
        <f>C5*D5</f>
        <v>1.0217506739400001E-2</v>
      </c>
    </row>
    <row r="6" spans="1:5">
      <c r="A6" s="650" t="s">
        <v>593</v>
      </c>
      <c r="B6" s="642" t="s">
        <v>595</v>
      </c>
      <c r="C6" s="673">
        <v>4.2278999999999997E-2</v>
      </c>
      <c r="D6" s="674">
        <v>0.27778000000000003</v>
      </c>
      <c r="E6" s="666">
        <f t="shared" ref="E6:E21" si="0">C6*D6</f>
        <v>1.174426062E-2</v>
      </c>
    </row>
    <row r="7" spans="1:5">
      <c r="A7" s="650" t="s">
        <v>593</v>
      </c>
      <c r="B7" s="642" t="s">
        <v>596</v>
      </c>
      <c r="C7" s="673">
        <v>42.279000000000003</v>
      </c>
      <c r="D7" s="674">
        <v>0.27778000000000003</v>
      </c>
      <c r="E7" s="666">
        <f t="shared" si="0"/>
        <v>11.744260620000002</v>
      </c>
    </row>
    <row r="8" spans="1:5">
      <c r="A8" s="650" t="s">
        <v>597</v>
      </c>
      <c r="B8" s="642" t="s">
        <v>594</v>
      </c>
      <c r="C8" s="673">
        <v>3.8573799999999998E-2</v>
      </c>
      <c r="D8" s="674">
        <v>0.27778000000000003</v>
      </c>
      <c r="E8" s="666">
        <f t="shared" si="0"/>
        <v>1.0715030164E-2</v>
      </c>
    </row>
    <row r="9" spans="1:5">
      <c r="A9" s="650" t="s">
        <v>597</v>
      </c>
      <c r="B9" s="642" t="s">
        <v>595</v>
      </c>
      <c r="C9" s="673">
        <v>4.0604000000000001E-2</v>
      </c>
      <c r="D9" s="674">
        <v>0.27778000000000003</v>
      </c>
      <c r="E9" s="666">
        <f t="shared" si="0"/>
        <v>1.1278979120000001E-2</v>
      </c>
    </row>
    <row r="10" spans="1:5">
      <c r="A10" s="650" t="s">
        <v>597</v>
      </c>
      <c r="B10" s="642" t="s">
        <v>596</v>
      </c>
      <c r="C10" s="673">
        <v>40.603999999999999</v>
      </c>
      <c r="D10" s="674">
        <v>0.27778000000000003</v>
      </c>
      <c r="E10" s="666">
        <f t="shared" si="0"/>
        <v>11.278979120000001</v>
      </c>
    </row>
    <row r="11" spans="1:5">
      <c r="A11" s="650" t="s">
        <v>617</v>
      </c>
      <c r="B11" s="642" t="s">
        <v>594</v>
      </c>
      <c r="C11" s="673">
        <v>2.3511000000000001E-2</v>
      </c>
      <c r="D11" s="674">
        <v>0.27778000000000003</v>
      </c>
      <c r="E11" s="666">
        <f t="shared" si="0"/>
        <v>6.5308855800000004E-3</v>
      </c>
    </row>
    <row r="12" spans="1:5">
      <c r="A12" s="650" t="s">
        <v>617</v>
      </c>
      <c r="B12" s="642" t="s">
        <v>595</v>
      </c>
      <c r="C12" s="673">
        <v>4.6100000000000002E-2</v>
      </c>
      <c r="D12" s="674">
        <v>0.27778000000000003</v>
      </c>
      <c r="E12" s="666">
        <f t="shared" si="0"/>
        <v>1.2805658000000001E-2</v>
      </c>
    </row>
    <row r="13" spans="1:5">
      <c r="A13" s="650" t="s">
        <v>617</v>
      </c>
      <c r="B13" s="642" t="s">
        <v>596</v>
      </c>
      <c r="C13" s="673">
        <v>46.1</v>
      </c>
      <c r="D13" s="674">
        <v>0.27778000000000003</v>
      </c>
      <c r="E13" s="666">
        <f t="shared" si="0"/>
        <v>12.805658000000001</v>
      </c>
    </row>
    <row r="14" spans="1:5">
      <c r="A14" s="650" t="s">
        <v>618</v>
      </c>
      <c r="B14" s="642" t="s">
        <v>594</v>
      </c>
      <c r="C14" s="673">
        <v>2.6525139999999999E-2</v>
      </c>
      <c r="D14" s="674">
        <v>0.27778000000000003</v>
      </c>
      <c r="E14" s="666">
        <f t="shared" si="0"/>
        <v>7.3681533892000009E-3</v>
      </c>
    </row>
    <row r="15" spans="1:5">
      <c r="A15" s="650" t="s">
        <v>618</v>
      </c>
      <c r="B15" s="642" t="s">
        <v>595</v>
      </c>
      <c r="C15" s="673">
        <v>4.5733000000000003E-2</v>
      </c>
      <c r="D15" s="674">
        <v>0.27778000000000003</v>
      </c>
      <c r="E15" s="666">
        <f t="shared" si="0"/>
        <v>1.2703712740000001E-2</v>
      </c>
    </row>
    <row r="16" spans="1:5">
      <c r="A16" s="650" t="s">
        <v>618</v>
      </c>
      <c r="B16" s="642" t="s">
        <v>596</v>
      </c>
      <c r="C16" s="673">
        <v>45.732999999999997</v>
      </c>
      <c r="D16" s="674">
        <v>0.27778000000000003</v>
      </c>
      <c r="E16" s="666">
        <f t="shared" si="0"/>
        <v>12.70371274</v>
      </c>
    </row>
    <row r="17" spans="1:10">
      <c r="A17" s="650" t="s">
        <v>601</v>
      </c>
      <c r="B17" s="642" t="s">
        <v>598</v>
      </c>
      <c r="C17" s="673">
        <v>3.2923000000000001E-2</v>
      </c>
      <c r="D17" s="674">
        <f>0.27778</f>
        <v>0.27778000000000003</v>
      </c>
      <c r="E17" s="666">
        <f t="shared" si="0"/>
        <v>9.1453509400000015E-3</v>
      </c>
    </row>
    <row r="18" spans="1:10">
      <c r="A18" s="650" t="s">
        <v>602</v>
      </c>
      <c r="B18" s="642" t="s">
        <v>598</v>
      </c>
      <c r="C18" s="673">
        <v>3.8852400000000002E-2</v>
      </c>
      <c r="D18" s="674">
        <f>0.27778</f>
        <v>0.27778000000000003</v>
      </c>
      <c r="E18" s="666">
        <f t="shared" si="0"/>
        <v>1.0792419672000002E-2</v>
      </c>
    </row>
    <row r="19" spans="1:10">
      <c r="A19" s="650" t="s">
        <v>605</v>
      </c>
      <c r="B19" s="642" t="s">
        <v>594</v>
      </c>
      <c r="C19" s="673">
        <v>2.4812460000000001E-2</v>
      </c>
      <c r="D19" s="674">
        <v>0.27778000000000003</v>
      </c>
      <c r="E19" s="666">
        <f t="shared" si="0"/>
        <v>6.8924051388000009E-3</v>
      </c>
    </row>
    <row r="20" spans="1:10">
      <c r="A20" s="650" t="s">
        <v>605</v>
      </c>
      <c r="B20" s="642" t="s">
        <v>595</v>
      </c>
      <c r="C20" s="673">
        <v>4.5948999999999997E-2</v>
      </c>
      <c r="D20" s="674">
        <v>0.27778000000000003</v>
      </c>
      <c r="E20" s="666">
        <f t="shared" si="0"/>
        <v>1.276371322E-2</v>
      </c>
    </row>
    <row r="21" spans="1:10">
      <c r="A21" s="650" t="s">
        <v>605</v>
      </c>
      <c r="B21" s="642" t="s">
        <v>596</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600</v>
      </c>
      <c r="B24" s="644"/>
      <c r="C24" s="644"/>
      <c r="D24" s="644"/>
      <c r="E24" s="645"/>
    </row>
    <row r="25" spans="1:10">
      <c r="A25" s="670" t="s">
        <v>395</v>
      </c>
      <c r="B25" s="1050" t="s">
        <v>948</v>
      </c>
      <c r="C25" s="648"/>
      <c r="D25" s="648"/>
      <c r="E25" s="649"/>
    </row>
    <row r="26" spans="1:10">
      <c r="A26" s="44"/>
      <c r="B26" s="43"/>
      <c r="C26" s="43"/>
      <c r="D26" s="43"/>
      <c r="E26" s="96"/>
    </row>
    <row r="27" spans="1:10" s="331" customFormat="1">
      <c r="A27" s="647" t="s">
        <v>603</v>
      </c>
      <c r="B27" s="655" t="s">
        <v>592</v>
      </c>
      <c r="C27" s="663"/>
      <c r="D27" s="662"/>
      <c r="E27" s="678" t="s">
        <v>607</v>
      </c>
    </row>
    <row r="28" spans="1:10">
      <c r="A28" s="650" t="s">
        <v>201</v>
      </c>
      <c r="B28" s="642" t="s">
        <v>594</v>
      </c>
      <c r="C28" s="664"/>
      <c r="D28" s="665"/>
      <c r="E28" s="672">
        <f>E29*0.84</f>
        <v>9.962166666666666E-3</v>
      </c>
      <c r="G28" s="786"/>
      <c r="H28" s="881"/>
      <c r="I28" s="786"/>
      <c r="J28" s="786"/>
    </row>
    <row r="29" spans="1:10">
      <c r="A29" s="650" t="s">
        <v>201</v>
      </c>
      <c r="B29" s="642" t="s">
        <v>595</v>
      </c>
      <c r="C29" s="664"/>
      <c r="D29" s="665"/>
      <c r="E29" s="672">
        <f>0.042695/3.6</f>
        <v>1.1859722222222221E-2</v>
      </c>
      <c r="G29" s="879"/>
      <c r="H29" s="881"/>
      <c r="I29" s="786"/>
      <c r="J29" s="786"/>
    </row>
    <row r="30" spans="1:10">
      <c r="A30" s="650" t="s">
        <v>119</v>
      </c>
      <c r="B30" s="642" t="s">
        <v>594</v>
      </c>
      <c r="C30" s="664"/>
      <c r="D30" s="665"/>
      <c r="E30" s="672">
        <f>E31*0.75</f>
        <v>9.1195833333333337E-3</v>
      </c>
      <c r="G30" s="786"/>
      <c r="H30" s="881"/>
      <c r="I30" s="786"/>
      <c r="J30" s="786"/>
    </row>
    <row r="31" spans="1:10">
      <c r="A31" s="650" t="s">
        <v>119</v>
      </c>
      <c r="B31" s="642" t="s">
        <v>595</v>
      </c>
      <c r="C31" s="664"/>
      <c r="D31" s="665"/>
      <c r="E31" s="672">
        <f>0.043774/3.6</f>
        <v>1.2159444444444445E-2</v>
      </c>
      <c r="G31" s="786"/>
      <c r="H31" s="786"/>
      <c r="I31" s="786"/>
      <c r="J31" s="786"/>
    </row>
    <row r="32" spans="1:10">
      <c r="A32" s="650" t="s">
        <v>605</v>
      </c>
      <c r="B32" s="642" t="s">
        <v>594</v>
      </c>
      <c r="C32" s="664"/>
      <c r="D32" s="665"/>
      <c r="E32" s="672">
        <f>E33*0.52</f>
        <v>6.7259111111111118E-3</v>
      </c>
      <c r="G32" s="786"/>
      <c r="H32" s="881"/>
    </row>
    <row r="33" spans="1:8">
      <c r="A33" s="650" t="s">
        <v>605</v>
      </c>
      <c r="B33" s="642" t="s">
        <v>595</v>
      </c>
      <c r="C33" s="664"/>
      <c r="D33" s="665"/>
      <c r="E33" s="672">
        <f>0.046564/3.6</f>
        <v>1.2934444444444445E-2</v>
      </c>
      <c r="G33" s="786"/>
      <c r="H33" s="881"/>
    </row>
    <row r="34" spans="1:8">
      <c r="A34" s="650" t="s">
        <v>606</v>
      </c>
      <c r="B34" s="642" t="s">
        <v>594</v>
      </c>
      <c r="C34" s="664"/>
      <c r="D34" s="665"/>
      <c r="E34" s="672">
        <f>E35*0.175</f>
        <v>2.3333333333333331E-3</v>
      </c>
      <c r="G34" s="786"/>
      <c r="H34" s="880"/>
    </row>
    <row r="35" spans="1:8">
      <c r="A35" s="650" t="s">
        <v>606</v>
      </c>
      <c r="B35" s="642" t="s">
        <v>595</v>
      </c>
      <c r="C35" s="664"/>
      <c r="D35" s="665"/>
      <c r="E35" s="672">
        <f>0.048/3.6</f>
        <v>1.3333333333333332E-2</v>
      </c>
      <c r="G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446</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459</v>
      </c>
      <c r="B6" s="130" t="s">
        <v>460</v>
      </c>
      <c r="C6" s="131" t="s">
        <v>462</v>
      </c>
    </row>
    <row r="7" spans="1:3" s="11" customFormat="1">
      <c r="A7" s="123"/>
      <c r="B7" s="159"/>
      <c r="C7" s="160" t="s">
        <v>619</v>
      </c>
    </row>
    <row r="8" spans="1:3" s="11" customFormat="1">
      <c r="A8" s="132"/>
      <c r="B8" s="133"/>
      <c r="C8" s="134"/>
    </row>
    <row r="9" spans="1:3" s="11" customFormat="1">
      <c r="A9" s="113" t="s">
        <v>461</v>
      </c>
      <c r="B9" s="130" t="s">
        <v>464</v>
      </c>
      <c r="C9" s="131" t="s">
        <v>521</v>
      </c>
    </row>
    <row r="10" spans="1:3" s="11" customFormat="1">
      <c r="A10" s="132"/>
      <c r="B10" s="133"/>
      <c r="C10" s="134"/>
    </row>
    <row r="11" spans="1:3" s="11" customFormat="1" ht="18">
      <c r="A11" s="113" t="s">
        <v>463</v>
      </c>
      <c r="B11" s="130" t="s">
        <v>465</v>
      </c>
      <c r="C11" s="157" t="s">
        <v>519</v>
      </c>
    </row>
    <row r="12" spans="1:3" s="11" customFormat="1">
      <c r="A12" s="132"/>
      <c r="B12" s="133"/>
      <c r="C12" s="134"/>
    </row>
    <row r="13" spans="1:3" s="11" customFormat="1" ht="18">
      <c r="A13" s="113" t="s">
        <v>466</v>
      </c>
      <c r="B13" s="130" t="s">
        <v>467</v>
      </c>
      <c r="C13" s="158" t="s">
        <v>520</v>
      </c>
    </row>
    <row r="14" spans="1:3" s="11" customFormat="1">
      <c r="A14" s="132"/>
      <c r="B14" s="133"/>
      <c r="C14" s="134"/>
    </row>
    <row r="15" spans="1:3" s="11" customFormat="1" ht="18">
      <c r="A15" s="113" t="s">
        <v>468</v>
      </c>
      <c r="B15" t="s">
        <v>472</v>
      </c>
      <c r="C15" s="131" t="s">
        <v>522</v>
      </c>
    </row>
    <row r="16" spans="1:3" s="11" customFormat="1">
      <c r="A16" s="132"/>
      <c r="B16" s="133"/>
      <c r="C16" s="134"/>
    </row>
    <row r="17" spans="1:3" s="11" customFormat="1" ht="30">
      <c r="A17" s="113" t="s">
        <v>394</v>
      </c>
      <c r="B17" s="130" t="s">
        <v>473</v>
      </c>
      <c r="C17" s="131" t="s">
        <v>523</v>
      </c>
    </row>
    <row r="18" spans="1:3" s="11" customFormat="1">
      <c r="A18" s="132"/>
      <c r="B18" s="133"/>
      <c r="C18" s="134" t="s">
        <v>469</v>
      </c>
    </row>
    <row r="19" spans="1:3" s="11" customFormat="1" ht="30">
      <c r="A19" s="113" t="s">
        <v>470</v>
      </c>
      <c r="B19" s="130" t="s">
        <v>474</v>
      </c>
      <c r="C19" s="131" t="s">
        <v>524</v>
      </c>
    </row>
    <row r="20" spans="1:3" s="11" customFormat="1">
      <c r="A20" s="132"/>
      <c r="B20" s="133"/>
      <c r="C20" s="134"/>
    </row>
    <row r="21" spans="1:3" s="11" customFormat="1" ht="30">
      <c r="A21" s="113" t="s">
        <v>471</v>
      </c>
      <c r="B21" s="130" t="s">
        <v>709</v>
      </c>
      <c r="C21" s="131" t="s">
        <v>587</v>
      </c>
    </row>
    <row r="22" spans="1:3" s="11" customFormat="1">
      <c r="A22" s="141"/>
      <c r="B22" s="159"/>
      <c r="C22" s="160"/>
    </row>
    <row r="23" spans="1:3" ht="21">
      <c r="A23" s="126" t="s">
        <v>476</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964</v>
      </c>
      <c r="B1" s="1277">
        <v>2011</v>
      </c>
      <c r="C1" s="1278"/>
      <c r="D1" s="1278"/>
      <c r="E1" s="1278"/>
      <c r="F1" s="1279"/>
    </row>
    <row r="2" spans="1:6">
      <c r="A2" s="331"/>
      <c r="B2" s="331"/>
      <c r="C2" s="331"/>
      <c r="D2" s="331"/>
      <c r="E2" s="331"/>
      <c r="F2" s="331"/>
    </row>
    <row r="3" spans="1:6" ht="19.5">
      <c r="A3" s="1280" t="s">
        <v>0</v>
      </c>
      <c r="B3" s="331"/>
      <c r="C3" s="331"/>
      <c r="D3" s="331"/>
      <c r="E3" s="331"/>
      <c r="F3" s="331"/>
    </row>
    <row r="4" spans="1:6" ht="22.5">
      <c r="A4" s="1281" t="s">
        <v>964</v>
      </c>
      <c r="B4" s="331"/>
      <c r="C4" s="331"/>
      <c r="D4" s="331"/>
      <c r="E4" s="331"/>
      <c r="F4" s="331"/>
    </row>
    <row r="5" spans="1:6" ht="22.5">
      <c r="A5" s="1281" t="s">
        <v>965</v>
      </c>
      <c r="B5" s="331"/>
      <c r="C5" s="331"/>
      <c r="D5" s="331"/>
      <c r="E5" s="331"/>
      <c r="F5" s="331"/>
    </row>
    <row r="6" spans="1:6" ht="15.75" thickBot="1">
      <c r="A6" s="331"/>
      <c r="B6" s="331"/>
      <c r="C6" s="331"/>
      <c r="D6" s="331"/>
      <c r="E6" s="331"/>
      <c r="F6" s="331"/>
    </row>
    <row r="7" spans="1:6" ht="20.25" thickBot="1">
      <c r="A7" s="1282" t="s">
        <v>1</v>
      </c>
      <c r="B7" s="332" t="s">
        <v>395</v>
      </c>
      <c r="C7" s="332" t="s">
        <v>396</v>
      </c>
      <c r="D7" s="332"/>
      <c r="E7" s="332"/>
      <c r="F7" s="333"/>
    </row>
    <row r="8" spans="1:6" ht="16.5" thickTop="1" thickBot="1">
      <c r="A8" s="1283" t="s">
        <v>4</v>
      </c>
      <c r="B8" s="1284"/>
      <c r="C8" s="1284"/>
      <c r="D8" s="1278"/>
      <c r="E8" s="1278"/>
      <c r="F8" s="1279"/>
    </row>
    <row r="9" spans="1:6">
      <c r="A9" s="1285" t="s">
        <v>2</v>
      </c>
      <c r="B9" s="1286">
        <v>2368</v>
      </c>
      <c r="C9" s="334"/>
      <c r="D9" s="334"/>
      <c r="E9" s="334"/>
      <c r="F9" s="334"/>
    </row>
    <row r="10" spans="1:6">
      <c r="A10" s="335"/>
      <c r="B10" s="331"/>
      <c r="C10" s="331"/>
      <c r="D10" s="331"/>
      <c r="E10" s="331"/>
      <c r="F10" s="331"/>
    </row>
    <row r="11" spans="1:6" ht="15.75" thickBot="1">
      <c r="A11" s="335"/>
      <c r="B11" s="331"/>
      <c r="C11" s="331"/>
      <c r="D11" s="331"/>
      <c r="E11" s="331"/>
      <c r="F11" s="331"/>
    </row>
    <row r="12" spans="1:6" ht="20.25" thickBot="1">
      <c r="A12" s="1282" t="s">
        <v>3</v>
      </c>
      <c r="B12" s="332" t="s">
        <v>395</v>
      </c>
      <c r="C12" s="332" t="s">
        <v>638</v>
      </c>
      <c r="D12" s="332"/>
      <c r="E12" s="332"/>
      <c r="F12" s="336"/>
    </row>
    <row r="13" spans="1:6" ht="16.5" thickTop="1" thickBot="1">
      <c r="A13" s="1287" t="s">
        <v>4</v>
      </c>
      <c r="B13" s="1288" t="s">
        <v>5</v>
      </c>
      <c r="C13" s="1288"/>
      <c r="D13" s="1288"/>
      <c r="E13" s="1288"/>
      <c r="F13" s="1289"/>
    </row>
    <row r="14" spans="1:6">
      <c r="A14" s="1290" t="s">
        <v>792</v>
      </c>
      <c r="B14" s="1291">
        <v>2251</v>
      </c>
      <c r="C14" s="331"/>
      <c r="D14" s="331"/>
      <c r="E14" s="331"/>
      <c r="F14" s="331"/>
    </row>
    <row r="15" spans="1:6">
      <c r="A15" s="1290" t="s">
        <v>183</v>
      </c>
      <c r="B15" s="1291">
        <v>3765</v>
      </c>
      <c r="C15" s="331"/>
      <c r="D15" s="331"/>
      <c r="E15" s="331"/>
      <c r="F15" s="331"/>
    </row>
    <row r="16" spans="1:6">
      <c r="A16" s="1290" t="s">
        <v>6</v>
      </c>
      <c r="B16" s="1291">
        <v>278</v>
      </c>
      <c r="C16" s="331"/>
      <c r="D16" s="331"/>
      <c r="E16" s="331"/>
      <c r="F16" s="331"/>
    </row>
    <row r="17" spans="1:6">
      <c r="A17" s="1290" t="s">
        <v>7</v>
      </c>
      <c r="B17" s="1291">
        <v>629</v>
      </c>
      <c r="C17" s="331"/>
      <c r="D17" s="331"/>
      <c r="E17" s="331"/>
      <c r="F17" s="331"/>
    </row>
    <row r="18" spans="1:6">
      <c r="A18" s="1290" t="s">
        <v>8</v>
      </c>
      <c r="B18" s="1291">
        <v>751</v>
      </c>
      <c r="C18" s="331"/>
      <c r="D18" s="331"/>
      <c r="E18" s="331"/>
      <c r="F18" s="331"/>
    </row>
    <row r="19" spans="1:6">
      <c r="A19" s="1290" t="s">
        <v>9</v>
      </c>
      <c r="B19" s="1291">
        <v>631</v>
      </c>
      <c r="C19" s="331"/>
      <c r="D19" s="331"/>
      <c r="E19" s="331"/>
      <c r="F19" s="331"/>
    </row>
    <row r="20" spans="1:6">
      <c r="A20" s="1290" t="s">
        <v>10</v>
      </c>
      <c r="B20" s="1291">
        <v>424</v>
      </c>
      <c r="C20" s="331"/>
      <c r="D20" s="331"/>
      <c r="E20" s="331"/>
      <c r="F20" s="331"/>
    </row>
    <row r="21" spans="1:6">
      <c r="A21" s="1290" t="s">
        <v>11</v>
      </c>
      <c r="B21" s="1291">
        <v>34</v>
      </c>
      <c r="C21" s="331"/>
      <c r="D21" s="331"/>
      <c r="E21" s="331"/>
      <c r="F21" s="331"/>
    </row>
    <row r="22" spans="1:6">
      <c r="A22" s="1290" t="s">
        <v>12</v>
      </c>
      <c r="B22" s="1291">
        <v>989</v>
      </c>
      <c r="C22" s="331"/>
      <c r="D22" s="331"/>
      <c r="E22" s="331"/>
      <c r="F22" s="331"/>
    </row>
    <row r="23" spans="1:6">
      <c r="A23" s="1290" t="s">
        <v>13</v>
      </c>
      <c r="B23" s="1291">
        <v>14</v>
      </c>
      <c r="C23" s="331"/>
      <c r="D23" s="331"/>
      <c r="E23" s="331"/>
      <c r="F23" s="331"/>
    </row>
    <row r="24" spans="1:6">
      <c r="A24" s="1290" t="s">
        <v>14</v>
      </c>
      <c r="B24" s="1291">
        <v>1</v>
      </c>
      <c r="C24" s="331"/>
      <c r="D24" s="331"/>
      <c r="E24" s="331"/>
      <c r="F24" s="331"/>
    </row>
    <row r="25" spans="1:6">
      <c r="A25" s="1290" t="s">
        <v>15</v>
      </c>
      <c r="B25" s="1291">
        <v>10</v>
      </c>
      <c r="C25" s="331"/>
      <c r="D25" s="331"/>
      <c r="E25" s="331"/>
      <c r="F25" s="331"/>
    </row>
    <row r="26" spans="1:6">
      <c r="A26" s="1290" t="s">
        <v>16</v>
      </c>
      <c r="B26" s="1291">
        <v>1</v>
      </c>
      <c r="C26" s="331"/>
      <c r="D26" s="331"/>
      <c r="E26" s="331"/>
      <c r="F26" s="331"/>
    </row>
    <row r="27" spans="1:6">
      <c r="A27" s="1290" t="s">
        <v>17</v>
      </c>
      <c r="B27" s="1291">
        <v>252</v>
      </c>
      <c r="C27" s="331"/>
      <c r="D27" s="331"/>
      <c r="E27" s="331"/>
      <c r="F27" s="331"/>
    </row>
    <row r="28" spans="1:6" s="43" customFormat="1">
      <c r="A28" s="1292" t="s">
        <v>18</v>
      </c>
      <c r="B28" s="1293">
        <v>54658</v>
      </c>
      <c r="C28" s="337"/>
      <c r="D28" s="337"/>
      <c r="E28" s="337"/>
      <c r="F28" s="337"/>
    </row>
    <row r="29" spans="1:6">
      <c r="A29" s="1292" t="s">
        <v>966</v>
      </c>
      <c r="B29" s="1293">
        <v>67</v>
      </c>
      <c r="C29" s="337"/>
      <c r="D29" s="337"/>
      <c r="E29" s="337"/>
      <c r="F29" s="337"/>
    </row>
    <row r="30" spans="1:6">
      <c r="A30" s="1285" t="s">
        <v>967</v>
      </c>
      <c r="B30" s="1294">
        <v>9</v>
      </c>
      <c r="C30" s="334"/>
      <c r="D30" s="334"/>
      <c r="E30" s="334"/>
      <c r="F30" s="334"/>
    </row>
    <row r="31" spans="1:6" ht="15.75" thickBot="1">
      <c r="A31" s="335"/>
      <c r="B31" s="331"/>
      <c r="C31" s="331"/>
      <c r="D31" s="331"/>
      <c r="E31" s="331"/>
      <c r="F31" s="331"/>
    </row>
    <row r="32" spans="1:6" ht="20.25" thickBot="1">
      <c r="A32" s="1282" t="s">
        <v>19</v>
      </c>
      <c r="B32" s="332" t="s">
        <v>395</v>
      </c>
      <c r="C32" s="332" t="s">
        <v>968</v>
      </c>
      <c r="D32" s="332"/>
      <c r="E32" s="332"/>
      <c r="F32" s="336"/>
    </row>
    <row r="33" spans="1:6" ht="16.5" thickTop="1" thickBot="1">
      <c r="A33" s="1295"/>
      <c r="B33" s="1296"/>
      <c r="C33" s="1296"/>
      <c r="D33" s="1296"/>
      <c r="E33" s="1296" t="s">
        <v>20</v>
      </c>
      <c r="F33" s="1297"/>
    </row>
    <row r="34" spans="1:6" ht="16.5" thickTop="1" thickBot="1">
      <c r="A34" s="1298" t="s">
        <v>21</v>
      </c>
      <c r="B34" s="1299" t="s">
        <v>22</v>
      </c>
      <c r="C34" s="1299" t="s">
        <v>5</v>
      </c>
      <c r="D34" s="1299" t="s">
        <v>23</v>
      </c>
      <c r="E34" s="1299" t="s">
        <v>5</v>
      </c>
      <c r="F34" s="1300" t="s">
        <v>23</v>
      </c>
    </row>
    <row r="35" spans="1:6">
      <c r="A35" s="1290" t="s">
        <v>24</v>
      </c>
      <c r="B35" s="1290" t="s">
        <v>25</v>
      </c>
      <c r="C35" s="1291">
        <v>0</v>
      </c>
      <c r="D35" s="1291">
        <v>0</v>
      </c>
      <c r="E35" s="1291">
        <v>0</v>
      </c>
      <c r="F35" s="1291">
        <v>0</v>
      </c>
    </row>
    <row r="36" spans="1:6">
      <c r="A36" s="1290" t="s">
        <v>24</v>
      </c>
      <c r="B36" s="1290" t="s">
        <v>26</v>
      </c>
      <c r="C36" s="1291">
        <v>0</v>
      </c>
      <c r="D36" s="1291">
        <v>0</v>
      </c>
      <c r="E36" s="1291">
        <v>0</v>
      </c>
      <c r="F36" s="1291">
        <v>0</v>
      </c>
    </row>
    <row r="37" spans="1:6">
      <c r="A37" s="1290" t="s">
        <v>24</v>
      </c>
      <c r="B37" s="1290" t="s">
        <v>27</v>
      </c>
      <c r="C37" s="1291">
        <v>0</v>
      </c>
      <c r="D37" s="1291">
        <v>0</v>
      </c>
      <c r="E37" s="1291">
        <v>0</v>
      </c>
      <c r="F37" s="1291">
        <v>0</v>
      </c>
    </row>
    <row r="38" spans="1:6">
      <c r="A38" s="1290" t="s">
        <v>24</v>
      </c>
      <c r="B38" s="1290" t="s">
        <v>28</v>
      </c>
      <c r="C38" s="1291">
        <v>0</v>
      </c>
      <c r="D38" s="1291">
        <v>0</v>
      </c>
      <c r="E38" s="1291">
        <v>0</v>
      </c>
      <c r="F38" s="1291">
        <v>0</v>
      </c>
    </row>
    <row r="39" spans="1:6">
      <c r="A39" s="1290" t="s">
        <v>29</v>
      </c>
      <c r="B39" s="1290" t="s">
        <v>30</v>
      </c>
      <c r="C39" s="1291">
        <v>271</v>
      </c>
      <c r="D39" s="1291">
        <v>5224433</v>
      </c>
      <c r="E39" s="1291">
        <v>2313</v>
      </c>
      <c r="F39" s="1291">
        <v>10801989</v>
      </c>
    </row>
    <row r="40" spans="1:6">
      <c r="A40" s="1290" t="s">
        <v>29</v>
      </c>
      <c r="B40" s="1290" t="s">
        <v>28</v>
      </c>
      <c r="C40" s="1291">
        <v>0</v>
      </c>
      <c r="D40" s="1291">
        <v>0</v>
      </c>
      <c r="E40" s="1291">
        <v>0</v>
      </c>
      <c r="F40" s="1291">
        <v>0</v>
      </c>
    </row>
    <row r="41" spans="1:6">
      <c r="A41" s="1290" t="s">
        <v>31</v>
      </c>
      <c r="B41" s="1290" t="s">
        <v>32</v>
      </c>
      <c r="C41" s="1291">
        <v>0</v>
      </c>
      <c r="D41" s="1291">
        <v>0</v>
      </c>
      <c r="E41" s="1291">
        <v>34</v>
      </c>
      <c r="F41" s="1291">
        <v>231748</v>
      </c>
    </row>
    <row r="42" spans="1:6">
      <c r="A42" s="1290" t="s">
        <v>31</v>
      </c>
      <c r="B42" s="1290" t="s">
        <v>33</v>
      </c>
      <c r="C42" s="1291">
        <v>0</v>
      </c>
      <c r="D42" s="1291">
        <v>0</v>
      </c>
      <c r="E42" s="1291">
        <v>0</v>
      </c>
      <c r="F42" s="1291">
        <v>0</v>
      </c>
    </row>
    <row r="43" spans="1:6">
      <c r="A43" s="1290" t="s">
        <v>31</v>
      </c>
      <c r="B43" s="1290" t="s">
        <v>34</v>
      </c>
      <c r="C43" s="1291">
        <v>0</v>
      </c>
      <c r="D43" s="1291">
        <v>0</v>
      </c>
      <c r="E43" s="1291">
        <v>0</v>
      </c>
      <c r="F43" s="1291">
        <v>0</v>
      </c>
    </row>
    <row r="44" spans="1:6">
      <c r="A44" s="1290" t="s">
        <v>31</v>
      </c>
      <c r="B44" s="1290" t="s">
        <v>35</v>
      </c>
      <c r="C44" s="1291">
        <v>0</v>
      </c>
      <c r="D44" s="1291">
        <v>0</v>
      </c>
      <c r="E44" s="1291">
        <v>0</v>
      </c>
      <c r="F44" s="1291">
        <v>0</v>
      </c>
    </row>
    <row r="45" spans="1:6">
      <c r="A45" s="1290" t="s">
        <v>31</v>
      </c>
      <c r="B45" s="1290" t="s">
        <v>36</v>
      </c>
      <c r="C45" s="1291">
        <v>0</v>
      </c>
      <c r="D45" s="1291">
        <v>0</v>
      </c>
      <c r="E45" s="1291">
        <v>0</v>
      </c>
      <c r="F45" s="1291">
        <v>0</v>
      </c>
    </row>
    <row r="46" spans="1:6">
      <c r="A46" s="1290" t="s">
        <v>31</v>
      </c>
      <c r="B46" s="1290" t="s">
        <v>37</v>
      </c>
      <c r="C46" s="1291">
        <v>0</v>
      </c>
      <c r="D46" s="1291">
        <v>0</v>
      </c>
      <c r="E46" s="1291">
        <v>0</v>
      </c>
      <c r="F46" s="1291">
        <v>0</v>
      </c>
    </row>
    <row r="47" spans="1:6">
      <c r="A47" s="1290" t="s">
        <v>31</v>
      </c>
      <c r="B47" s="1290" t="s">
        <v>38</v>
      </c>
      <c r="C47" s="1291">
        <v>0</v>
      </c>
      <c r="D47" s="1291">
        <v>0</v>
      </c>
      <c r="E47" s="1291">
        <v>0</v>
      </c>
      <c r="F47" s="1291">
        <v>0</v>
      </c>
    </row>
    <row r="48" spans="1:6">
      <c r="A48" s="1290" t="s">
        <v>31</v>
      </c>
      <c r="B48" s="1290" t="s">
        <v>28</v>
      </c>
      <c r="C48" s="1291">
        <v>3</v>
      </c>
      <c r="D48" s="1291">
        <v>42542</v>
      </c>
      <c r="E48" s="1291">
        <v>3</v>
      </c>
      <c r="F48" s="1291">
        <v>208172</v>
      </c>
    </row>
    <row r="49" spans="1:6">
      <c r="A49" s="1290" t="s">
        <v>31</v>
      </c>
      <c r="B49" s="1290" t="s">
        <v>39</v>
      </c>
      <c r="C49" s="1291">
        <v>0</v>
      </c>
      <c r="D49" s="1291">
        <v>0</v>
      </c>
      <c r="E49" s="1291">
        <v>0</v>
      </c>
      <c r="F49" s="1291">
        <v>0</v>
      </c>
    </row>
    <row r="50" spans="1:6">
      <c r="A50" s="1290" t="s">
        <v>31</v>
      </c>
      <c r="B50" s="1290" t="s">
        <v>40</v>
      </c>
      <c r="C50" s="1291">
        <v>0</v>
      </c>
      <c r="D50" s="1291">
        <v>0</v>
      </c>
      <c r="E50" s="1291">
        <v>0</v>
      </c>
      <c r="F50" s="1291">
        <v>0</v>
      </c>
    </row>
    <row r="51" spans="1:6">
      <c r="A51" s="1290" t="s">
        <v>41</v>
      </c>
      <c r="B51" s="1290" t="s">
        <v>42</v>
      </c>
      <c r="C51" s="1291">
        <v>0</v>
      </c>
      <c r="D51" s="1291">
        <v>0</v>
      </c>
      <c r="E51" s="1291">
        <v>75</v>
      </c>
      <c r="F51" s="1291">
        <v>2910311</v>
      </c>
    </row>
    <row r="52" spans="1:6">
      <c r="A52" s="1290" t="s">
        <v>41</v>
      </c>
      <c r="B52" s="1290" t="s">
        <v>28</v>
      </c>
      <c r="C52" s="1291">
        <v>1</v>
      </c>
      <c r="D52" s="1291">
        <v>10384</v>
      </c>
      <c r="E52" s="1291">
        <v>0</v>
      </c>
      <c r="F52" s="1291">
        <v>0</v>
      </c>
    </row>
    <row r="53" spans="1:6">
      <c r="A53" s="1290" t="s">
        <v>43</v>
      </c>
      <c r="B53" s="1290" t="s">
        <v>44</v>
      </c>
      <c r="C53" s="1291">
        <v>0</v>
      </c>
      <c r="D53" s="1291">
        <v>0</v>
      </c>
      <c r="E53" s="1291">
        <v>0</v>
      </c>
      <c r="F53" s="1291">
        <v>0</v>
      </c>
    </row>
    <row r="54" spans="1:6">
      <c r="A54" s="1290" t="s">
        <v>45</v>
      </c>
      <c r="B54" s="1290" t="s">
        <v>46</v>
      </c>
      <c r="C54" s="1291">
        <v>0</v>
      </c>
      <c r="D54" s="1291">
        <v>0</v>
      </c>
      <c r="E54" s="1291">
        <v>0</v>
      </c>
      <c r="F54" s="1291">
        <v>0</v>
      </c>
    </row>
    <row r="55" spans="1:6">
      <c r="A55" s="1290" t="s">
        <v>45</v>
      </c>
      <c r="B55" s="1290" t="s">
        <v>28</v>
      </c>
      <c r="C55" s="1291">
        <v>0</v>
      </c>
      <c r="D55" s="1291">
        <v>0</v>
      </c>
      <c r="E55" s="1291">
        <v>1</v>
      </c>
      <c r="F55" s="1291">
        <v>363687</v>
      </c>
    </row>
    <row r="56" spans="1:6">
      <c r="A56" s="1290" t="s">
        <v>47</v>
      </c>
      <c r="B56" s="1290" t="s">
        <v>28</v>
      </c>
      <c r="C56" s="1291">
        <v>2</v>
      </c>
      <c r="D56" s="1291">
        <v>108868</v>
      </c>
      <c r="E56" s="1291">
        <v>111</v>
      </c>
      <c r="F56" s="1291">
        <v>901549</v>
      </c>
    </row>
    <row r="57" spans="1:6">
      <c r="A57" s="1290" t="s">
        <v>48</v>
      </c>
      <c r="B57" s="1290" t="s">
        <v>49</v>
      </c>
      <c r="C57" s="1291">
        <v>0</v>
      </c>
      <c r="D57" s="1291">
        <v>0</v>
      </c>
      <c r="E57" s="1291">
        <v>17</v>
      </c>
      <c r="F57" s="1291">
        <v>285494</v>
      </c>
    </row>
    <row r="58" spans="1:6">
      <c r="A58" s="1290" t="s">
        <v>48</v>
      </c>
      <c r="B58" s="1290" t="s">
        <v>50</v>
      </c>
      <c r="C58" s="1291">
        <v>3</v>
      </c>
      <c r="D58" s="1291">
        <v>35740</v>
      </c>
      <c r="E58" s="1291">
        <v>3</v>
      </c>
      <c r="F58" s="1291">
        <v>19033</v>
      </c>
    </row>
    <row r="59" spans="1:6">
      <c r="A59" s="1290" t="s">
        <v>48</v>
      </c>
      <c r="B59" s="1290" t="s">
        <v>51</v>
      </c>
      <c r="C59" s="1291">
        <v>4</v>
      </c>
      <c r="D59" s="1291">
        <v>58695</v>
      </c>
      <c r="E59" s="1291">
        <v>55</v>
      </c>
      <c r="F59" s="1291">
        <v>2626671</v>
      </c>
    </row>
    <row r="60" spans="1:6">
      <c r="A60" s="1290" t="s">
        <v>48</v>
      </c>
      <c r="B60" s="1290" t="s">
        <v>52</v>
      </c>
      <c r="C60" s="1291">
        <v>5</v>
      </c>
      <c r="D60" s="1291">
        <v>395665</v>
      </c>
      <c r="E60" s="1291">
        <v>13</v>
      </c>
      <c r="F60" s="1291">
        <v>453894</v>
      </c>
    </row>
    <row r="61" spans="1:6">
      <c r="A61" s="1290" t="s">
        <v>48</v>
      </c>
      <c r="B61" s="1290" t="s">
        <v>53</v>
      </c>
      <c r="C61" s="1291">
        <v>13</v>
      </c>
      <c r="D61" s="1291">
        <v>460922</v>
      </c>
      <c r="E61" s="1291">
        <v>41</v>
      </c>
      <c r="F61" s="1291">
        <v>481877</v>
      </c>
    </row>
    <row r="62" spans="1:6">
      <c r="A62" s="1290" t="s">
        <v>48</v>
      </c>
      <c r="B62" s="1290" t="s">
        <v>54</v>
      </c>
      <c r="C62" s="1291">
        <v>0</v>
      </c>
      <c r="D62" s="1291">
        <v>0</v>
      </c>
      <c r="E62" s="1291">
        <v>0</v>
      </c>
      <c r="F62" s="1291">
        <v>0</v>
      </c>
    </row>
    <row r="63" spans="1:6">
      <c r="A63" s="1290" t="s">
        <v>48</v>
      </c>
      <c r="B63" s="1290" t="s">
        <v>28</v>
      </c>
      <c r="C63" s="1291">
        <v>1</v>
      </c>
      <c r="D63" s="1291">
        <v>32381</v>
      </c>
      <c r="E63" s="1291">
        <v>1</v>
      </c>
      <c r="F63" s="1291">
        <v>30549</v>
      </c>
    </row>
    <row r="64" spans="1:6">
      <c r="A64" s="1290" t="s">
        <v>55</v>
      </c>
      <c r="B64" s="1290" t="s">
        <v>56</v>
      </c>
      <c r="C64" s="1291">
        <v>0</v>
      </c>
      <c r="D64" s="1291">
        <v>0</v>
      </c>
      <c r="E64" s="1291">
        <v>0</v>
      </c>
      <c r="F64" s="1291">
        <v>0</v>
      </c>
    </row>
    <row r="65" spans="1:6">
      <c r="A65" s="1290" t="s">
        <v>55</v>
      </c>
      <c r="B65" s="1290" t="s">
        <v>28</v>
      </c>
      <c r="C65" s="1291">
        <v>0</v>
      </c>
      <c r="D65" s="1291">
        <v>0</v>
      </c>
      <c r="E65" s="1291">
        <v>1</v>
      </c>
      <c r="F65" s="1291">
        <v>17789</v>
      </c>
    </row>
    <row r="66" spans="1:6">
      <c r="A66" s="1290" t="s">
        <v>55</v>
      </c>
      <c r="B66" s="1290" t="s">
        <v>57</v>
      </c>
      <c r="C66" s="1291">
        <v>0</v>
      </c>
      <c r="D66" s="1291">
        <v>0</v>
      </c>
      <c r="E66" s="1291">
        <v>0</v>
      </c>
      <c r="F66" s="1291">
        <v>0</v>
      </c>
    </row>
    <row r="67" spans="1:6">
      <c r="A67" s="1292" t="s">
        <v>55</v>
      </c>
      <c r="B67" s="1292" t="s">
        <v>58</v>
      </c>
      <c r="C67" s="1291">
        <v>0</v>
      </c>
      <c r="D67" s="1291">
        <v>0</v>
      </c>
      <c r="E67" s="1291">
        <v>0</v>
      </c>
      <c r="F67" s="1291">
        <v>0</v>
      </c>
    </row>
    <row r="68" spans="1:6">
      <c r="A68" s="1285" t="s">
        <v>55</v>
      </c>
      <c r="B68" s="1285" t="s">
        <v>59</v>
      </c>
      <c r="C68" s="1294">
        <v>0</v>
      </c>
      <c r="D68" s="1294">
        <v>0</v>
      </c>
      <c r="E68" s="1294">
        <v>0</v>
      </c>
      <c r="F68" s="1294">
        <v>0</v>
      </c>
    </row>
    <row r="69" spans="1:6" ht="15.75" thickBot="1">
      <c r="A69" s="335"/>
      <c r="B69" s="331"/>
      <c r="C69" s="331"/>
      <c r="D69" s="331"/>
      <c r="E69" s="331"/>
      <c r="F69" s="331"/>
    </row>
    <row r="70" spans="1:6" ht="19.5">
      <c r="A70" s="1282" t="s">
        <v>60</v>
      </c>
      <c r="B70" s="332" t="s">
        <v>969</v>
      </c>
      <c r="C70" s="332" t="s">
        <v>796</v>
      </c>
      <c r="D70" s="332"/>
      <c r="E70" s="332"/>
      <c r="F70" s="336"/>
    </row>
    <row r="71" spans="1:6" ht="20.25" thickBot="1">
      <c r="A71" s="1301"/>
      <c r="B71" s="338"/>
      <c r="C71" s="338"/>
      <c r="D71" s="339" t="s">
        <v>449</v>
      </c>
      <c r="E71" s="338"/>
      <c r="F71" s="340"/>
    </row>
    <row r="72" spans="1:6" ht="16.5" thickTop="1" thickBot="1">
      <c r="A72" s="1287" t="s">
        <v>61</v>
      </c>
      <c r="B72" s="1288" t="s">
        <v>62</v>
      </c>
      <c r="C72" s="1302" t="s">
        <v>770</v>
      </c>
      <c r="D72" s="1303"/>
      <c r="E72" s="1303"/>
      <c r="F72" s="1289"/>
    </row>
    <row r="73" spans="1:6">
      <c r="A73" s="1290" t="s">
        <v>63</v>
      </c>
      <c r="B73" s="1290" t="s">
        <v>771</v>
      </c>
      <c r="C73" s="1304" t="s">
        <v>772</v>
      </c>
      <c r="D73" s="1305">
        <v>7557302</v>
      </c>
      <c r="E73" s="455"/>
      <c r="F73" s="331"/>
    </row>
    <row r="74" spans="1:6">
      <c r="A74" s="1290" t="s">
        <v>63</v>
      </c>
      <c r="B74" s="1290" t="s">
        <v>773</v>
      </c>
      <c r="C74" s="1304" t="s">
        <v>774</v>
      </c>
      <c r="D74" s="1305">
        <v>394737.68314200488</v>
      </c>
      <c r="E74" s="455"/>
      <c r="F74" s="331"/>
    </row>
    <row r="75" spans="1:6">
      <c r="A75" s="1290" t="s">
        <v>64</v>
      </c>
      <c r="B75" s="1290" t="s">
        <v>771</v>
      </c>
      <c r="C75" s="1304" t="s">
        <v>775</v>
      </c>
      <c r="D75" s="1305">
        <v>22294331</v>
      </c>
      <c r="E75" s="455"/>
      <c r="F75" s="331"/>
    </row>
    <row r="76" spans="1:6">
      <c r="A76" s="1290" t="s">
        <v>64</v>
      </c>
      <c r="B76" s="1290" t="s">
        <v>773</v>
      </c>
      <c r="C76" s="1304" t="s">
        <v>776</v>
      </c>
      <c r="D76" s="1305">
        <v>750945.68314200488</v>
      </c>
      <c r="E76" s="455"/>
      <c r="F76" s="331"/>
    </row>
    <row r="77" spans="1:6">
      <c r="A77" s="1290" t="s">
        <v>65</v>
      </c>
      <c r="B77" s="1290" t="s">
        <v>771</v>
      </c>
      <c r="C77" s="1304" t="s">
        <v>777</v>
      </c>
      <c r="D77" s="1305">
        <v>0</v>
      </c>
      <c r="E77" s="455"/>
      <c r="F77" s="331"/>
    </row>
    <row r="78" spans="1:6">
      <c r="A78" s="1285" t="s">
        <v>65</v>
      </c>
      <c r="B78" s="1285" t="s">
        <v>773</v>
      </c>
      <c r="C78" s="1285" t="s">
        <v>778</v>
      </c>
      <c r="D78" s="1306">
        <v>0</v>
      </c>
      <c r="E78" s="1307"/>
      <c r="F78" s="334"/>
    </row>
    <row r="79" spans="1:6">
      <c r="A79" s="1308"/>
      <c r="B79" s="1308"/>
      <c r="C79" s="331"/>
      <c r="D79" s="331"/>
      <c r="E79" s="331"/>
      <c r="F79" s="331"/>
    </row>
    <row r="80" spans="1:6" ht="15.75" thickBot="1">
      <c r="A80" s="1308"/>
      <c r="B80" s="1308"/>
      <c r="C80" s="331"/>
      <c r="D80" s="331"/>
      <c r="E80" s="331"/>
      <c r="F80" s="331"/>
    </row>
    <row r="81" spans="1:6" ht="20.25" thickBot="1">
      <c r="A81" s="1282" t="s">
        <v>333</v>
      </c>
      <c r="B81" s="1309" t="s">
        <v>395</v>
      </c>
      <c r="C81" s="332" t="s">
        <v>970</v>
      </c>
      <c r="D81" s="332"/>
      <c r="E81" s="332"/>
      <c r="F81" s="336"/>
    </row>
    <row r="82" spans="1:6" ht="16.5" thickTop="1" thickBot="1">
      <c r="A82" s="1287" t="s">
        <v>334</v>
      </c>
      <c r="B82" s="1303"/>
      <c r="C82" s="1303"/>
      <c r="D82" s="1288"/>
      <c r="E82" s="1288"/>
      <c r="F82" s="1289"/>
    </row>
    <row r="83" spans="1:6">
      <c r="A83" s="1290" t="s">
        <v>335</v>
      </c>
      <c r="B83" s="1305">
        <v>159676.63371599026</v>
      </c>
      <c r="C83" s="455"/>
      <c r="D83" s="331"/>
      <c r="E83" s="331"/>
      <c r="F83" s="331"/>
    </row>
    <row r="84" spans="1:6">
      <c r="A84" s="1285" t="s">
        <v>336</v>
      </c>
      <c r="B84" s="1306">
        <v>0</v>
      </c>
      <c r="C84" s="1307"/>
      <c r="D84" s="334"/>
      <c r="E84" s="334"/>
      <c r="F84" s="334"/>
    </row>
    <row r="85" spans="1:6">
      <c r="A85" s="1308"/>
      <c r="B85" s="1310"/>
      <c r="C85" s="331"/>
      <c r="D85" s="331"/>
      <c r="E85" s="331"/>
      <c r="F85" s="331"/>
    </row>
    <row r="86" spans="1:6" ht="15.75" thickBot="1">
      <c r="A86" s="335"/>
      <c r="B86" s="331"/>
      <c r="C86" s="331"/>
      <c r="D86" s="331"/>
      <c r="E86" s="331"/>
      <c r="F86" s="331"/>
    </row>
    <row r="87" spans="1:6" ht="20.25" thickBot="1">
      <c r="A87" s="1282" t="s">
        <v>66</v>
      </c>
      <c r="B87" s="332" t="s">
        <v>395</v>
      </c>
      <c r="C87" s="332" t="s">
        <v>412</v>
      </c>
      <c r="D87" s="332"/>
      <c r="E87" s="332"/>
      <c r="F87" s="336"/>
    </row>
    <row r="88" spans="1:6" ht="16.5" thickTop="1" thickBot="1">
      <c r="A88" s="1287" t="s">
        <v>4</v>
      </c>
      <c r="B88" s="1288" t="s">
        <v>169</v>
      </c>
      <c r="C88" s="1288"/>
      <c r="D88" s="1288"/>
      <c r="E88" s="1288"/>
      <c r="F88" s="1289"/>
    </row>
    <row r="89" spans="1:6">
      <c r="A89" s="1290" t="s">
        <v>559</v>
      </c>
      <c r="B89" s="1291">
        <v>0</v>
      </c>
      <c r="C89" s="331"/>
      <c r="D89" s="331"/>
      <c r="E89" s="331"/>
      <c r="F89" s="331"/>
    </row>
    <row r="90" spans="1:6">
      <c r="A90" s="1290" t="s">
        <v>560</v>
      </c>
      <c r="B90" s="1291">
        <v>0</v>
      </c>
      <c r="C90" s="331"/>
      <c r="D90" s="331"/>
      <c r="E90" s="331"/>
      <c r="F90" s="331"/>
    </row>
    <row r="91" spans="1:6">
      <c r="A91" s="1290" t="s">
        <v>67</v>
      </c>
      <c r="B91" s="1291">
        <v>847.56576220184115</v>
      </c>
      <c r="C91" s="331"/>
      <c r="D91" s="331"/>
      <c r="E91" s="331"/>
      <c r="F91" s="331"/>
    </row>
    <row r="92" spans="1:6">
      <c r="A92" s="1285" t="s">
        <v>68</v>
      </c>
      <c r="B92" s="1286">
        <v>725.94560462643119</v>
      </c>
      <c r="C92" s="334"/>
      <c r="D92" s="334"/>
      <c r="E92" s="334"/>
      <c r="F92" s="334"/>
    </row>
    <row r="93" spans="1:6">
      <c r="A93" s="335"/>
      <c r="B93" s="331"/>
      <c r="C93" s="331"/>
      <c r="D93" s="331"/>
      <c r="E93" s="331"/>
      <c r="F93" s="331"/>
    </row>
    <row r="94" spans="1:6" ht="15.75" thickBot="1">
      <c r="A94" s="335"/>
      <c r="B94" s="331"/>
      <c r="C94" s="331"/>
      <c r="D94" s="331"/>
      <c r="E94" s="331"/>
      <c r="F94" s="331"/>
    </row>
    <row r="95" spans="1:6" ht="20.25" thickBot="1">
      <c r="A95" s="1282" t="s">
        <v>69</v>
      </c>
      <c r="B95" s="332" t="s">
        <v>395</v>
      </c>
      <c r="C95" s="332" t="s">
        <v>413</v>
      </c>
      <c r="D95" s="332"/>
      <c r="E95" s="332"/>
      <c r="F95" s="336"/>
    </row>
    <row r="96" spans="1:6" ht="16.5" thickTop="1" thickBot="1">
      <c r="A96" s="1287" t="s">
        <v>4</v>
      </c>
      <c r="B96" s="1288" t="s">
        <v>5</v>
      </c>
      <c r="C96" s="1288"/>
      <c r="D96" s="1288"/>
      <c r="E96" s="1288"/>
      <c r="F96" s="1289"/>
    </row>
    <row r="97" spans="1:6">
      <c r="A97" s="1290" t="s">
        <v>70</v>
      </c>
      <c r="B97" s="1291">
        <v>27</v>
      </c>
      <c r="C97" s="331"/>
      <c r="D97" s="331"/>
      <c r="E97" s="331"/>
      <c r="F97" s="331"/>
    </row>
    <row r="98" spans="1:6">
      <c r="A98" s="1290" t="s">
        <v>71</v>
      </c>
      <c r="B98" s="1291">
        <v>1</v>
      </c>
      <c r="C98" s="331"/>
      <c r="D98" s="331"/>
      <c r="E98" s="331"/>
      <c r="F98" s="331"/>
    </row>
    <row r="99" spans="1:6">
      <c r="A99" s="1290" t="s">
        <v>72</v>
      </c>
      <c r="B99" s="1291">
        <v>65</v>
      </c>
      <c r="C99" s="331"/>
      <c r="D99" s="331"/>
      <c r="E99" s="331"/>
      <c r="F99" s="331"/>
    </row>
    <row r="100" spans="1:6">
      <c r="A100" s="1290" t="s">
        <v>73</v>
      </c>
      <c r="B100" s="1291">
        <v>77</v>
      </c>
      <c r="C100" s="331"/>
      <c r="D100" s="331"/>
      <c r="E100" s="331"/>
      <c r="F100" s="331"/>
    </row>
    <row r="101" spans="1:6">
      <c r="A101" s="1290" t="s">
        <v>74</v>
      </c>
      <c r="B101" s="1291">
        <v>32</v>
      </c>
      <c r="C101" s="331"/>
      <c r="D101" s="331"/>
      <c r="E101" s="331"/>
      <c r="F101" s="331"/>
    </row>
    <row r="102" spans="1:6">
      <c r="A102" s="1290" t="s">
        <v>75</v>
      </c>
      <c r="B102" s="1291">
        <v>32</v>
      </c>
      <c r="C102" s="331"/>
      <c r="D102" s="331"/>
      <c r="E102" s="331"/>
      <c r="F102" s="331"/>
    </row>
    <row r="103" spans="1:6">
      <c r="A103" s="1290" t="s">
        <v>76</v>
      </c>
      <c r="B103" s="1291">
        <v>84</v>
      </c>
      <c r="C103" s="331"/>
      <c r="D103" s="331"/>
      <c r="E103" s="331"/>
      <c r="F103" s="331"/>
    </row>
    <row r="104" spans="1:6">
      <c r="A104" s="1290" t="s">
        <v>77</v>
      </c>
      <c r="B104" s="1291">
        <v>1936</v>
      </c>
      <c r="C104" s="331"/>
      <c r="D104" s="331"/>
      <c r="E104" s="331"/>
      <c r="F104" s="331"/>
    </row>
    <row r="105" spans="1:6">
      <c r="A105" s="1285" t="s">
        <v>78</v>
      </c>
      <c r="B105" s="1294">
        <v>1</v>
      </c>
      <c r="C105" s="334"/>
      <c r="D105" s="334"/>
      <c r="E105" s="334"/>
      <c r="F105" s="334"/>
    </row>
    <row r="106" spans="1:6">
      <c r="A106" s="335"/>
      <c r="B106" s="331"/>
      <c r="C106" s="331"/>
      <c r="D106" s="331"/>
      <c r="E106" s="331"/>
      <c r="F106" s="331"/>
    </row>
    <row r="107" spans="1:6" ht="15.75" thickBot="1">
      <c r="A107" s="335"/>
      <c r="B107" s="331"/>
      <c r="C107" s="331"/>
      <c r="D107" s="331"/>
      <c r="E107" s="331"/>
      <c r="F107" s="331"/>
    </row>
    <row r="108" spans="1:6" ht="20.25" thickBot="1">
      <c r="A108" s="1282" t="s">
        <v>667</v>
      </c>
      <c r="B108" s="332" t="s">
        <v>395</v>
      </c>
      <c r="C108" s="332" t="s">
        <v>412</v>
      </c>
      <c r="D108" s="332"/>
      <c r="E108" s="332"/>
      <c r="F108" s="336"/>
    </row>
    <row r="109" spans="1:6" ht="16.5" thickTop="1" thickBot="1">
      <c r="A109" s="1287" t="s">
        <v>4</v>
      </c>
      <c r="B109" s="1288" t="s">
        <v>5</v>
      </c>
      <c r="C109" s="1288"/>
      <c r="D109" s="1288"/>
      <c r="E109" s="1288"/>
      <c r="F109" s="1289"/>
    </row>
    <row r="110" spans="1:6">
      <c r="A110" s="1290" t="s">
        <v>668</v>
      </c>
      <c r="B110" s="1291">
        <v>0</v>
      </c>
      <c r="C110" s="331"/>
      <c r="D110" s="331"/>
      <c r="E110" s="331"/>
      <c r="F110" s="331"/>
    </row>
    <row r="111" spans="1:6">
      <c r="A111" s="1311" t="s">
        <v>669</v>
      </c>
      <c r="B111" s="1312">
        <v>0</v>
      </c>
      <c r="C111" s="1314"/>
      <c r="D111" s="1314"/>
      <c r="E111" s="1314"/>
      <c r="F111" s="1314"/>
    </row>
    <row r="112" spans="1:6">
      <c r="A112" s="1290"/>
      <c r="B112" s="331"/>
      <c r="C112" s="331"/>
      <c r="D112" s="331"/>
      <c r="E112" s="331"/>
      <c r="F112" s="331"/>
    </row>
    <row r="113" spans="1:6" ht="15.75" thickBot="1">
      <c r="A113" s="1285"/>
      <c r="B113" s="334"/>
      <c r="C113" s="334"/>
      <c r="D113" s="334"/>
      <c r="E113" s="334"/>
      <c r="F113" s="334"/>
    </row>
    <row r="114" spans="1:6" ht="20.25" thickBot="1">
      <c r="A114" s="1282" t="s">
        <v>79</v>
      </c>
      <c r="B114" s="332" t="s">
        <v>395</v>
      </c>
      <c r="C114" s="332" t="s">
        <v>412</v>
      </c>
      <c r="D114" s="332"/>
      <c r="E114" s="332"/>
      <c r="F114" s="336"/>
    </row>
    <row r="115" spans="1:6" ht="16.5" thickTop="1" thickBot="1">
      <c r="A115" s="341"/>
      <c r="B115" s="342" t="s">
        <v>80</v>
      </c>
      <c r="C115" s="342" t="s">
        <v>81</v>
      </c>
      <c r="D115" s="342"/>
      <c r="E115" s="342"/>
      <c r="F115" s="343"/>
    </row>
    <row r="116" spans="1:6" ht="16.5" thickTop="1" thickBot="1">
      <c r="A116" s="1287" t="s">
        <v>4</v>
      </c>
      <c r="B116" s="1288" t="s">
        <v>5</v>
      </c>
      <c r="C116" s="1288" t="s">
        <v>5</v>
      </c>
      <c r="D116" s="1288"/>
      <c r="E116" s="1288"/>
      <c r="F116" s="1289"/>
    </row>
    <row r="117" spans="1:6">
      <c r="A117" s="1290" t="s">
        <v>82</v>
      </c>
      <c r="B117" s="1291">
        <v>0</v>
      </c>
      <c r="C117" s="1291">
        <v>0</v>
      </c>
      <c r="D117" s="331"/>
      <c r="E117" s="331"/>
      <c r="F117" s="331"/>
    </row>
    <row r="118" spans="1:6">
      <c r="A118" s="1290" t="s">
        <v>83</v>
      </c>
      <c r="B118" s="1291">
        <v>0</v>
      </c>
      <c r="C118" s="1291">
        <v>0</v>
      </c>
      <c r="D118" s="331"/>
      <c r="E118" s="331"/>
      <c r="F118" s="331"/>
    </row>
    <row r="119" spans="1:6">
      <c r="A119" s="1290" t="s">
        <v>31</v>
      </c>
      <c r="B119" s="1291">
        <v>0</v>
      </c>
      <c r="C119" s="1291">
        <v>0</v>
      </c>
      <c r="D119" s="331"/>
      <c r="E119" s="331"/>
      <c r="F119" s="331"/>
    </row>
    <row r="120" spans="1:6">
      <c r="A120" s="1290" t="s">
        <v>84</v>
      </c>
      <c r="B120" s="1291">
        <v>0</v>
      </c>
      <c r="C120" s="1291">
        <v>0</v>
      </c>
      <c r="D120" s="331"/>
      <c r="E120" s="331"/>
      <c r="F120" s="331"/>
    </row>
    <row r="121" spans="1:6">
      <c r="A121" s="1290" t="s">
        <v>85</v>
      </c>
      <c r="B121" s="1291">
        <v>0</v>
      </c>
      <c r="C121" s="1291">
        <v>0</v>
      </c>
      <c r="D121" s="331"/>
      <c r="E121" s="331"/>
      <c r="F121" s="331"/>
    </row>
    <row r="122" spans="1:6">
      <c r="A122" s="1290" t="s">
        <v>86</v>
      </c>
      <c r="B122" s="1291">
        <v>0</v>
      </c>
      <c r="C122" s="1291">
        <v>0</v>
      </c>
      <c r="D122" s="331"/>
      <c r="E122" s="331"/>
      <c r="F122" s="331"/>
    </row>
    <row r="123" spans="1:6">
      <c r="A123" s="1290" t="s">
        <v>87</v>
      </c>
      <c r="B123" s="1291">
        <v>3</v>
      </c>
      <c r="C123" s="1291">
        <v>0</v>
      </c>
      <c r="D123" s="331"/>
      <c r="E123" s="331"/>
      <c r="F123" s="331"/>
    </row>
    <row r="124" spans="1:6" s="43" customFormat="1">
      <c r="A124" s="1292" t="s">
        <v>88</v>
      </c>
      <c r="B124" s="1313">
        <v>0</v>
      </c>
      <c r="C124" s="1313">
        <v>0</v>
      </c>
      <c r="D124" s="337"/>
      <c r="E124" s="337"/>
      <c r="F124" s="337"/>
    </row>
    <row r="125" spans="1:6">
      <c r="A125" s="1285" t="s">
        <v>963</v>
      </c>
      <c r="B125" s="1313">
        <v>0</v>
      </c>
      <c r="C125" s="1313">
        <v>0</v>
      </c>
      <c r="D125" s="331"/>
      <c r="E125" s="331"/>
      <c r="F125" s="331"/>
    </row>
    <row r="126" spans="1:6" ht="15.75" thickBot="1">
      <c r="A126" s="1308"/>
      <c r="B126" s="331"/>
      <c r="C126" s="331"/>
      <c r="D126" s="331"/>
      <c r="E126" s="331"/>
      <c r="F126" s="331"/>
    </row>
    <row r="127" spans="1:6" ht="20.25" thickBot="1">
      <c r="A127" s="1282" t="s">
        <v>292</v>
      </c>
      <c r="B127" s="332" t="s">
        <v>395</v>
      </c>
      <c r="C127" s="332" t="s">
        <v>412</v>
      </c>
      <c r="D127" s="332"/>
      <c r="E127" s="332"/>
      <c r="F127" s="336"/>
    </row>
    <row r="128" spans="1:6" ht="16.5" thickTop="1" thickBot="1">
      <c r="A128" s="1287" t="s">
        <v>4</v>
      </c>
      <c r="B128" s="1288" t="s">
        <v>5</v>
      </c>
      <c r="C128" s="1288"/>
      <c r="D128" s="1288"/>
      <c r="E128" s="1288"/>
      <c r="F128" s="1289"/>
    </row>
    <row r="129" spans="1:6">
      <c r="A129" s="1290" t="s">
        <v>293</v>
      </c>
      <c r="B129" s="1291">
        <v>22</v>
      </c>
      <c r="C129" s="331"/>
      <c r="D129" s="331"/>
      <c r="E129" s="331"/>
      <c r="F129" s="331"/>
    </row>
    <row r="130" spans="1:6">
      <c r="A130" s="1290" t="s">
        <v>294</v>
      </c>
      <c r="B130" s="1291">
        <v>1</v>
      </c>
      <c r="C130" s="331"/>
      <c r="D130" s="331"/>
      <c r="E130" s="331"/>
      <c r="F130" s="331"/>
    </row>
    <row r="131" spans="1:6">
      <c r="A131" s="1290" t="s">
        <v>295</v>
      </c>
      <c r="B131" s="1291">
        <v>0</v>
      </c>
      <c r="C131" s="331"/>
      <c r="D131" s="331"/>
      <c r="E131" s="331"/>
      <c r="F131" s="331"/>
    </row>
    <row r="132" spans="1:6">
      <c r="A132" s="1285" t="s">
        <v>296</v>
      </c>
      <c r="B132" s="1286">
        <v>11</v>
      </c>
      <c r="C132" s="334"/>
      <c r="D132" s="334"/>
      <c r="E132" s="334"/>
      <c r="F132" s="334"/>
    </row>
    <row r="133" spans="1:6">
      <c r="A133" s="331"/>
      <c r="B133" s="331"/>
      <c r="C133" s="331"/>
      <c r="D133" s="331"/>
      <c r="E133" s="331"/>
      <c r="F133" s="331"/>
    </row>
    <row r="134" spans="1:6">
      <c r="A134" s="1310"/>
      <c r="B134" s="331"/>
      <c r="C134" s="331"/>
      <c r="D134" s="331"/>
      <c r="E134" s="331"/>
      <c r="F134" s="33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27" customWidth="1"/>
  </cols>
  <sheetData>
    <row r="1" spans="1:9" ht="18.75" thickBot="1">
      <c r="A1" s="121" t="s">
        <v>179</v>
      </c>
      <c r="B1" s="513"/>
    </row>
    <row r="2" spans="1:9">
      <c r="A2" s="44" t="s">
        <v>790</v>
      </c>
      <c r="B2" s="514"/>
    </row>
    <row r="3" spans="1:9">
      <c r="A3" s="44"/>
      <c r="B3" s="514"/>
    </row>
    <row r="4" spans="1:9" ht="18">
      <c r="A4" s="137" t="s">
        <v>180</v>
      </c>
      <c r="B4" s="515" t="s">
        <v>389</v>
      </c>
    </row>
    <row r="5" spans="1:9" ht="21">
      <c r="A5" s="116" t="s">
        <v>182</v>
      </c>
      <c r="B5" s="516"/>
      <c r="E5" s="9"/>
      <c r="F5" s="9"/>
      <c r="G5" s="9"/>
    </row>
    <row r="6" spans="1:9">
      <c r="A6" s="117" t="s">
        <v>183</v>
      </c>
      <c r="B6" s="517">
        <v>3.9849787380274715</v>
      </c>
      <c r="E6" s="10"/>
      <c r="F6" s="10"/>
      <c r="G6" s="10"/>
      <c r="H6" s="10"/>
      <c r="I6" s="10"/>
    </row>
    <row r="7" spans="1:9">
      <c r="A7" s="117" t="s">
        <v>6</v>
      </c>
      <c r="B7" s="517">
        <v>145.2039646716907</v>
      </c>
      <c r="H7" s="10"/>
      <c r="I7" s="10"/>
    </row>
    <row r="8" spans="1:9">
      <c r="A8" s="117" t="s">
        <v>7</v>
      </c>
      <c r="B8" s="517">
        <v>91.939542261645002</v>
      </c>
      <c r="H8" s="10"/>
      <c r="I8" s="10"/>
    </row>
    <row r="9" spans="1:9">
      <c r="A9" s="117" t="s">
        <v>8</v>
      </c>
      <c r="B9" s="517">
        <v>31.466379225633723</v>
      </c>
      <c r="E9" s="10"/>
      <c r="F9" s="10"/>
      <c r="G9" s="10"/>
      <c r="H9" s="10"/>
      <c r="I9" s="10"/>
    </row>
    <row r="10" spans="1:9">
      <c r="A10" s="117" t="s">
        <v>9</v>
      </c>
      <c r="B10" s="517">
        <v>47.265136268950577</v>
      </c>
      <c r="E10" s="11"/>
      <c r="F10" s="11"/>
      <c r="G10" s="11"/>
      <c r="H10" s="10"/>
      <c r="I10" s="10"/>
    </row>
    <row r="11" spans="1:9">
      <c r="A11" s="117" t="s">
        <v>10</v>
      </c>
      <c r="B11" s="517">
        <v>47.685070955670071</v>
      </c>
      <c r="E11" s="11"/>
      <c r="F11" s="11"/>
      <c r="G11" s="11"/>
      <c r="H11" s="10"/>
      <c r="I11" s="10"/>
    </row>
    <row r="12" spans="1:9">
      <c r="A12" s="118" t="s">
        <v>16</v>
      </c>
      <c r="B12" s="517">
        <v>8</v>
      </c>
      <c r="E12" s="10"/>
      <c r="F12" s="10"/>
      <c r="G12" s="10"/>
      <c r="H12" s="10"/>
      <c r="I12" s="10"/>
    </row>
    <row r="13" spans="1:9">
      <c r="A13" s="118" t="s">
        <v>17</v>
      </c>
      <c r="B13" s="517">
        <v>5</v>
      </c>
      <c r="E13" s="10"/>
      <c r="F13" s="10"/>
      <c r="G13" s="10"/>
      <c r="H13" s="10"/>
      <c r="I13" s="10"/>
    </row>
    <row r="14" spans="1:9">
      <c r="A14" s="118" t="s">
        <v>184</v>
      </c>
      <c r="B14" s="517">
        <v>1.5</v>
      </c>
      <c r="E14" s="10"/>
      <c r="F14" s="10"/>
      <c r="G14" s="10"/>
      <c r="H14" s="10"/>
      <c r="I14" s="10"/>
    </row>
    <row r="15" spans="1:9">
      <c r="A15" s="118" t="s">
        <v>185</v>
      </c>
      <c r="B15" s="517">
        <v>18</v>
      </c>
      <c r="E15" s="10"/>
      <c r="F15" s="10"/>
      <c r="G15" s="10"/>
      <c r="H15" s="10"/>
      <c r="I15" s="10"/>
    </row>
    <row r="16" spans="1:9">
      <c r="A16" s="118" t="s">
        <v>186</v>
      </c>
      <c r="B16" s="518">
        <v>10</v>
      </c>
      <c r="E16" s="10"/>
      <c r="F16" s="10"/>
      <c r="G16" s="10"/>
      <c r="H16" s="10"/>
      <c r="I16" s="10"/>
    </row>
    <row r="17" spans="1:9" s="43" customFormat="1" ht="15.75" thickBot="1">
      <c r="A17" s="119"/>
      <c r="B17" s="519"/>
      <c r="E17" s="156"/>
      <c r="F17" s="156"/>
      <c r="G17" s="156"/>
      <c r="H17" s="156"/>
      <c r="I17" s="156"/>
    </row>
    <row r="18" spans="1:9" s="43" customFormat="1" ht="15.75" thickBot="1">
      <c r="A18" s="196"/>
      <c r="B18" s="520"/>
      <c r="E18" s="156"/>
      <c r="F18" s="156"/>
      <c r="G18" s="156"/>
      <c r="H18" s="156"/>
      <c r="I18" s="156"/>
    </row>
    <row r="19" spans="1:9" ht="18.75" thickBot="1">
      <c r="A19" s="121" t="s">
        <v>187</v>
      </c>
      <c r="B19" s="513"/>
      <c r="E19" s="10"/>
      <c r="F19" s="10"/>
      <c r="G19" s="10"/>
      <c r="H19" s="10"/>
      <c r="I19" s="10"/>
    </row>
    <row r="20" spans="1:9">
      <c r="A20" s="44" t="s">
        <v>790</v>
      </c>
      <c r="B20" s="514"/>
      <c r="E20" s="10"/>
      <c r="F20" s="10"/>
      <c r="G20" s="10"/>
      <c r="H20" s="10"/>
      <c r="I20" s="10"/>
    </row>
    <row r="21" spans="1:9">
      <c r="A21" s="44"/>
      <c r="B21" s="514"/>
      <c r="E21" s="10"/>
      <c r="F21" s="10"/>
      <c r="G21" s="10"/>
      <c r="H21" s="10"/>
      <c r="I21" s="10"/>
    </row>
    <row r="22" spans="1:9" ht="18">
      <c r="A22" s="138" t="s">
        <v>180</v>
      </c>
      <c r="B22" s="521" t="s">
        <v>389</v>
      </c>
      <c r="E22" s="10"/>
      <c r="F22" s="10"/>
      <c r="G22" s="10"/>
      <c r="H22" s="10"/>
      <c r="I22" s="10"/>
    </row>
    <row r="23" spans="1:9" s="72" customFormat="1">
      <c r="A23" s="118" t="s">
        <v>182</v>
      </c>
      <c r="B23" s="517">
        <v>10.510911513863443</v>
      </c>
    </row>
    <row r="24" spans="1:9">
      <c r="A24" s="117" t="s">
        <v>183</v>
      </c>
      <c r="B24" s="517">
        <v>4.2231090152811745</v>
      </c>
      <c r="E24" s="10"/>
      <c r="F24" s="10"/>
      <c r="G24" s="10"/>
      <c r="H24" s="10"/>
      <c r="I24" s="10"/>
    </row>
    <row r="25" spans="1:9">
      <c r="A25" s="117" t="s">
        <v>6</v>
      </c>
      <c r="B25" s="517">
        <v>36.708437923254813</v>
      </c>
      <c r="E25" s="10"/>
      <c r="F25" s="10"/>
      <c r="G25" s="10"/>
      <c r="H25" s="10"/>
      <c r="I25" s="10"/>
    </row>
    <row r="26" spans="1:9">
      <c r="A26" s="117" t="s">
        <v>7</v>
      </c>
      <c r="B26" s="517">
        <v>2.6322448484550991</v>
      </c>
      <c r="E26" s="10"/>
      <c r="F26" s="10"/>
      <c r="G26" s="10"/>
      <c r="H26" s="10"/>
      <c r="I26" s="10"/>
    </row>
    <row r="27" spans="1:9">
      <c r="A27" s="117" t="s">
        <v>8</v>
      </c>
      <c r="B27" s="517">
        <v>1.3742356711711319</v>
      </c>
      <c r="E27" s="10"/>
      <c r="F27" s="10"/>
      <c r="G27" s="10"/>
      <c r="H27" s="10"/>
      <c r="I27" s="10"/>
    </row>
    <row r="28" spans="1:9">
      <c r="A28" s="117" t="s">
        <v>9</v>
      </c>
      <c r="B28" s="517">
        <v>9.3577839260338891</v>
      </c>
      <c r="E28" s="10"/>
      <c r="F28" s="10"/>
      <c r="G28" s="10"/>
      <c r="H28" s="10"/>
      <c r="I28" s="10"/>
    </row>
    <row r="29" spans="1:9">
      <c r="A29" s="117" t="s">
        <v>10</v>
      </c>
      <c r="B29" s="517">
        <v>3.8951527391088074</v>
      </c>
      <c r="E29" s="10"/>
      <c r="F29" s="10"/>
      <c r="G29" s="10"/>
      <c r="H29" s="10"/>
      <c r="I29" s="10"/>
    </row>
    <row r="30" spans="1:9">
      <c r="A30" s="118" t="s">
        <v>184</v>
      </c>
      <c r="B30" s="517">
        <v>4.5147487611975414</v>
      </c>
      <c r="E30" s="10"/>
      <c r="F30" s="10"/>
      <c r="G30" s="10"/>
      <c r="H30" s="10"/>
      <c r="I30" s="10"/>
    </row>
    <row r="31" spans="1:9">
      <c r="A31" s="117" t="s">
        <v>11</v>
      </c>
      <c r="B31" s="517">
        <v>1.6075002802320004</v>
      </c>
      <c r="E31" s="10"/>
      <c r="F31" s="10"/>
      <c r="G31" s="10"/>
      <c r="H31" s="10"/>
      <c r="I31" s="10"/>
    </row>
    <row r="32" spans="1:9">
      <c r="A32" s="117" t="s">
        <v>12</v>
      </c>
      <c r="B32" s="517">
        <v>4.8225008406960006</v>
      </c>
      <c r="E32" s="10"/>
      <c r="F32" s="10"/>
      <c r="G32" s="10"/>
      <c r="H32" s="10"/>
      <c r="I32" s="10"/>
    </row>
    <row r="33" spans="1:11">
      <c r="A33" s="117" t="s">
        <v>13</v>
      </c>
      <c r="B33" s="517">
        <v>6.3685027042560023</v>
      </c>
      <c r="E33" s="10"/>
      <c r="F33" s="10"/>
      <c r="G33" s="10"/>
      <c r="H33" s="10"/>
      <c r="I33" s="10"/>
    </row>
    <row r="34" spans="1:11">
      <c r="A34" s="117" t="s">
        <v>14</v>
      </c>
      <c r="B34" s="517">
        <v>4.6362973013280016</v>
      </c>
      <c r="E34" s="10"/>
      <c r="F34" s="10"/>
      <c r="G34" s="10"/>
      <c r="H34" s="10"/>
      <c r="I34" s="10"/>
    </row>
    <row r="35" spans="1:11">
      <c r="A35" s="117" t="s">
        <v>15</v>
      </c>
      <c r="B35" s="517">
        <v>12.338973989496003</v>
      </c>
      <c r="E35" s="10"/>
      <c r="F35" s="10"/>
      <c r="G35" s="10"/>
      <c r="H35" s="10"/>
      <c r="I35" s="10"/>
    </row>
    <row r="36" spans="1:11">
      <c r="A36" s="118" t="s">
        <v>16</v>
      </c>
      <c r="B36" s="517">
        <v>0.19</v>
      </c>
      <c r="E36" s="10"/>
      <c r="F36" s="10"/>
      <c r="G36" s="10"/>
      <c r="H36" s="10"/>
      <c r="I36" s="10"/>
    </row>
    <row r="37" spans="1:11">
      <c r="A37" s="118" t="s">
        <v>17</v>
      </c>
      <c r="B37" s="517">
        <v>0.13</v>
      </c>
    </row>
    <row r="38" spans="1:11">
      <c r="A38" s="118" t="s">
        <v>185</v>
      </c>
      <c r="B38" s="517">
        <v>1.56</v>
      </c>
    </row>
    <row r="39" spans="1:11">
      <c r="A39" s="118" t="s">
        <v>186</v>
      </c>
      <c r="B39" s="517">
        <v>0.76</v>
      </c>
    </row>
    <row r="40" spans="1:11">
      <c r="A40" s="118" t="s">
        <v>18</v>
      </c>
      <c r="B40" s="518">
        <v>2.3704721055606063E-2</v>
      </c>
    </row>
    <row r="41" spans="1:11" ht="15.75" thickBot="1">
      <c r="A41" s="119"/>
      <c r="B41" s="522"/>
    </row>
    <row r="42" spans="1:11" s="43" customFormat="1" ht="15.75" thickBot="1">
      <c r="A42" s="197"/>
      <c r="B42" s="520"/>
      <c r="E42" s="198"/>
      <c r="F42" s="198"/>
      <c r="G42" s="198"/>
      <c r="H42" s="198"/>
      <c r="I42" s="198"/>
      <c r="J42" s="198"/>
      <c r="K42" s="198"/>
    </row>
    <row r="43" spans="1:11" ht="15.75" thickBot="1">
      <c r="A43" s="121" t="s">
        <v>188</v>
      </c>
      <c r="B43" s="523"/>
    </row>
    <row r="44" spans="1:11">
      <c r="A44" s="44" t="s">
        <v>710</v>
      </c>
      <c r="B44" s="514"/>
    </row>
    <row r="45" spans="1:11">
      <c r="A45" s="44"/>
      <c r="B45" s="514"/>
    </row>
    <row r="46" spans="1:11" ht="18">
      <c r="A46" s="137" t="s">
        <v>189</v>
      </c>
      <c r="B46" s="515" t="s">
        <v>585</v>
      </c>
    </row>
    <row r="47" spans="1:11">
      <c r="A47" s="116" t="s">
        <v>190</v>
      </c>
      <c r="B47" s="524">
        <v>0.91078472402969768</v>
      </c>
    </row>
    <row r="48" spans="1:11">
      <c r="A48" s="118" t="s">
        <v>191</v>
      </c>
      <c r="B48" s="517">
        <v>0.91081736334237906</v>
      </c>
    </row>
    <row r="49" spans="1:9">
      <c r="A49" s="118" t="s">
        <v>184</v>
      </c>
      <c r="B49" s="517">
        <v>3.3927234279543167E-2</v>
      </c>
    </row>
    <row r="50" spans="1:9">
      <c r="A50" s="118" t="s">
        <v>18</v>
      </c>
      <c r="B50" s="517">
        <v>9.8456821733816993E-4</v>
      </c>
      <c r="E50" s="10"/>
      <c r="F50" s="10"/>
      <c r="G50" s="10"/>
      <c r="H50" s="10"/>
      <c r="I50" s="10"/>
    </row>
    <row r="51" spans="1:9">
      <c r="A51" s="118" t="s">
        <v>16</v>
      </c>
      <c r="B51" s="517">
        <v>6.354064672145299E-3</v>
      </c>
      <c r="E51" s="10"/>
      <c r="F51" s="10"/>
      <c r="G51" s="10"/>
      <c r="H51" s="10"/>
      <c r="I51" s="10"/>
    </row>
    <row r="52" spans="1:9" ht="15.75" thickBot="1">
      <c r="A52" s="119" t="s">
        <v>126</v>
      </c>
      <c r="B52" s="525">
        <v>0.10414436253376488</v>
      </c>
    </row>
    <row r="53" spans="1:9">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5" customWidth="1"/>
    <col min="3" max="3" width="70.28515625" style="530" customWidth="1"/>
  </cols>
  <sheetData>
    <row r="1" spans="1:3" s="331" customFormat="1" ht="15.75" thickBot="1">
      <c r="A1" s="370" t="s">
        <v>637</v>
      </c>
      <c r="B1" s="528"/>
      <c r="C1" s="529"/>
    </row>
    <row r="2" spans="1:3" s="331" customFormat="1">
      <c r="A2" s="374"/>
      <c r="B2" s="494"/>
      <c r="C2" s="531"/>
    </row>
    <row r="3" spans="1:3" s="331" customFormat="1">
      <c r="A3" s="372"/>
      <c r="B3" s="532">
        <v>2011</v>
      </c>
      <c r="C3" s="375" t="s">
        <v>181</v>
      </c>
    </row>
    <row r="4" spans="1:3">
      <c r="A4" s="120" t="s">
        <v>300</v>
      </c>
      <c r="B4" s="533">
        <v>6050.9562999999998</v>
      </c>
      <c r="C4" s="139" t="s">
        <v>705</v>
      </c>
    </row>
    <row r="5" spans="1:3" ht="15.75" thickBot="1">
      <c r="A5" s="115" t="s">
        <v>636</v>
      </c>
      <c r="B5" s="534">
        <v>672548</v>
      </c>
      <c r="C5" s="140" t="s">
        <v>634</v>
      </c>
    </row>
    <row r="11" spans="1:3">
      <c r="B11" s="788"/>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1" customFormat="1" ht="15.75" thickBot="1">
      <c r="A1" s="370" t="s">
        <v>450</v>
      </c>
      <c r="B1" s="371"/>
    </row>
    <row r="2" spans="1:2" s="331" customFormat="1">
      <c r="A2" s="362"/>
      <c r="B2" s="369"/>
    </row>
    <row r="3" spans="1:2" s="331" customFormat="1" ht="18">
      <c r="A3" s="372"/>
      <c r="B3" s="373" t="s">
        <v>453</v>
      </c>
    </row>
    <row r="4" spans="1:2" ht="18">
      <c r="A4" s="120" t="s">
        <v>451</v>
      </c>
      <c r="B4" s="535">
        <v>310</v>
      </c>
    </row>
    <row r="5" spans="1:2" ht="18.75" thickBot="1">
      <c r="A5" s="115" t="s">
        <v>452</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1"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1" customFormat="1">
      <c r="A2" s="362" t="s">
        <v>440</v>
      </c>
      <c r="B2" s="337"/>
      <c r="C2" s="337"/>
      <c r="D2" s="337"/>
      <c r="E2" s="337"/>
      <c r="F2" s="337"/>
      <c r="G2" s="337"/>
      <c r="H2" s="337"/>
      <c r="I2" s="337"/>
      <c r="J2" s="337"/>
      <c r="K2" s="337"/>
      <c r="L2" s="337"/>
      <c r="M2" s="369"/>
    </row>
    <row r="3" spans="1:13">
      <c r="A3" s="44"/>
      <c r="B3" s="43"/>
      <c r="C3" s="43"/>
      <c r="D3" s="43"/>
      <c r="E3" s="43"/>
      <c r="F3" s="43"/>
      <c r="G3" s="43"/>
      <c r="H3" s="43"/>
      <c r="I3" s="43"/>
      <c r="J3" s="43"/>
      <c r="K3" s="43"/>
      <c r="L3" s="43"/>
      <c r="M3" s="96"/>
    </row>
    <row r="4" spans="1:13" ht="15.75" thickBot="1">
      <c r="A4" s="211" t="s">
        <v>441</v>
      </c>
      <c r="B4" s="316">
        <v>0.20200000000000001</v>
      </c>
      <c r="C4" s="316">
        <v>0.22700000000000001</v>
      </c>
      <c r="D4" s="316">
        <v>0.26700000000000002</v>
      </c>
      <c r="E4" s="316">
        <v>0.26700000000000002</v>
      </c>
      <c r="F4" s="316">
        <v>0.249</v>
      </c>
      <c r="G4" s="316">
        <v>0.35099999999999998</v>
      </c>
      <c r="H4" s="316">
        <v>0.35399999999999998</v>
      </c>
      <c r="I4" s="316">
        <v>0.26400000000000001</v>
      </c>
      <c r="J4" s="316">
        <v>0</v>
      </c>
      <c r="K4" s="316">
        <v>0</v>
      </c>
      <c r="L4" s="316">
        <v>0</v>
      </c>
      <c r="M4" s="317">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5" customFormat="1" ht="15.75">
      <c r="A3" s="98"/>
      <c r="B3" s="70"/>
      <c r="C3" s="99"/>
    </row>
    <row r="4" spans="1:3" s="331" customFormat="1">
      <c r="A4" s="393" t="s">
        <v>363</v>
      </c>
      <c r="B4" s="415" t="s">
        <v>375</v>
      </c>
      <c r="C4" s="416" t="s">
        <v>374</v>
      </c>
    </row>
    <row r="5" spans="1:3" s="331" customFormat="1">
      <c r="A5" s="417"/>
      <c r="B5" s="337"/>
      <c r="C5" s="369"/>
    </row>
    <row r="6" spans="1:3" s="331" customFormat="1">
      <c r="A6" s="418" t="s">
        <v>358</v>
      </c>
      <c r="B6" s="419" t="s">
        <v>708</v>
      </c>
      <c r="C6" s="420" t="s">
        <v>357</v>
      </c>
    </row>
    <row r="7" spans="1:3" s="331" customFormat="1">
      <c r="A7" s="421" t="s">
        <v>707</v>
      </c>
      <c r="B7" s="422" t="s">
        <v>612</v>
      </c>
      <c r="C7" s="423" t="s">
        <v>611</v>
      </c>
    </row>
    <row r="8" spans="1:3" s="331" customFormat="1">
      <c r="A8" s="450"/>
      <c r="B8" s="422"/>
      <c r="C8" s="423"/>
    </row>
    <row r="9" spans="1:3" ht="21">
      <c r="A9" s="126" t="s">
        <v>476</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5" sqref="B5"/>
    </sheetView>
  </sheetViews>
  <sheetFormatPr defaultRowHeight="15"/>
  <cols>
    <col min="1" max="1" width="82.7109375" style="331"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1" t="s">
        <v>492</v>
      </c>
      <c r="B1" s="199"/>
      <c r="C1" s="199"/>
      <c r="D1" s="199"/>
      <c r="E1" s="199"/>
      <c r="F1" s="199"/>
      <c r="G1" s="199"/>
      <c r="H1" s="199"/>
      <c r="I1" s="199"/>
      <c r="J1" s="199"/>
      <c r="K1" s="200"/>
    </row>
    <row r="2" spans="1:11">
      <c r="A2" s="362"/>
      <c r="B2" s="43"/>
      <c r="C2" s="43"/>
      <c r="D2" s="43"/>
      <c r="E2" s="43"/>
      <c r="F2" s="43"/>
      <c r="G2" s="43"/>
      <c r="H2" s="43"/>
      <c r="I2" s="43"/>
      <c r="J2" s="43"/>
      <c r="K2" s="96"/>
    </row>
    <row r="3" spans="1:11">
      <c r="A3" s="362" t="s">
        <v>510</v>
      </c>
      <c r="B3" s="49">
        <f ca="1">IF(ISERROR('SEAP template'!C27),0,'SEAP template'!C27)</f>
        <v>20162.748824008955</v>
      </c>
      <c r="C3" s="43" t="s">
        <v>169</v>
      </c>
      <c r="D3" s="43"/>
      <c r="E3" s="156"/>
      <c r="F3" s="43"/>
      <c r="G3" s="43"/>
      <c r="H3" s="43"/>
      <c r="I3" s="43"/>
      <c r="J3" s="43"/>
      <c r="K3" s="96"/>
    </row>
    <row r="4" spans="1:11">
      <c r="A4" s="362" t="s">
        <v>170</v>
      </c>
      <c r="B4" s="49">
        <f>IF(ISERROR('SEAP template'!B78+'SEAP template'!C78),0,'SEAP template'!B78+'SEAP template'!C78)</f>
        <v>1573.5113668282725</v>
      </c>
      <c r="C4" s="43" t="s">
        <v>169</v>
      </c>
      <c r="D4" s="43"/>
      <c r="E4" s="43"/>
      <c r="F4" s="43"/>
      <c r="G4" s="43"/>
      <c r="H4" s="43"/>
      <c r="I4" s="43"/>
      <c r="J4" s="43"/>
      <c r="K4" s="96"/>
    </row>
    <row r="5" spans="1:11">
      <c r="A5" s="362" t="s">
        <v>547</v>
      </c>
      <c r="B5" s="49">
        <f>IF(ISERROR('Eigen informatie GS &amp; warmtenet'!B4),0,'Eigen informatie GS &amp; warmtenet'!B4)</f>
        <v>0</v>
      </c>
      <c r="C5" s="43" t="s">
        <v>169</v>
      </c>
      <c r="D5" s="43"/>
      <c r="E5" s="43"/>
      <c r="F5" s="43"/>
      <c r="G5" s="43"/>
      <c r="H5" s="43"/>
      <c r="I5" s="43"/>
      <c r="J5" s="43"/>
      <c r="K5" s="96"/>
    </row>
    <row r="6" spans="1:11">
      <c r="A6" s="362" t="s">
        <v>171</v>
      </c>
      <c r="B6" s="538">
        <f>E6</f>
        <v>0.221</v>
      </c>
      <c r="C6" s="43" t="s">
        <v>172</v>
      </c>
      <c r="D6" s="43"/>
      <c r="E6" s="1001">
        <v>0.221</v>
      </c>
      <c r="F6" s="43" t="s">
        <v>835</v>
      </c>
      <c r="G6" s="43" t="s">
        <v>839</v>
      </c>
      <c r="H6" s="43"/>
      <c r="I6" s="43"/>
      <c r="J6" s="43"/>
      <c r="K6" s="96"/>
    </row>
    <row r="7" spans="1:11">
      <c r="A7" s="362"/>
      <c r="B7" s="457"/>
      <c r="C7" s="43"/>
      <c r="D7" s="43"/>
      <c r="E7" s="43"/>
      <c r="F7" s="48"/>
      <c r="G7" s="43"/>
      <c r="H7" s="43"/>
      <c r="I7" s="43"/>
      <c r="J7" s="43"/>
      <c r="K7" s="96"/>
    </row>
    <row r="8" spans="1:11">
      <c r="A8" s="362"/>
      <c r="B8" s="457"/>
      <c r="C8" s="43"/>
      <c r="D8" s="43"/>
      <c r="E8" s="43"/>
      <c r="F8" s="48"/>
      <c r="G8" s="43"/>
      <c r="H8" s="1002"/>
      <c r="I8" s="1003"/>
      <c r="J8" s="43"/>
      <c r="K8" s="96"/>
    </row>
    <row r="9" spans="1:11">
      <c r="A9" s="362" t="s">
        <v>174</v>
      </c>
      <c r="B9" s="49">
        <f>IF(ISERROR('SEAP template'!Q78),0,'SEAP template'!Q78)</f>
        <v>0</v>
      </c>
      <c r="C9" s="43" t="s">
        <v>173</v>
      </c>
      <c r="D9" s="43"/>
      <c r="E9" s="43"/>
      <c r="F9" s="43"/>
      <c r="G9" s="43"/>
      <c r="H9" s="43"/>
      <c r="I9" s="43"/>
      <c r="J9" s="43"/>
      <c r="K9" s="96"/>
    </row>
    <row r="10" spans="1:11">
      <c r="A10" s="362" t="s">
        <v>415</v>
      </c>
      <c r="B10" s="48">
        <v>0</v>
      </c>
      <c r="C10" s="43" t="s">
        <v>173</v>
      </c>
      <c r="D10" s="156"/>
      <c r="E10" s="43"/>
      <c r="F10" s="43"/>
      <c r="G10" s="43"/>
      <c r="H10" s="43"/>
      <c r="I10" s="43"/>
      <c r="J10" s="43"/>
      <c r="K10" s="96"/>
    </row>
    <row r="11" spans="1:11">
      <c r="A11" s="362"/>
      <c r="B11" s="457"/>
      <c r="C11" s="43"/>
      <c r="D11" s="43"/>
      <c r="E11" s="43"/>
      <c r="F11" s="43"/>
      <c r="G11" s="43"/>
      <c r="H11" s="43"/>
      <c r="I11" s="43"/>
      <c r="J11" s="43"/>
      <c r="K11" s="96"/>
    </row>
    <row r="12" spans="1:11">
      <c r="A12" s="363" t="s">
        <v>175</v>
      </c>
      <c r="B12" s="537">
        <f ca="1">IF((B4+B5)&gt;B3,(B9+B10)/(B4+B5),((B3-B4-B5)*B6+B9+B10)/B3)</f>
        <v>0.20375304547488254</v>
      </c>
      <c r="C12" s="43" t="s">
        <v>172</v>
      </c>
      <c r="D12" s="43"/>
      <c r="E12" s="156"/>
      <c r="F12" s="43"/>
      <c r="G12" s="43"/>
      <c r="H12" s="43"/>
      <c r="I12" s="43"/>
      <c r="J12" s="43"/>
      <c r="K12" s="96"/>
    </row>
    <row r="13" spans="1:11" ht="15.75" thickBot="1">
      <c r="A13" s="364"/>
      <c r="B13" s="108"/>
      <c r="C13" s="108"/>
      <c r="D13" s="108"/>
      <c r="E13" s="108"/>
      <c r="F13" s="108"/>
      <c r="G13" s="108"/>
      <c r="H13" s="108"/>
      <c r="I13" s="108"/>
      <c r="J13" s="108"/>
      <c r="K13" s="109"/>
    </row>
    <row r="14" spans="1:11" s="43" customFormat="1" ht="15.75" thickBot="1">
      <c r="A14" s="337"/>
    </row>
    <row r="15" spans="1:11">
      <c r="A15" s="365" t="s">
        <v>493</v>
      </c>
      <c r="B15" s="201"/>
      <c r="C15" s="201"/>
      <c r="D15" s="201"/>
      <c r="E15" s="201"/>
      <c r="F15" s="201"/>
      <c r="G15" s="201"/>
      <c r="H15" s="201"/>
      <c r="I15" s="201"/>
      <c r="J15" s="201"/>
      <c r="K15" s="202"/>
    </row>
    <row r="16" spans="1:11">
      <c r="A16" s="362"/>
      <c r="B16" s="43"/>
      <c r="C16" s="43"/>
      <c r="D16" s="43"/>
      <c r="E16" s="43"/>
      <c r="F16" s="43"/>
      <c r="G16" s="43"/>
      <c r="H16" s="43"/>
      <c r="I16" s="43"/>
      <c r="J16" s="43"/>
      <c r="K16" s="96"/>
    </row>
    <row r="17" spans="1:11">
      <c r="A17" s="362" t="s">
        <v>176</v>
      </c>
      <c r="B17" s="49">
        <f>IF(ISERROR('SEAP template'!Q90),0,'SEAP template'!Q90)</f>
        <v>0</v>
      </c>
      <c r="C17" s="43" t="s">
        <v>173</v>
      </c>
      <c r="D17" s="43"/>
      <c r="E17" s="43"/>
      <c r="F17" s="43"/>
      <c r="G17" s="43"/>
      <c r="H17" s="43"/>
      <c r="I17" s="43"/>
      <c r="J17" s="43"/>
      <c r="K17" s="96"/>
    </row>
    <row r="18" spans="1:11">
      <c r="A18" s="362" t="s">
        <v>177</v>
      </c>
      <c r="B18" s="49">
        <f>IF(ISERROR('Eigen informatie GS &amp; warmtenet'!B52),0,'Eigen informatie GS &amp; warmtenet'!B52)</f>
        <v>0</v>
      </c>
      <c r="C18" s="43" t="s">
        <v>173</v>
      </c>
      <c r="D18" s="43"/>
      <c r="E18" s="43"/>
      <c r="F18" s="43"/>
      <c r="G18" s="43"/>
      <c r="H18" s="43"/>
      <c r="I18" s="43"/>
      <c r="J18" s="43"/>
      <c r="K18" s="96"/>
    </row>
    <row r="19" spans="1:11">
      <c r="A19" s="362" t="s">
        <v>301</v>
      </c>
      <c r="B19" s="49">
        <f>IF(ISERROR('Eigen informatie GS &amp; warmtenet'!B53),0,'Eigen informatie GS &amp; warmtenet'!B53)</f>
        <v>0</v>
      </c>
      <c r="C19" s="43" t="s">
        <v>173</v>
      </c>
      <c r="D19" s="43"/>
      <c r="E19" s="43"/>
      <c r="F19" s="43"/>
      <c r="G19" s="43"/>
      <c r="H19" s="43"/>
      <c r="I19" s="43"/>
      <c r="J19" s="43"/>
      <c r="K19" s="96"/>
    </row>
    <row r="20" spans="1:11">
      <c r="A20" s="362" t="s">
        <v>511</v>
      </c>
      <c r="B20" s="49">
        <f ca="1">IF(ISERROR('SEAP template'!D27),0,('SEAP template'!D27))</f>
        <v>0</v>
      </c>
      <c r="C20" s="43" t="s">
        <v>169</v>
      </c>
      <c r="D20" s="43"/>
      <c r="E20" s="156"/>
      <c r="F20" s="156"/>
      <c r="G20" s="43"/>
      <c r="H20" s="43"/>
      <c r="I20" s="43"/>
      <c r="J20" s="43"/>
      <c r="K20" s="96"/>
    </row>
    <row r="21" spans="1:11">
      <c r="A21" s="362"/>
      <c r="B21" s="43"/>
      <c r="C21" s="43"/>
      <c r="D21" s="43"/>
      <c r="E21" s="43"/>
      <c r="F21" s="43"/>
      <c r="G21" s="43"/>
      <c r="H21" s="43"/>
      <c r="I21" s="43"/>
      <c r="J21" s="43"/>
      <c r="K21" s="96"/>
    </row>
    <row r="22" spans="1:11" s="43" customFormat="1">
      <c r="A22" s="363" t="s">
        <v>178</v>
      </c>
      <c r="B22" s="539">
        <f ca="1">IF(B20=0,0,(B17+B18-B19)/B20)</f>
        <v>0</v>
      </c>
      <c r="C22" s="43" t="s">
        <v>172</v>
      </c>
      <c r="K22" s="96"/>
    </row>
    <row r="23" spans="1:11" ht="15.75" thickBot="1">
      <c r="A23" s="364"/>
      <c r="B23" s="108"/>
      <c r="C23" s="108"/>
      <c r="D23" s="108"/>
      <c r="E23" s="108"/>
      <c r="F23" s="108"/>
      <c r="G23" s="108"/>
      <c r="H23" s="108"/>
      <c r="I23" s="108"/>
      <c r="J23" s="108"/>
      <c r="K23" s="109"/>
    </row>
    <row r="34" spans="1:1">
      <c r="A34" s="331"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15" bestFit="1" customWidth="1"/>
    <col min="2" max="2" width="22.7109375" style="315" customWidth="1"/>
    <col min="3" max="3" width="31.42578125" style="315" customWidth="1"/>
    <col min="4" max="4" width="22.28515625" style="315" customWidth="1"/>
    <col min="5" max="5" width="12.140625" style="315" customWidth="1"/>
    <col min="6" max="6" width="37.28515625" style="233" bestFit="1" customWidth="1"/>
    <col min="7" max="16384" width="9.140625" style="15"/>
  </cols>
  <sheetData>
    <row r="1" spans="1:8" s="315" customFormat="1">
      <c r="A1" s="15" t="s">
        <v>770</v>
      </c>
      <c r="B1" s="15" t="s">
        <v>307</v>
      </c>
      <c r="C1" s="15" t="s">
        <v>311</v>
      </c>
      <c r="D1" s="15" t="s">
        <v>312</v>
      </c>
      <c r="E1" s="15" t="s">
        <v>313</v>
      </c>
      <c r="F1" s="15" t="s">
        <v>314</v>
      </c>
      <c r="H1" s="1058" t="s">
        <v>958</v>
      </c>
    </row>
    <row r="2" spans="1:8">
      <c r="A2" s="315" t="str">
        <f>CONCATENATE(TableECFTransport[[#This Row],[Voertuigtype]],"_",TableECFTransport[[#This Row],[Wegtype]],"_",TableECFTransport[[#This Row],[Brandstoftechnologie]],"_",TableECFTransport[[#This Row],[Brandstof]])</f>
        <v>Tram_gemiddeld_Electric_Electric</v>
      </c>
      <c r="B2" s="315" t="s">
        <v>329</v>
      </c>
      <c r="C2" s="315" t="s">
        <v>341</v>
      </c>
      <c r="D2" s="315" t="s">
        <v>309</v>
      </c>
      <c r="E2" s="315" t="s">
        <v>309</v>
      </c>
      <c r="F2" s="1047">
        <v>1.269E-8</v>
      </c>
    </row>
    <row r="3" spans="1:8">
      <c r="A3" s="315" t="str">
        <f>CONCATENATE(TableECFTransport[[#This Row],[Voertuigtype]],"_",TableECFTransport[[#This Row],[Wegtype]],"_",TableECFTransport[[#This Row],[Brandstoftechnologie]],"_",TableECFTransport[[#This Row],[Brandstof]])</f>
        <v>BUS_Genummerde wegen_Diesel_Diesel</v>
      </c>
      <c r="B3" s="888" t="s">
        <v>779</v>
      </c>
      <c r="C3" s="888" t="s">
        <v>63</v>
      </c>
      <c r="D3" s="888" t="s">
        <v>201</v>
      </c>
      <c r="E3" s="888" t="s">
        <v>201</v>
      </c>
      <c r="F3" s="1052">
        <v>9.7772299999999993E-9</v>
      </c>
    </row>
    <row r="4" spans="1:8">
      <c r="A4" s="315" t="str">
        <f>CONCATENATE(TableECFTransport[[#This Row],[Voertuigtype]],"_",TableECFTransport[[#This Row],[Wegtype]],"_",TableECFTransport[[#This Row],[Brandstoftechnologie]],"_",TableECFTransport[[#This Row],[Brandstof]])</f>
        <v>BUS_Niet-genummerde wegen_Diesel_Diesel</v>
      </c>
      <c r="B4" s="888" t="s">
        <v>779</v>
      </c>
      <c r="C4" s="888" t="s">
        <v>64</v>
      </c>
      <c r="D4" s="888" t="s">
        <v>201</v>
      </c>
      <c r="E4" s="888" t="s">
        <v>201</v>
      </c>
      <c r="F4" s="1052">
        <v>1.77437E-8</v>
      </c>
    </row>
    <row r="5" spans="1:8">
      <c r="A5" s="315" t="str">
        <f>CONCATENATE(TableECFTransport[[#This Row],[Voertuigtype]],"_",TableECFTransport[[#This Row],[Wegtype]],"_",TableECFTransport[[#This Row],[Brandstoftechnologie]],"_",TableECFTransport[[#This Row],[Brandstof]])</f>
        <v>BUS_Genummerde wegen_Diesel Hybrid CS_Diesel</v>
      </c>
      <c r="B5" s="888" t="s">
        <v>779</v>
      </c>
      <c r="C5" s="888" t="s">
        <v>63</v>
      </c>
      <c r="D5" s="887" t="s">
        <v>316</v>
      </c>
      <c r="E5" s="888" t="s">
        <v>201</v>
      </c>
      <c r="F5" s="1052">
        <v>9.7772299999999993E-9</v>
      </c>
    </row>
    <row r="6" spans="1:8">
      <c r="A6" s="315" t="str">
        <f>CONCATENATE(TableECFTransport[[#This Row],[Voertuigtype]],"_",TableECFTransport[[#This Row],[Wegtype]],"_",TableECFTransport[[#This Row],[Brandstoftechnologie]],"_",TableECFTransport[[#This Row],[Brandstof]])</f>
        <v>BUS_Niet-genummerde wegen_Diesel Hybrid CS_Diesel</v>
      </c>
      <c r="B6" s="888" t="s">
        <v>779</v>
      </c>
      <c r="C6" s="888" t="s">
        <v>64</v>
      </c>
      <c r="D6" s="887" t="s">
        <v>316</v>
      </c>
      <c r="E6" s="888" t="s">
        <v>201</v>
      </c>
      <c r="F6" s="1052">
        <v>1.77437E-8</v>
      </c>
    </row>
    <row r="7" spans="1:8">
      <c r="A7" s="315" t="str">
        <f>CONCATENATE(TableECFTransport[[#This Row],[Voertuigtype]],"_",TableECFTransport[[#This Row],[Wegtype]],"_",TableECFTransport[[#This Row],[Brandstoftechnologie]],"_",TableECFTransport[[#This Row],[Brandstof]])</f>
        <v>Lichte voertuigen_Genummerde wegen_CNG_CNG</v>
      </c>
      <c r="B7" t="s">
        <v>771</v>
      </c>
      <c r="C7" t="s">
        <v>63</v>
      </c>
      <c r="D7" t="s">
        <v>308</v>
      </c>
      <c r="E7" t="s">
        <v>308</v>
      </c>
      <c r="F7" s="1053">
        <v>2.5667500000000001E-9</v>
      </c>
    </row>
    <row r="8" spans="1:8">
      <c r="A8" s="315" t="str">
        <f>CONCATENATE(TableECFTransport[[#This Row],[Voertuigtype]],"_",TableECFTransport[[#This Row],[Wegtype]],"_",TableECFTransport[[#This Row],[Brandstoftechnologie]],"_",TableECFTransport[[#This Row],[Brandstof]])</f>
        <v>Lichte voertuigen_Genummerde wegen_Diesel_Diesel</v>
      </c>
      <c r="B8" t="s">
        <v>771</v>
      </c>
      <c r="C8" t="s">
        <v>63</v>
      </c>
      <c r="D8" t="s">
        <v>201</v>
      </c>
      <c r="E8" t="s">
        <v>201</v>
      </c>
      <c r="F8" s="1053">
        <v>2.1976900000000001E-9</v>
      </c>
    </row>
    <row r="9" spans="1:8">
      <c r="A9" s="315" t="str">
        <f>CONCATENATE(TableECFTransport[[#This Row],[Voertuigtype]],"_",TableECFTransport[[#This Row],[Wegtype]],"_",TableECFTransport[[#This Row],[Brandstoftechnologie]],"_",TableECFTransport[[#This Row],[Brandstof]])</f>
        <v>Lichte voertuigen_Genummerde wegen_E85_E85</v>
      </c>
      <c r="B9" t="s">
        <v>771</v>
      </c>
      <c r="C9" t="s">
        <v>63</v>
      </c>
      <c r="D9" t="s">
        <v>729</v>
      </c>
      <c r="E9" t="s">
        <v>729</v>
      </c>
      <c r="F9" s="1053">
        <v>2.2056500000000001E-9</v>
      </c>
    </row>
    <row r="10" spans="1:8">
      <c r="A10" s="315" t="str">
        <f>CONCATENATE(TableECFTransport[[#This Row],[Voertuigtype]],"_",TableECFTransport[[#This Row],[Wegtype]],"_",TableECFTransport[[#This Row],[Brandstoftechnologie]],"_",TableECFTransport[[#This Row],[Brandstof]])</f>
        <v>Lichte voertuigen_Genummerde wegen_Electric_Electric</v>
      </c>
      <c r="B10" t="s">
        <v>771</v>
      </c>
      <c r="C10" t="s">
        <v>63</v>
      </c>
      <c r="D10" t="s">
        <v>309</v>
      </c>
      <c r="E10" t="s">
        <v>309</v>
      </c>
      <c r="F10" s="1053">
        <v>8.4999999999999996E-10</v>
      </c>
    </row>
    <row r="11" spans="1:8">
      <c r="A11" s="315" t="str">
        <f>CONCATENATE(TableECFTransport[[#This Row],[Voertuigtype]],"_",TableECFTransport[[#This Row],[Wegtype]],"_",TableECFTransport[[#This Row],[Brandstoftechnologie]],"_",TableECFTransport[[#This Row],[Brandstof]])</f>
        <v>Lichte voertuigen_Genummerde wegen_LPG_LPG</v>
      </c>
      <c r="B11" t="s">
        <v>771</v>
      </c>
      <c r="C11" t="s">
        <v>63</v>
      </c>
      <c r="D11" t="s">
        <v>118</v>
      </c>
      <c r="E11" t="s">
        <v>118</v>
      </c>
      <c r="F11" s="1053">
        <v>2.25512E-9</v>
      </c>
    </row>
    <row r="12" spans="1:8">
      <c r="A12" s="315" t="str">
        <f>CONCATENATE(TableECFTransport[[#This Row],[Voertuigtype]],"_",TableECFTransport[[#This Row],[Wegtype]],"_",TableECFTransport[[#This Row],[Brandstoftechnologie]],"_",TableECFTransport[[#This Row],[Brandstof]])</f>
        <v>Lichte voertuigen_Genummerde wegen_Petrol_Petrol</v>
      </c>
      <c r="B12" t="s">
        <v>771</v>
      </c>
      <c r="C12" t="s">
        <v>63</v>
      </c>
      <c r="D12" t="s">
        <v>310</v>
      </c>
      <c r="E12" t="s">
        <v>310</v>
      </c>
      <c r="F12" s="1053">
        <v>2.2056500000000001E-9</v>
      </c>
    </row>
    <row r="13" spans="1:8">
      <c r="A13" s="315" t="str">
        <f>CONCATENATE(TableECFTransport[[#This Row],[Voertuigtype]],"_",TableECFTransport[[#This Row],[Wegtype]],"_",TableECFTransport[[#This Row],[Brandstoftechnologie]],"_",TableECFTransport[[#This Row],[Brandstof]])</f>
        <v>Lichte voertuigen_Genummerde wegen_Petrol Hybrid_Petrol</v>
      </c>
      <c r="B13" t="s">
        <v>771</v>
      </c>
      <c r="C13" t="s">
        <v>63</v>
      </c>
      <c r="D13" t="s">
        <v>781</v>
      </c>
      <c r="E13" t="s">
        <v>310</v>
      </c>
      <c r="F13" s="1053">
        <v>1.4988099999999999E-9</v>
      </c>
    </row>
    <row r="14" spans="1:8">
      <c r="A14" s="315" t="str">
        <f>CONCATENATE(TableECFTransport[[#This Row],[Voertuigtype]],"_",TableECFTransport[[#This Row],[Wegtype]],"_",TableECFTransport[[#This Row],[Brandstoftechnologie]],"_",TableECFTransport[[#This Row],[Brandstof]])</f>
        <v>Lichte voertuigen_Niet-genummerde wegen_CNG_CNG</v>
      </c>
      <c r="B14" t="s">
        <v>771</v>
      </c>
      <c r="C14" t="s">
        <v>64</v>
      </c>
      <c r="D14" t="s">
        <v>308</v>
      </c>
      <c r="E14" t="s">
        <v>308</v>
      </c>
      <c r="F14" s="1053">
        <v>4.3424600000000003E-9</v>
      </c>
    </row>
    <row r="15" spans="1:8">
      <c r="A15" s="315" t="str">
        <f>CONCATENATE(TableECFTransport[[#This Row],[Voertuigtype]],"_",TableECFTransport[[#This Row],[Wegtype]],"_",TableECFTransport[[#This Row],[Brandstoftechnologie]],"_",TableECFTransport[[#This Row],[Brandstof]])</f>
        <v>Lichte voertuigen_Niet-genummerde wegen_Diesel_Diesel</v>
      </c>
      <c r="B15" t="s">
        <v>771</v>
      </c>
      <c r="C15" t="s">
        <v>64</v>
      </c>
      <c r="D15" t="s">
        <v>201</v>
      </c>
      <c r="E15" t="s">
        <v>201</v>
      </c>
      <c r="F15" s="1053">
        <v>3.3390300000000002E-9</v>
      </c>
    </row>
    <row r="16" spans="1:8">
      <c r="A16" s="315" t="str">
        <f>CONCATENATE(TableECFTransport[[#This Row],[Voertuigtype]],"_",TableECFTransport[[#This Row],[Wegtype]],"_",TableECFTransport[[#This Row],[Brandstoftechnologie]],"_",TableECFTransport[[#This Row],[Brandstof]])</f>
        <v>Lichte voertuigen_Niet-genummerde wegen_E85_E85</v>
      </c>
      <c r="B16" t="s">
        <v>771</v>
      </c>
      <c r="C16" t="s">
        <v>64</v>
      </c>
      <c r="D16" t="s">
        <v>729</v>
      </c>
      <c r="E16" t="s">
        <v>729</v>
      </c>
      <c r="F16" s="1053">
        <v>3.53496E-9</v>
      </c>
    </row>
    <row r="17" spans="1:6">
      <c r="A17" s="315" t="str">
        <f>CONCATENATE(TableECFTransport[[#This Row],[Voertuigtype]],"_",TableECFTransport[[#This Row],[Wegtype]],"_",TableECFTransport[[#This Row],[Brandstoftechnologie]],"_",TableECFTransport[[#This Row],[Brandstof]])</f>
        <v>Lichte voertuigen_Niet-genummerde wegen_Electric_Electric</v>
      </c>
      <c r="B17" t="s">
        <v>771</v>
      </c>
      <c r="C17" t="s">
        <v>64</v>
      </c>
      <c r="D17" t="s">
        <v>309</v>
      </c>
      <c r="E17" t="s">
        <v>309</v>
      </c>
      <c r="F17" s="1053">
        <v>8.4999999999999996E-10</v>
      </c>
    </row>
    <row r="18" spans="1:6">
      <c r="A18" s="315" t="str">
        <f>CONCATENATE(TableECFTransport[[#This Row],[Voertuigtype]],"_",TableECFTransport[[#This Row],[Wegtype]],"_",TableECFTransport[[#This Row],[Brandstoftechnologie]],"_",TableECFTransport[[#This Row],[Brandstof]])</f>
        <v>Lichte voertuigen_Niet-genummerde wegen_LPG_LPG</v>
      </c>
      <c r="B18" t="s">
        <v>771</v>
      </c>
      <c r="C18" t="s">
        <v>64</v>
      </c>
      <c r="D18" t="s">
        <v>118</v>
      </c>
      <c r="E18" t="s">
        <v>118</v>
      </c>
      <c r="F18" s="1053">
        <v>3.57471E-9</v>
      </c>
    </row>
    <row r="19" spans="1:6">
      <c r="A19" s="315" t="str">
        <f>CONCATENATE(TableECFTransport[[#This Row],[Voertuigtype]],"_",TableECFTransport[[#This Row],[Wegtype]],"_",TableECFTransport[[#This Row],[Brandstoftechnologie]],"_",TableECFTransport[[#This Row],[Brandstof]])</f>
        <v>Lichte voertuigen_Niet-genummerde wegen_Petrol_Petrol</v>
      </c>
      <c r="B19" t="s">
        <v>771</v>
      </c>
      <c r="C19" t="s">
        <v>64</v>
      </c>
      <c r="D19" t="s">
        <v>310</v>
      </c>
      <c r="E19" t="s">
        <v>310</v>
      </c>
      <c r="F19" s="1053">
        <v>3.53496E-9</v>
      </c>
    </row>
    <row r="20" spans="1:6">
      <c r="A20" s="315" t="str">
        <f>CONCATENATE(TableECFTransport[[#This Row],[Voertuigtype]],"_",TableECFTransport[[#This Row],[Wegtype]],"_",TableECFTransport[[#This Row],[Brandstoftechnologie]],"_",TableECFTransport[[#This Row],[Brandstof]])</f>
        <v>Lichte voertuigen_Niet-genummerde wegen_Petrol Hybrid_Petrol</v>
      </c>
      <c r="B20" t="s">
        <v>771</v>
      </c>
      <c r="C20" t="s">
        <v>64</v>
      </c>
      <c r="D20" t="s">
        <v>781</v>
      </c>
      <c r="E20" t="s">
        <v>310</v>
      </c>
      <c r="F20" s="1053">
        <v>2.5183100000000002E-9</v>
      </c>
    </row>
    <row r="21" spans="1:6">
      <c r="A21" s="315" t="str">
        <f>CONCATENATE(TableECFTransport[[#This Row],[Voertuigtype]],"_",TableECFTransport[[#This Row],[Wegtype]],"_",TableECFTransport[[#This Row],[Brandstoftechnologie]],"_",TableECFTransport[[#This Row],[Brandstof]])</f>
        <v>Lichte voertuigen_snelwegen_CNG_CNG</v>
      </c>
      <c r="B21" t="s">
        <v>771</v>
      </c>
      <c r="C21" t="s">
        <v>780</v>
      </c>
      <c r="D21" t="s">
        <v>308</v>
      </c>
      <c r="E21" t="s">
        <v>308</v>
      </c>
      <c r="F21" s="1053">
        <v>2.54163E-9</v>
      </c>
    </row>
    <row r="22" spans="1:6">
      <c r="A22" s="315" t="str">
        <f>CONCATENATE(TableECFTransport[[#This Row],[Voertuigtype]],"_",TableECFTransport[[#This Row],[Wegtype]],"_",TableECFTransport[[#This Row],[Brandstoftechnologie]],"_",TableECFTransport[[#This Row],[Brandstof]])</f>
        <v>Lichte voertuigen_snelwegen_Diesel_Diesel</v>
      </c>
      <c r="B22" t="s">
        <v>771</v>
      </c>
      <c r="C22" t="s">
        <v>780</v>
      </c>
      <c r="D22" t="s">
        <v>201</v>
      </c>
      <c r="E22" t="s">
        <v>201</v>
      </c>
      <c r="F22" s="1053">
        <v>2.50137E-9</v>
      </c>
    </row>
    <row r="23" spans="1:6">
      <c r="A23" s="315" t="str">
        <f>CONCATENATE(TableECFTransport[[#This Row],[Voertuigtype]],"_",TableECFTransport[[#This Row],[Wegtype]],"_",TableECFTransport[[#This Row],[Brandstoftechnologie]],"_",TableECFTransport[[#This Row],[Brandstof]])</f>
        <v>Lichte voertuigen_snelwegen_E85_E85</v>
      </c>
      <c r="B23" t="s">
        <v>771</v>
      </c>
      <c r="C23" t="s">
        <v>780</v>
      </c>
      <c r="D23" t="s">
        <v>729</v>
      </c>
      <c r="E23" t="s">
        <v>729</v>
      </c>
      <c r="F23" s="1053">
        <v>2.32214E-9</v>
      </c>
    </row>
    <row r="24" spans="1:6">
      <c r="A24" s="315" t="str">
        <f>CONCATENATE(TableECFTransport[[#This Row],[Voertuigtype]],"_",TableECFTransport[[#This Row],[Wegtype]],"_",TableECFTransport[[#This Row],[Brandstoftechnologie]],"_",TableECFTransport[[#This Row],[Brandstof]])</f>
        <v>Lichte voertuigen_snelwegen_Electric_Electric</v>
      </c>
      <c r="B24" t="s">
        <v>771</v>
      </c>
      <c r="C24" t="s">
        <v>780</v>
      </c>
      <c r="D24" t="s">
        <v>309</v>
      </c>
      <c r="E24" t="s">
        <v>309</v>
      </c>
      <c r="F24" s="1053">
        <v>8.4999999999999996E-10</v>
      </c>
    </row>
    <row r="25" spans="1:6">
      <c r="A25" s="315" t="str">
        <f>CONCATENATE(TableECFTransport[[#This Row],[Voertuigtype]],"_",TableECFTransport[[#This Row],[Wegtype]],"_",TableECFTransport[[#This Row],[Brandstoftechnologie]],"_",TableECFTransport[[#This Row],[Brandstof]])</f>
        <v>Lichte voertuigen_snelwegen_LPG_LPG</v>
      </c>
      <c r="B25" t="s">
        <v>771</v>
      </c>
      <c r="C25" t="s">
        <v>780</v>
      </c>
      <c r="D25" t="s">
        <v>118</v>
      </c>
      <c r="E25" t="s">
        <v>118</v>
      </c>
      <c r="F25" s="1053">
        <v>2.79103E-9</v>
      </c>
    </row>
    <row r="26" spans="1:6">
      <c r="A26" s="315" t="str">
        <f>CONCATENATE(TableECFTransport[[#This Row],[Voertuigtype]],"_",TableECFTransport[[#This Row],[Wegtype]],"_",TableECFTransport[[#This Row],[Brandstoftechnologie]],"_",TableECFTransport[[#This Row],[Brandstof]])</f>
        <v>Lichte voertuigen_snelwegen_Petrol_Petrol</v>
      </c>
      <c r="B26" t="s">
        <v>771</v>
      </c>
      <c r="C26" t="s">
        <v>780</v>
      </c>
      <c r="D26" t="s">
        <v>310</v>
      </c>
      <c r="E26" t="s">
        <v>310</v>
      </c>
      <c r="F26" s="1053">
        <v>2.32214E-9</v>
      </c>
    </row>
    <row r="27" spans="1:6">
      <c r="A27" s="315" t="str">
        <f>CONCATENATE(TableECFTransport[[#This Row],[Voertuigtype]],"_",TableECFTransport[[#This Row],[Wegtype]],"_",TableECFTransport[[#This Row],[Brandstoftechnologie]],"_",TableECFTransport[[#This Row],[Brandstof]])</f>
        <v>Lichte voertuigen_snelwegen_Petrol Hybrid_Petrol</v>
      </c>
      <c r="B27" t="s">
        <v>771</v>
      </c>
      <c r="C27" t="s">
        <v>780</v>
      </c>
      <c r="D27" t="s">
        <v>781</v>
      </c>
      <c r="E27" t="s">
        <v>310</v>
      </c>
      <c r="F27" s="1053">
        <v>1.8273499999999999E-9</v>
      </c>
    </row>
    <row r="28" spans="1:6">
      <c r="A28" s="315" t="str">
        <f>CONCATENATE(TableECFTransport[[#This Row],[Voertuigtype]],"_",TableECFTransport[[#This Row],[Wegtype]],"_",TableECFTransport[[#This Row],[Brandstoftechnologie]],"_",TableECFTransport[[#This Row],[Brandstof]])</f>
        <v>Zware voertuigen_Genummerde wegen_Diesel_Diesel</v>
      </c>
      <c r="B28" t="s">
        <v>773</v>
      </c>
      <c r="C28" t="s">
        <v>63</v>
      </c>
      <c r="D28" t="s">
        <v>201</v>
      </c>
      <c r="E28" t="s">
        <v>201</v>
      </c>
      <c r="F28" s="1053">
        <v>9.7991700000000002E-9</v>
      </c>
    </row>
    <row r="29" spans="1:6">
      <c r="A29" s="315" t="str">
        <f>CONCATENATE(TableECFTransport[[#This Row],[Voertuigtype]],"_",TableECFTransport[[#This Row],[Wegtype]],"_",TableECFTransport[[#This Row],[Brandstoftechnologie]],"_",TableECFTransport[[#This Row],[Brandstof]])</f>
        <v>Zware voertuigen_Genummerde wegen_Petrol_Petrol</v>
      </c>
      <c r="B29" t="s">
        <v>773</v>
      </c>
      <c r="C29" t="s">
        <v>63</v>
      </c>
      <c r="D29" t="s">
        <v>310</v>
      </c>
      <c r="E29" t="s">
        <v>310</v>
      </c>
      <c r="F29" s="1053">
        <v>6.5265900000000003E-9</v>
      </c>
    </row>
    <row r="30" spans="1:6">
      <c r="A30" s="315" t="str">
        <f>CONCATENATE(TableECFTransport[[#This Row],[Voertuigtype]],"_",TableECFTransport[[#This Row],[Wegtype]],"_",TableECFTransport[[#This Row],[Brandstoftechnologie]],"_",TableECFTransport[[#This Row],[Brandstof]])</f>
        <v>Zware voertuigen_Niet-genummerde wegen_Diesel_Diesel</v>
      </c>
      <c r="B30" t="s">
        <v>773</v>
      </c>
      <c r="C30" t="s">
        <v>64</v>
      </c>
      <c r="D30" t="s">
        <v>201</v>
      </c>
      <c r="E30" t="s">
        <v>201</v>
      </c>
      <c r="F30" s="1053">
        <v>1.35633E-8</v>
      </c>
    </row>
    <row r="31" spans="1:6">
      <c r="A31" s="315" t="str">
        <f>CONCATENATE(TableECFTransport[[#This Row],[Voertuigtype]],"_",TableECFTransport[[#This Row],[Wegtype]],"_",TableECFTransport[[#This Row],[Brandstoftechnologie]],"_",TableECFTransport[[#This Row],[Brandstof]])</f>
        <v>Zware voertuigen_Niet-genummerde wegen_Petrol_Petrol</v>
      </c>
      <c r="B31" t="s">
        <v>773</v>
      </c>
      <c r="C31" t="s">
        <v>64</v>
      </c>
      <c r="D31" t="s">
        <v>310</v>
      </c>
      <c r="E31" t="s">
        <v>310</v>
      </c>
      <c r="F31" s="1053">
        <v>1.0877E-8</v>
      </c>
    </row>
    <row r="32" spans="1:6">
      <c r="A32" s="315" t="str">
        <f>CONCATENATE(TableECFTransport[[#This Row],[Voertuigtype]],"_",TableECFTransport[[#This Row],[Wegtype]],"_",TableECFTransport[[#This Row],[Brandstoftechnologie]],"_",TableECFTransport[[#This Row],[Brandstof]])</f>
        <v>Zware voertuigen_snelwegen_Diesel_Diesel</v>
      </c>
      <c r="B32" t="s">
        <v>773</v>
      </c>
      <c r="C32" t="s">
        <v>780</v>
      </c>
      <c r="D32" t="s">
        <v>201</v>
      </c>
      <c r="E32" t="s">
        <v>201</v>
      </c>
      <c r="F32" s="1053">
        <v>9.4344799999999995E-9</v>
      </c>
    </row>
    <row r="33" spans="1:6">
      <c r="A33" s="315" t="str">
        <f>CONCATENATE(TableECFTransport[[#This Row],[Voertuigtype]],"_",TableECFTransport[[#This Row],[Wegtype]],"_",TableECFTransport[[#This Row],[Brandstoftechnologie]],"_",TableECFTransport[[#This Row],[Brandstof]])</f>
        <v>Zware voertuigen_snelwegen_Petrol_Petrol</v>
      </c>
      <c r="B33" t="s">
        <v>773</v>
      </c>
      <c r="C33" t="s">
        <v>780</v>
      </c>
      <c r="D33" t="s">
        <v>310</v>
      </c>
      <c r="E33" t="s">
        <v>310</v>
      </c>
      <c r="F33" s="1053">
        <v>6.6005500000000003E-9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86">
        <v>2011</v>
      </c>
      <c r="B1" s="118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8"/>
      <c r="B2" s="118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8"/>
      <c r="B3" s="118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0"/>
      <c r="B4" s="119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525</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154</v>
      </c>
      <c r="B7" s="216"/>
      <c r="C7" s="851">
        <v>0</v>
      </c>
      <c r="D7" s="851">
        <v>2.6805934962701699</v>
      </c>
      <c r="E7" s="851">
        <v>0</v>
      </c>
      <c r="F7" s="852">
        <v>2.6805934962701699</v>
      </c>
      <c r="G7" s="851">
        <v>0</v>
      </c>
      <c r="H7" s="851">
        <v>0</v>
      </c>
      <c r="I7" s="851">
        <v>2.2239599999999999</v>
      </c>
      <c r="J7" s="851">
        <v>0.50767128695107</v>
      </c>
      <c r="K7" s="851">
        <v>0</v>
      </c>
      <c r="L7" s="851">
        <v>75.824335044693584</v>
      </c>
      <c r="M7" s="851">
        <v>0</v>
      </c>
      <c r="N7" s="851">
        <v>0</v>
      </c>
      <c r="O7" s="851">
        <v>0</v>
      </c>
      <c r="P7" s="851">
        <v>0</v>
      </c>
      <c r="Q7" s="851">
        <v>0</v>
      </c>
      <c r="R7" s="852">
        <v>78.555966331644655</v>
      </c>
      <c r="S7" s="851">
        <v>81.020451572490572</v>
      </c>
      <c r="T7" s="851">
        <v>0</v>
      </c>
      <c r="U7" s="851">
        <v>0</v>
      </c>
      <c r="V7" s="852">
        <v>81.020451572490572</v>
      </c>
      <c r="W7" s="852">
        <v>162.25701140040539</v>
      </c>
      <c r="X7" s="851">
        <v>0</v>
      </c>
      <c r="Y7" s="851">
        <v>11.305601242837319</v>
      </c>
      <c r="Z7" s="851">
        <v>40.431095546363998</v>
      </c>
      <c r="AA7" s="853">
        <v>0</v>
      </c>
      <c r="AB7" s="853">
        <v>0</v>
      </c>
      <c r="AC7" s="852">
        <v>213.99370818960671</v>
      </c>
    </row>
    <row r="8" spans="1:29">
      <c r="A8" s="217" t="s">
        <v>155</v>
      </c>
      <c r="B8" s="218"/>
      <c r="C8" s="854">
        <v>0</v>
      </c>
      <c r="D8" s="854">
        <v>0</v>
      </c>
      <c r="E8" s="854">
        <v>0</v>
      </c>
      <c r="F8" s="855">
        <v>0</v>
      </c>
      <c r="G8" s="854">
        <v>0</v>
      </c>
      <c r="H8" s="854">
        <v>0</v>
      </c>
      <c r="I8" s="854">
        <v>0.93635176296261835</v>
      </c>
      <c r="J8" s="854">
        <v>0.1136256717751985</v>
      </c>
      <c r="K8" s="854">
        <v>0</v>
      </c>
      <c r="L8" s="854">
        <v>8.2141361334322767</v>
      </c>
      <c r="M8" s="854">
        <v>0</v>
      </c>
      <c r="N8" s="854">
        <v>0.40051228828026236</v>
      </c>
      <c r="O8" s="854">
        <v>0</v>
      </c>
      <c r="P8" s="854">
        <v>0</v>
      </c>
      <c r="Q8" s="854">
        <v>0</v>
      </c>
      <c r="R8" s="855">
        <v>9.6646258564503569</v>
      </c>
      <c r="S8" s="854">
        <v>39.885032712128762</v>
      </c>
      <c r="T8" s="854">
        <v>0</v>
      </c>
      <c r="U8" s="854">
        <v>0</v>
      </c>
      <c r="V8" s="855">
        <v>39.885032712128762</v>
      </c>
      <c r="W8" s="855">
        <v>49.549658568579119</v>
      </c>
      <c r="X8" s="854">
        <v>1.1778731083252698</v>
      </c>
      <c r="Y8" s="854">
        <v>1.2382813741278351</v>
      </c>
      <c r="Z8" s="854">
        <v>43.658759703935893</v>
      </c>
      <c r="AA8" s="856">
        <v>0</v>
      </c>
      <c r="AB8" s="856">
        <v>0</v>
      </c>
      <c r="AC8" s="855">
        <v>95.624572754968113</v>
      </c>
    </row>
    <row r="9" spans="1:29">
      <c r="A9" s="3"/>
      <c r="B9" s="6" t="s">
        <v>156</v>
      </c>
      <c r="C9" s="857">
        <v>0</v>
      </c>
      <c r="D9" s="857">
        <v>0</v>
      </c>
      <c r="E9" s="857">
        <v>0</v>
      </c>
      <c r="F9" s="858">
        <v>0</v>
      </c>
      <c r="G9" s="857">
        <v>0</v>
      </c>
      <c r="H9" s="857">
        <v>0</v>
      </c>
      <c r="I9" s="857">
        <v>0.23986607832345108</v>
      </c>
      <c r="J9" s="857">
        <v>0</v>
      </c>
      <c r="K9" s="857">
        <v>0</v>
      </c>
      <c r="L9" s="857">
        <v>0.74071186543813006</v>
      </c>
      <c r="M9" s="857">
        <v>0</v>
      </c>
      <c r="N9" s="857">
        <v>0</v>
      </c>
      <c r="O9" s="857">
        <v>0</v>
      </c>
      <c r="P9" s="857">
        <v>0</v>
      </c>
      <c r="Q9" s="857">
        <v>0</v>
      </c>
      <c r="R9" s="858">
        <v>0.98057794376158114</v>
      </c>
      <c r="S9" s="857">
        <v>3.9459597725550073</v>
      </c>
      <c r="T9" s="857">
        <v>0</v>
      </c>
      <c r="U9" s="857">
        <v>0</v>
      </c>
      <c r="V9" s="858">
        <v>3.9459597725550073</v>
      </c>
      <c r="W9" s="858">
        <v>4.926537716316588</v>
      </c>
      <c r="X9" s="857">
        <v>0</v>
      </c>
      <c r="Y9" s="857">
        <v>0</v>
      </c>
      <c r="Z9" s="857">
        <v>4.2519422209400766</v>
      </c>
      <c r="AA9" s="859">
        <v>0</v>
      </c>
      <c r="AB9" s="859">
        <v>0</v>
      </c>
      <c r="AC9" s="858">
        <v>9.1784799372566646</v>
      </c>
    </row>
    <row r="10" spans="1:29">
      <c r="A10" s="3"/>
      <c r="B10" s="6" t="s">
        <v>157</v>
      </c>
      <c r="C10" s="857">
        <v>0</v>
      </c>
      <c r="D10" s="857">
        <v>0</v>
      </c>
      <c r="E10" s="857">
        <v>0</v>
      </c>
      <c r="F10" s="858">
        <v>0</v>
      </c>
      <c r="G10" s="857">
        <v>0</v>
      </c>
      <c r="H10" s="857">
        <v>0</v>
      </c>
      <c r="I10" s="857">
        <v>1.1479243261291476E-3</v>
      </c>
      <c r="J10" s="857">
        <v>0</v>
      </c>
      <c r="K10" s="857">
        <v>0</v>
      </c>
      <c r="L10" s="857">
        <v>0.67500914773328857</v>
      </c>
      <c r="M10" s="857">
        <v>0</v>
      </c>
      <c r="N10" s="857">
        <v>7.070841878929539E-3</v>
      </c>
      <c r="O10" s="857">
        <v>0</v>
      </c>
      <c r="P10" s="857">
        <v>0</v>
      </c>
      <c r="Q10" s="857">
        <v>0</v>
      </c>
      <c r="R10" s="858">
        <v>0.68322791393834736</v>
      </c>
      <c r="S10" s="857">
        <v>5.0008933498534036</v>
      </c>
      <c r="T10" s="857">
        <v>0</v>
      </c>
      <c r="U10" s="857">
        <v>0</v>
      </c>
      <c r="V10" s="858">
        <v>5.0008933498534036</v>
      </c>
      <c r="W10" s="858">
        <v>5.6841212637917513</v>
      </c>
      <c r="X10" s="857">
        <v>0</v>
      </c>
      <c r="Y10" s="857">
        <v>2.3935049200000003E-2</v>
      </c>
      <c r="Z10" s="857">
        <v>2.7694669470828974</v>
      </c>
      <c r="AA10" s="859">
        <v>0</v>
      </c>
      <c r="AB10" s="859">
        <v>0</v>
      </c>
      <c r="AC10" s="858">
        <v>8.4775232600746495</v>
      </c>
    </row>
    <row r="11" spans="1:29">
      <c r="A11" s="3"/>
      <c r="B11" s="6" t="s">
        <v>158</v>
      </c>
      <c r="C11" s="857">
        <v>0</v>
      </c>
      <c r="D11" s="857">
        <v>0</v>
      </c>
      <c r="E11" s="857">
        <v>0</v>
      </c>
      <c r="F11" s="858">
        <v>0</v>
      </c>
      <c r="G11" s="857">
        <v>0</v>
      </c>
      <c r="H11" s="857">
        <v>0</v>
      </c>
      <c r="I11" s="857">
        <v>1.4339483086039156E-3</v>
      </c>
      <c r="J11" s="857">
        <v>0</v>
      </c>
      <c r="K11" s="857">
        <v>0</v>
      </c>
      <c r="L11" s="857">
        <v>1.3616964244893957</v>
      </c>
      <c r="M11" s="857">
        <v>0</v>
      </c>
      <c r="N11" s="857">
        <v>0</v>
      </c>
      <c r="O11" s="857">
        <v>0</v>
      </c>
      <c r="P11" s="857">
        <v>0</v>
      </c>
      <c r="Q11" s="857">
        <v>0</v>
      </c>
      <c r="R11" s="858">
        <v>1.3631303727979995</v>
      </c>
      <c r="S11" s="857">
        <v>5.5273920774377121</v>
      </c>
      <c r="T11" s="857">
        <v>0</v>
      </c>
      <c r="U11" s="857">
        <v>0</v>
      </c>
      <c r="V11" s="858">
        <v>5.5273920774377121</v>
      </c>
      <c r="W11" s="858">
        <v>6.8905224502357116</v>
      </c>
      <c r="X11" s="857">
        <v>0</v>
      </c>
      <c r="Y11" s="857">
        <v>5.5458E-3</v>
      </c>
      <c r="Z11" s="857">
        <v>1.881693343564848</v>
      </c>
      <c r="AA11" s="859">
        <v>0</v>
      </c>
      <c r="AB11" s="859">
        <v>0</v>
      </c>
      <c r="AC11" s="858">
        <v>8.7777615938005589</v>
      </c>
    </row>
    <row r="12" spans="1:29">
      <c r="A12" s="3"/>
      <c r="B12" s="6" t="s">
        <v>159</v>
      </c>
      <c r="C12" s="857">
        <v>0</v>
      </c>
      <c r="D12" s="857">
        <v>0</v>
      </c>
      <c r="E12" s="857">
        <v>0</v>
      </c>
      <c r="F12" s="858">
        <v>0</v>
      </c>
      <c r="G12" s="857">
        <v>0</v>
      </c>
      <c r="H12" s="857">
        <v>0</v>
      </c>
      <c r="I12" s="857">
        <v>0.59883151513920008</v>
      </c>
      <c r="J12" s="857">
        <v>2.5976865406703159E-3</v>
      </c>
      <c r="K12" s="857">
        <v>0</v>
      </c>
      <c r="L12" s="857">
        <v>2.5938717385006922</v>
      </c>
      <c r="M12" s="857">
        <v>0</v>
      </c>
      <c r="N12" s="857">
        <v>0</v>
      </c>
      <c r="O12" s="857">
        <v>0</v>
      </c>
      <c r="P12" s="857">
        <v>0</v>
      </c>
      <c r="Q12" s="857">
        <v>0</v>
      </c>
      <c r="R12" s="858">
        <v>3.1953009401805623</v>
      </c>
      <c r="S12" s="857">
        <v>14.214693837786118</v>
      </c>
      <c r="T12" s="857">
        <v>0</v>
      </c>
      <c r="U12" s="857">
        <v>0</v>
      </c>
      <c r="V12" s="858">
        <v>14.214693837786118</v>
      </c>
      <c r="W12" s="858">
        <v>17.409994777966681</v>
      </c>
      <c r="X12" s="857">
        <v>4.9274108325270002E-2</v>
      </c>
      <c r="Y12" s="857">
        <v>0.13223600000000002</v>
      </c>
      <c r="Z12" s="857">
        <v>17.107549096442991</v>
      </c>
      <c r="AA12" s="859">
        <v>0</v>
      </c>
      <c r="AB12" s="859">
        <v>0</v>
      </c>
      <c r="AC12" s="858">
        <v>34.699053982734938</v>
      </c>
    </row>
    <row r="13" spans="1:29">
      <c r="A13" s="3"/>
      <c r="B13" s="6" t="s">
        <v>160</v>
      </c>
      <c r="C13" s="857">
        <v>0</v>
      </c>
      <c r="D13" s="857">
        <v>0</v>
      </c>
      <c r="E13" s="857">
        <v>0</v>
      </c>
      <c r="F13" s="858">
        <v>0</v>
      </c>
      <c r="G13" s="857">
        <v>0</v>
      </c>
      <c r="H13" s="857">
        <v>0</v>
      </c>
      <c r="I13" s="857">
        <v>6.6758629432907293E-2</v>
      </c>
      <c r="J13" s="857">
        <v>0</v>
      </c>
      <c r="K13" s="857">
        <v>0</v>
      </c>
      <c r="L13" s="857">
        <v>2.0032197975617003</v>
      </c>
      <c r="M13" s="857">
        <v>0</v>
      </c>
      <c r="N13" s="857">
        <v>1.7184242162E-3</v>
      </c>
      <c r="O13" s="857">
        <v>0</v>
      </c>
      <c r="P13" s="857">
        <v>0</v>
      </c>
      <c r="Q13" s="857">
        <v>0</v>
      </c>
      <c r="R13" s="858">
        <v>2.0716968512108074</v>
      </c>
      <c r="S13" s="857">
        <v>7.6799284465500124</v>
      </c>
      <c r="T13" s="857">
        <v>0</v>
      </c>
      <c r="U13" s="857">
        <v>0</v>
      </c>
      <c r="V13" s="858">
        <v>7.6799284465500124</v>
      </c>
      <c r="W13" s="858">
        <v>9.7516252977608193</v>
      </c>
      <c r="X13" s="857">
        <v>0</v>
      </c>
      <c r="Y13" s="857">
        <v>6.081894E-3</v>
      </c>
      <c r="Z13" s="857">
        <v>13.003496410008108</v>
      </c>
      <c r="AA13" s="859">
        <v>0</v>
      </c>
      <c r="AB13" s="859">
        <v>0</v>
      </c>
      <c r="AC13" s="858">
        <v>22.761203601768926</v>
      </c>
    </row>
    <row r="14" spans="1:29">
      <c r="A14" s="219"/>
      <c r="B14" s="220" t="s">
        <v>161</v>
      </c>
      <c r="C14" s="860">
        <v>0</v>
      </c>
      <c r="D14" s="860">
        <v>0</v>
      </c>
      <c r="E14" s="860">
        <v>0</v>
      </c>
      <c r="F14" s="861">
        <v>0</v>
      </c>
      <c r="G14" s="857">
        <v>0</v>
      </c>
      <c r="H14" s="857">
        <v>0</v>
      </c>
      <c r="I14" s="857">
        <v>2.8313667432326828E-2</v>
      </c>
      <c r="J14" s="857">
        <v>0.11102798523452818</v>
      </c>
      <c r="K14" s="857">
        <v>0</v>
      </c>
      <c r="L14" s="857">
        <v>0.83962715970907087</v>
      </c>
      <c r="M14" s="857">
        <v>0</v>
      </c>
      <c r="N14" s="857">
        <v>0.39172302218513283</v>
      </c>
      <c r="O14" s="857">
        <v>0</v>
      </c>
      <c r="P14" s="857">
        <v>0</v>
      </c>
      <c r="Q14" s="857">
        <v>0</v>
      </c>
      <c r="R14" s="861">
        <v>1.3706918345610588</v>
      </c>
      <c r="S14" s="857">
        <v>3.5161652279465105</v>
      </c>
      <c r="T14" s="860">
        <v>0</v>
      </c>
      <c r="U14" s="860">
        <v>0</v>
      </c>
      <c r="V14" s="861">
        <v>3.5161652279465105</v>
      </c>
      <c r="W14" s="861">
        <v>4.8868570625075698</v>
      </c>
      <c r="X14" s="857">
        <v>1.1285989999999999</v>
      </c>
      <c r="Y14" s="857">
        <v>1.070482630927835</v>
      </c>
      <c r="Z14" s="857">
        <v>4.6446116858969688</v>
      </c>
      <c r="AA14" s="862">
        <v>0</v>
      </c>
      <c r="AB14" s="862">
        <v>0</v>
      </c>
      <c r="AC14" s="861">
        <v>11.730550379332373</v>
      </c>
    </row>
    <row r="15" spans="1:29">
      <c r="A15" s="217" t="s">
        <v>162</v>
      </c>
      <c r="B15" s="221"/>
      <c r="C15" s="863">
        <v>0</v>
      </c>
      <c r="D15" s="863">
        <v>4.6294683399999897E-2</v>
      </c>
      <c r="E15" s="863">
        <v>0.27958403999999998</v>
      </c>
      <c r="F15" s="864">
        <v>0.3258787233999999</v>
      </c>
      <c r="G15" s="863">
        <v>0</v>
      </c>
      <c r="H15" s="863">
        <v>0</v>
      </c>
      <c r="I15" s="863">
        <v>0.43677774631650601</v>
      </c>
      <c r="J15" s="863">
        <v>0.177079042996164</v>
      </c>
      <c r="K15" s="863">
        <v>0</v>
      </c>
      <c r="L15" s="863">
        <v>8.152548427772965</v>
      </c>
      <c r="M15" s="863">
        <v>0</v>
      </c>
      <c r="N15" s="863">
        <v>1.5225393158196623</v>
      </c>
      <c r="O15" s="863">
        <v>0</v>
      </c>
      <c r="P15" s="863">
        <v>0.73553042499999999</v>
      </c>
      <c r="Q15" s="863">
        <v>0</v>
      </c>
      <c r="R15" s="864">
        <v>11.024474957905298</v>
      </c>
      <c r="S15" s="863">
        <v>34.11080161185599</v>
      </c>
      <c r="T15" s="863">
        <v>0</v>
      </c>
      <c r="U15" s="863">
        <v>0</v>
      </c>
      <c r="V15" s="864">
        <v>34.11080161185599</v>
      </c>
      <c r="W15" s="864">
        <v>45.461155293161291</v>
      </c>
      <c r="X15" s="863">
        <v>4.3920904048954288</v>
      </c>
      <c r="Y15" s="863">
        <v>0.87095798458799956</v>
      </c>
      <c r="Z15" s="863">
        <v>48.397694433966471</v>
      </c>
      <c r="AA15" s="865">
        <v>0</v>
      </c>
      <c r="AB15" s="865">
        <v>0</v>
      </c>
      <c r="AC15" s="864">
        <v>99.121898116611206</v>
      </c>
    </row>
    <row r="16" spans="1:29">
      <c r="A16" s="5"/>
      <c r="B16" s="6" t="s">
        <v>34</v>
      </c>
      <c r="C16" s="866">
        <v>0</v>
      </c>
      <c r="D16" s="866">
        <v>0</v>
      </c>
      <c r="E16" s="866">
        <v>0</v>
      </c>
      <c r="F16" s="858">
        <v>0</v>
      </c>
      <c r="G16" s="866">
        <v>0</v>
      </c>
      <c r="H16" s="866">
        <v>0</v>
      </c>
      <c r="I16" s="866">
        <v>2.24482776E-3</v>
      </c>
      <c r="J16" s="866">
        <v>0</v>
      </c>
      <c r="K16" s="866">
        <v>0</v>
      </c>
      <c r="L16" s="866">
        <v>0</v>
      </c>
      <c r="M16" s="866">
        <v>0</v>
      </c>
      <c r="N16" s="866">
        <v>3.8862360000000012E-3</v>
      </c>
      <c r="O16" s="866">
        <v>0</v>
      </c>
      <c r="P16" s="866">
        <v>0</v>
      </c>
      <c r="Q16" s="866">
        <v>0</v>
      </c>
      <c r="R16" s="858">
        <v>6.1310637600000013E-3</v>
      </c>
      <c r="S16" s="866">
        <v>6.3671612045999026E-2</v>
      </c>
      <c r="T16" s="866">
        <v>0</v>
      </c>
      <c r="U16" s="866">
        <v>0</v>
      </c>
      <c r="V16" s="867">
        <v>6.3671612045999026E-2</v>
      </c>
      <c r="W16" s="858">
        <v>6.9802675805999026E-2</v>
      </c>
      <c r="X16" s="866">
        <v>0</v>
      </c>
      <c r="Y16" s="866">
        <v>0</v>
      </c>
      <c r="Z16" s="866">
        <v>0</v>
      </c>
      <c r="AA16" s="859">
        <v>0</v>
      </c>
      <c r="AB16" s="859">
        <v>0</v>
      </c>
      <c r="AC16" s="858">
        <v>6.9802675805999026E-2</v>
      </c>
    </row>
    <row r="17" spans="1:31">
      <c r="A17" s="5"/>
      <c r="B17" s="6" t="s">
        <v>37</v>
      </c>
      <c r="C17" s="866">
        <v>0</v>
      </c>
      <c r="D17" s="866">
        <v>0</v>
      </c>
      <c r="E17" s="866">
        <v>0.15866815000000001</v>
      </c>
      <c r="F17" s="858">
        <v>0.15866815000000001</v>
      </c>
      <c r="G17" s="866">
        <v>0</v>
      </c>
      <c r="H17" s="866">
        <v>0</v>
      </c>
      <c r="I17" s="866">
        <v>7.1204537699999992E-4</v>
      </c>
      <c r="J17" s="866">
        <v>0</v>
      </c>
      <c r="K17" s="866">
        <v>0</v>
      </c>
      <c r="L17" s="866">
        <v>6.9550615690955997E-2</v>
      </c>
      <c r="M17" s="866">
        <v>0</v>
      </c>
      <c r="N17" s="866">
        <v>0.22275191983999998</v>
      </c>
      <c r="O17" s="866">
        <v>0</v>
      </c>
      <c r="P17" s="866">
        <v>5.9200250000000024E-3</v>
      </c>
      <c r="Q17" s="866">
        <v>0</v>
      </c>
      <c r="R17" s="858">
        <v>0.29893460590795595</v>
      </c>
      <c r="S17" s="866">
        <v>0.45487571287393358</v>
      </c>
      <c r="T17" s="866">
        <v>0</v>
      </c>
      <c r="U17" s="866">
        <v>0</v>
      </c>
      <c r="V17" s="867">
        <v>0.45487571287393358</v>
      </c>
      <c r="W17" s="858">
        <v>0.91247846878188954</v>
      </c>
      <c r="X17" s="866">
        <v>6.2216309999999997E-2</v>
      </c>
      <c r="Y17" s="866">
        <v>0</v>
      </c>
      <c r="Z17" s="866">
        <v>0.84512268719999817</v>
      </c>
      <c r="AA17" s="859">
        <v>0</v>
      </c>
      <c r="AB17" s="859">
        <v>0</v>
      </c>
      <c r="AC17" s="858">
        <v>1.8198174659818878</v>
      </c>
    </row>
    <row r="18" spans="1:31">
      <c r="A18" s="5"/>
      <c r="B18" s="6" t="s">
        <v>35</v>
      </c>
      <c r="C18" s="866">
        <v>0</v>
      </c>
      <c r="D18" s="866">
        <v>0</v>
      </c>
      <c r="E18" s="866">
        <v>0.11157439999999999</v>
      </c>
      <c r="F18" s="858">
        <v>0.11157439999999999</v>
      </c>
      <c r="G18" s="866">
        <v>0</v>
      </c>
      <c r="H18" s="866">
        <v>0</v>
      </c>
      <c r="I18" s="866">
        <v>3.7999359550091011E-2</v>
      </c>
      <c r="J18" s="866">
        <v>0</v>
      </c>
      <c r="K18" s="866">
        <v>0</v>
      </c>
      <c r="L18" s="866">
        <v>0.53858611592464256</v>
      </c>
      <c r="M18" s="866">
        <v>0</v>
      </c>
      <c r="N18" s="866">
        <v>5.5157781060228055E-2</v>
      </c>
      <c r="O18" s="866">
        <v>0</v>
      </c>
      <c r="P18" s="866">
        <v>0</v>
      </c>
      <c r="Q18" s="866">
        <v>0</v>
      </c>
      <c r="R18" s="858">
        <v>0.63174325653496166</v>
      </c>
      <c r="S18" s="866">
        <v>6.9477279689110736</v>
      </c>
      <c r="T18" s="866">
        <v>0</v>
      </c>
      <c r="U18" s="866">
        <v>0</v>
      </c>
      <c r="V18" s="867">
        <v>6.9477279689110736</v>
      </c>
      <c r="W18" s="858">
        <v>7.6910456254460353</v>
      </c>
      <c r="X18" s="866">
        <v>0</v>
      </c>
      <c r="Y18" s="866">
        <v>2.0268793E-2</v>
      </c>
      <c r="Z18" s="866">
        <v>5.4077917639420789</v>
      </c>
      <c r="AA18" s="859">
        <v>0</v>
      </c>
      <c r="AB18" s="859">
        <v>0</v>
      </c>
      <c r="AC18" s="858">
        <v>13.119106182388114</v>
      </c>
    </row>
    <row r="19" spans="1:31">
      <c r="A19" s="5"/>
      <c r="B19" s="6" t="s">
        <v>32</v>
      </c>
      <c r="C19" s="866">
        <v>0</v>
      </c>
      <c r="D19" s="866">
        <v>7.3249999999999997E-4</v>
      </c>
      <c r="E19" s="866">
        <v>0</v>
      </c>
      <c r="F19" s="858">
        <v>7.3249999999999997E-4</v>
      </c>
      <c r="G19" s="866">
        <v>0</v>
      </c>
      <c r="H19" s="866">
        <v>0</v>
      </c>
      <c r="I19" s="866">
        <v>0.13641284933346731</v>
      </c>
      <c r="J19" s="866">
        <v>0.17707614049616399</v>
      </c>
      <c r="K19" s="866">
        <v>0</v>
      </c>
      <c r="L19" s="866">
        <v>6.141552787890217</v>
      </c>
      <c r="M19" s="866">
        <v>0</v>
      </c>
      <c r="N19" s="866">
        <v>0.20748075177743647</v>
      </c>
      <c r="O19" s="866">
        <v>0</v>
      </c>
      <c r="P19" s="866">
        <v>0</v>
      </c>
      <c r="Q19" s="866">
        <v>0</v>
      </c>
      <c r="R19" s="858">
        <v>6.6625225294972843</v>
      </c>
      <c r="S19" s="866">
        <v>6.5794731641534856</v>
      </c>
      <c r="T19" s="866">
        <v>0</v>
      </c>
      <c r="U19" s="866">
        <v>0</v>
      </c>
      <c r="V19" s="867">
        <v>6.5794731641534856</v>
      </c>
      <c r="W19" s="858">
        <v>13.24272819365077</v>
      </c>
      <c r="X19" s="866">
        <v>0.47487000000000001</v>
      </c>
      <c r="Y19" s="866">
        <v>0.60194363099799952</v>
      </c>
      <c r="Z19" s="866">
        <v>8.1216373926762166</v>
      </c>
      <c r="AA19" s="859">
        <v>0</v>
      </c>
      <c r="AB19" s="859">
        <v>0</v>
      </c>
      <c r="AC19" s="858">
        <v>22.441179217324986</v>
      </c>
    </row>
    <row r="20" spans="1:31">
      <c r="A20" s="5"/>
      <c r="B20" s="6" t="s">
        <v>40</v>
      </c>
      <c r="C20" s="866">
        <v>0</v>
      </c>
      <c r="D20" s="866">
        <v>4.5483662999999952E-2</v>
      </c>
      <c r="E20" s="866">
        <v>-1.0947800000000001E-3</v>
      </c>
      <c r="F20" s="858">
        <v>4.4388882999999948E-2</v>
      </c>
      <c r="G20" s="866">
        <v>0</v>
      </c>
      <c r="H20" s="866">
        <v>0</v>
      </c>
      <c r="I20" s="866">
        <v>9.8329590746062137E-2</v>
      </c>
      <c r="J20" s="866">
        <v>0</v>
      </c>
      <c r="K20" s="866">
        <v>0</v>
      </c>
      <c r="L20" s="866">
        <v>0.83076581022245177</v>
      </c>
      <c r="M20" s="866">
        <v>0</v>
      </c>
      <c r="N20" s="866">
        <v>0.90798485776912075</v>
      </c>
      <c r="O20" s="866">
        <v>0</v>
      </c>
      <c r="P20" s="866">
        <v>0</v>
      </c>
      <c r="Q20" s="866">
        <v>0</v>
      </c>
      <c r="R20" s="858">
        <v>1.8370802587376347</v>
      </c>
      <c r="S20" s="866">
        <v>7.2420871481679132</v>
      </c>
      <c r="T20" s="866">
        <v>0</v>
      </c>
      <c r="U20" s="866">
        <v>0</v>
      </c>
      <c r="V20" s="867">
        <v>7.2420871481679132</v>
      </c>
      <c r="W20" s="858">
        <v>9.1235562899055473</v>
      </c>
      <c r="X20" s="866">
        <v>0</v>
      </c>
      <c r="Y20" s="866">
        <v>0.15766658219000007</v>
      </c>
      <c r="Z20" s="866">
        <v>10.777517464185561</v>
      </c>
      <c r="AA20" s="859">
        <v>0</v>
      </c>
      <c r="AB20" s="859">
        <v>0</v>
      </c>
      <c r="AC20" s="858">
        <v>20.058740336281108</v>
      </c>
    </row>
    <row r="21" spans="1:31">
      <c r="A21" s="5"/>
      <c r="B21" s="6" t="s">
        <v>39</v>
      </c>
      <c r="C21" s="866">
        <v>0</v>
      </c>
      <c r="D21" s="866">
        <v>0</v>
      </c>
      <c r="E21" s="866">
        <v>0</v>
      </c>
      <c r="F21" s="858">
        <v>0</v>
      </c>
      <c r="G21" s="866">
        <v>0</v>
      </c>
      <c r="H21" s="866">
        <v>0</v>
      </c>
      <c r="I21" s="866">
        <v>6.2368312986916764E-3</v>
      </c>
      <c r="J21" s="866">
        <v>0</v>
      </c>
      <c r="K21" s="866">
        <v>0</v>
      </c>
      <c r="L21" s="866">
        <v>4.3105495243907922E-2</v>
      </c>
      <c r="M21" s="866">
        <v>0</v>
      </c>
      <c r="N21" s="866">
        <v>1.5346453908877336E-2</v>
      </c>
      <c r="O21" s="866">
        <v>0</v>
      </c>
      <c r="P21" s="866">
        <v>0</v>
      </c>
      <c r="Q21" s="866">
        <v>0</v>
      </c>
      <c r="R21" s="858">
        <v>6.4688780451476927E-2</v>
      </c>
      <c r="S21" s="866">
        <v>3.9634230005757067</v>
      </c>
      <c r="T21" s="866">
        <v>0</v>
      </c>
      <c r="U21" s="866">
        <v>0</v>
      </c>
      <c r="V21" s="867">
        <v>3.9634230005757067</v>
      </c>
      <c r="W21" s="858">
        <v>4.0281117810271834</v>
      </c>
      <c r="X21" s="866">
        <v>0</v>
      </c>
      <c r="Y21" s="866">
        <v>1.9397999999999999E-2</v>
      </c>
      <c r="Z21" s="866">
        <v>2.7344754590981495</v>
      </c>
      <c r="AA21" s="859">
        <v>0</v>
      </c>
      <c r="AB21" s="859">
        <v>0</v>
      </c>
      <c r="AC21" s="858">
        <v>6.7819852401253327</v>
      </c>
    </row>
    <row r="22" spans="1:31">
      <c r="A22" s="5"/>
      <c r="B22" s="6" t="s">
        <v>36</v>
      </c>
      <c r="C22" s="866">
        <v>0</v>
      </c>
      <c r="D22" s="866">
        <v>7.852039999994842E-5</v>
      </c>
      <c r="E22" s="866">
        <v>1.0436270000000001E-2</v>
      </c>
      <c r="F22" s="858">
        <v>1.0514790399999949E-2</v>
      </c>
      <c r="G22" s="866">
        <v>0</v>
      </c>
      <c r="H22" s="866">
        <v>0</v>
      </c>
      <c r="I22" s="866">
        <v>4.5910923805786374E-2</v>
      </c>
      <c r="J22" s="866">
        <v>2.9024999999999997E-6</v>
      </c>
      <c r="K22" s="866">
        <v>0</v>
      </c>
      <c r="L22" s="866">
        <v>0.20881870495472327</v>
      </c>
      <c r="M22" s="866">
        <v>0</v>
      </c>
      <c r="N22" s="866">
        <v>-1.2131777027999835E-2</v>
      </c>
      <c r="O22" s="866">
        <v>0</v>
      </c>
      <c r="P22" s="866">
        <v>0</v>
      </c>
      <c r="Q22" s="866">
        <v>0</v>
      </c>
      <c r="R22" s="858">
        <v>0.24260075423250982</v>
      </c>
      <c r="S22" s="866">
        <v>1.0767462052923999</v>
      </c>
      <c r="T22" s="866">
        <v>0</v>
      </c>
      <c r="U22" s="866">
        <v>0</v>
      </c>
      <c r="V22" s="867">
        <v>1.0767462052923999</v>
      </c>
      <c r="W22" s="858">
        <v>1.3298617499249097</v>
      </c>
      <c r="X22" s="866">
        <v>1.0760059310000001</v>
      </c>
      <c r="Y22" s="866">
        <v>0</v>
      </c>
      <c r="Z22" s="866">
        <v>1.8510042782840566</v>
      </c>
      <c r="AA22" s="859">
        <v>0</v>
      </c>
      <c r="AB22" s="859">
        <v>0</v>
      </c>
      <c r="AC22" s="858">
        <v>4.2568719592089668</v>
      </c>
    </row>
    <row r="23" spans="1:31">
      <c r="A23" s="5"/>
      <c r="B23" s="6" t="s">
        <v>38</v>
      </c>
      <c r="C23" s="866">
        <v>0</v>
      </c>
      <c r="D23" s="866">
        <v>0</v>
      </c>
      <c r="E23" s="866">
        <v>0</v>
      </c>
      <c r="F23" s="858">
        <v>0</v>
      </c>
      <c r="G23" s="866">
        <v>0</v>
      </c>
      <c r="H23" s="866">
        <v>0</v>
      </c>
      <c r="I23" s="866">
        <v>5.6950570951867528E-2</v>
      </c>
      <c r="J23" s="866">
        <v>0</v>
      </c>
      <c r="K23" s="866">
        <v>0</v>
      </c>
      <c r="L23" s="866">
        <v>0.34388259705726382</v>
      </c>
      <c r="M23" s="866">
        <v>0</v>
      </c>
      <c r="N23" s="866">
        <v>4.9150300000000001E-2</v>
      </c>
      <c r="O23" s="866">
        <v>0</v>
      </c>
      <c r="P23" s="866">
        <v>0</v>
      </c>
      <c r="Q23" s="866">
        <v>0</v>
      </c>
      <c r="R23" s="858">
        <v>0.4499834680091313</v>
      </c>
      <c r="S23" s="866">
        <v>0.53969360671919997</v>
      </c>
      <c r="T23" s="866">
        <v>0</v>
      </c>
      <c r="U23" s="866">
        <v>0</v>
      </c>
      <c r="V23" s="867">
        <v>0.53969360671919997</v>
      </c>
      <c r="W23" s="858">
        <v>0.98967707472833122</v>
      </c>
      <c r="X23" s="866">
        <v>0.66275824246685622</v>
      </c>
      <c r="Y23" s="866">
        <v>0</v>
      </c>
      <c r="Z23" s="866">
        <v>3.3297063332112988</v>
      </c>
      <c r="AA23" s="859">
        <v>0</v>
      </c>
      <c r="AB23" s="859">
        <v>0</v>
      </c>
      <c r="AC23" s="858">
        <v>4.9821416504064864</v>
      </c>
    </row>
    <row r="24" spans="1:31">
      <c r="A24" s="222"/>
      <c r="B24" s="220" t="s">
        <v>33</v>
      </c>
      <c r="C24" s="866">
        <v>0</v>
      </c>
      <c r="D24" s="866">
        <v>0</v>
      </c>
      <c r="E24" s="866">
        <v>0</v>
      </c>
      <c r="F24" s="858">
        <v>0</v>
      </c>
      <c r="G24" s="866">
        <v>0</v>
      </c>
      <c r="H24" s="866">
        <v>0</v>
      </c>
      <c r="I24" s="866">
        <v>5.1980747493540001E-2</v>
      </c>
      <c r="J24" s="866">
        <v>0</v>
      </c>
      <c r="K24" s="866">
        <v>0</v>
      </c>
      <c r="L24" s="866">
        <v>-2.3713699211196759E-2</v>
      </c>
      <c r="M24" s="866">
        <v>0</v>
      </c>
      <c r="N24" s="866">
        <v>7.2912792491999667E-2</v>
      </c>
      <c r="O24" s="866">
        <v>0</v>
      </c>
      <c r="P24" s="866">
        <v>0.72961039999999999</v>
      </c>
      <c r="Q24" s="866">
        <v>0</v>
      </c>
      <c r="R24" s="858">
        <v>0.83079024077434294</v>
      </c>
      <c r="S24" s="866">
        <v>7.2431031931162835</v>
      </c>
      <c r="T24" s="866">
        <v>0</v>
      </c>
      <c r="U24" s="866">
        <v>0</v>
      </c>
      <c r="V24" s="867">
        <v>7.2431031931162835</v>
      </c>
      <c r="W24" s="858">
        <v>8.0738934338906265</v>
      </c>
      <c r="X24" s="866">
        <v>2.1162399214285728</v>
      </c>
      <c r="Y24" s="866">
        <v>7.1680978399999998E-2</v>
      </c>
      <c r="Z24" s="866">
        <v>15.330439055369112</v>
      </c>
      <c r="AA24" s="859">
        <v>0</v>
      </c>
      <c r="AB24" s="859">
        <v>0</v>
      </c>
      <c r="AC24" s="858">
        <v>25.592253389088313</v>
      </c>
    </row>
    <row r="25" spans="1:31">
      <c r="A25" s="5" t="s">
        <v>111</v>
      </c>
      <c r="B25" s="128"/>
      <c r="C25" s="868">
        <f>SUM(C27:C32)</f>
        <v>0</v>
      </c>
      <c r="D25" s="868">
        <f>SUM(D27:D32)</f>
        <v>0.20888365520050314</v>
      </c>
      <c r="E25" s="868">
        <f>SUM(E27:E32)</f>
        <v>0</v>
      </c>
      <c r="F25" s="864">
        <f>SUM(F27:F32)</f>
        <v>0.20888365520050314</v>
      </c>
      <c r="G25" s="854">
        <f>SUM(G27:G32)</f>
        <v>0</v>
      </c>
      <c r="H25" s="854">
        <f t="shared" ref="H25:Q25" si="0">SUM(H27:H32)</f>
        <v>0</v>
      </c>
      <c r="I25" s="854">
        <f t="shared" si="0"/>
        <v>2.449334066259019E-2</v>
      </c>
      <c r="J25" s="854">
        <f t="shared" si="0"/>
        <v>0.10148290284892604</v>
      </c>
      <c r="K25" s="854">
        <f t="shared" si="0"/>
        <v>0</v>
      </c>
      <c r="L25" s="854">
        <f t="shared" si="0"/>
        <v>9.0798034144465536</v>
      </c>
      <c r="M25" s="854">
        <f t="shared" si="0"/>
        <v>0</v>
      </c>
      <c r="N25" s="854">
        <f t="shared" si="0"/>
        <v>0.93241406698096574</v>
      </c>
      <c r="O25" s="854">
        <f t="shared" si="0"/>
        <v>0</v>
      </c>
      <c r="P25" s="854">
        <f t="shared" si="0"/>
        <v>0</v>
      </c>
      <c r="Q25" s="854">
        <f t="shared" si="0"/>
        <v>0</v>
      </c>
      <c r="R25" s="864">
        <f>SUM(R27:R32)</f>
        <v>10.138193724939034</v>
      </c>
      <c r="S25" s="854">
        <f>SUM(S27:S32)</f>
        <v>13.121942999999998</v>
      </c>
      <c r="T25" s="854">
        <f t="shared" ref="T25:U25" si="1">SUM(T27:T32)</f>
        <v>0</v>
      </c>
      <c r="U25" s="854">
        <f t="shared" si="1"/>
        <v>0</v>
      </c>
      <c r="V25" s="864">
        <f t="shared" ref="V25:AC25" si="2">SUM(V27:V32)</f>
        <v>13.121942999999998</v>
      </c>
      <c r="W25" s="864">
        <f t="shared" si="2"/>
        <v>23.469020380139533</v>
      </c>
      <c r="X25" s="863">
        <f t="shared" si="2"/>
        <v>0</v>
      </c>
      <c r="Y25" s="863">
        <f t="shared" si="2"/>
        <v>2.15641768847243</v>
      </c>
      <c r="Z25" s="856">
        <f t="shared" si="2"/>
        <v>-0.878572647494688</v>
      </c>
      <c r="AA25" s="865">
        <f t="shared" si="2"/>
        <v>0</v>
      </c>
      <c r="AB25" s="865">
        <f t="shared" si="2"/>
        <v>0</v>
      </c>
      <c r="AC25" s="855">
        <f t="shared" si="2"/>
        <v>24.746865421117278</v>
      </c>
      <c r="AE25" s="38"/>
    </row>
    <row r="26" spans="1:31">
      <c r="A26" s="5"/>
      <c r="B26" s="128"/>
      <c r="C26" s="868"/>
      <c r="D26" s="869"/>
      <c r="E26" s="868"/>
      <c r="F26" s="858"/>
      <c r="G26" s="869"/>
      <c r="H26" s="869"/>
      <c r="I26" s="869"/>
      <c r="J26" s="869"/>
      <c r="K26" s="869"/>
      <c r="L26" s="869"/>
      <c r="M26" s="869"/>
      <c r="N26" s="869"/>
      <c r="O26" s="869"/>
      <c r="P26" s="869"/>
      <c r="Q26" s="869"/>
      <c r="R26" s="858"/>
      <c r="S26" s="869"/>
      <c r="T26" s="868"/>
      <c r="U26" s="868"/>
      <c r="V26" s="858"/>
      <c r="W26" s="858"/>
      <c r="X26" s="868"/>
      <c r="Y26" s="872"/>
      <c r="Z26" s="872">
        <v>2.3388879215053437</v>
      </c>
      <c r="AA26" s="873"/>
      <c r="AB26" s="870"/>
      <c r="AC26" s="871"/>
      <c r="AE26" s="38"/>
    </row>
    <row r="27" spans="1:31">
      <c r="A27" s="3"/>
      <c r="B27" s="6" t="s">
        <v>163</v>
      </c>
      <c r="C27" s="857">
        <v>0</v>
      </c>
      <c r="D27" s="857">
        <v>1.216028965681021E-2</v>
      </c>
      <c r="E27" s="857">
        <v>0</v>
      </c>
      <c r="F27" s="858">
        <v>1.216028965681021E-2</v>
      </c>
      <c r="G27" s="857"/>
      <c r="H27" s="857"/>
      <c r="I27" s="857">
        <v>1.1515256875146705E-2</v>
      </c>
      <c r="J27" s="857">
        <v>2.5269448014061439E-3</v>
      </c>
      <c r="K27" s="857"/>
      <c r="L27" s="857">
        <v>5.7232441494046729</v>
      </c>
      <c r="M27" s="857">
        <v>0</v>
      </c>
      <c r="N27" s="857">
        <v>0</v>
      </c>
      <c r="O27" s="857">
        <v>0</v>
      </c>
      <c r="P27" s="857">
        <v>0</v>
      </c>
      <c r="Q27" s="857">
        <v>0</v>
      </c>
      <c r="R27" s="858">
        <v>5.7372863510812255</v>
      </c>
      <c r="S27" s="857">
        <v>0.15661599999999998</v>
      </c>
      <c r="T27" s="857">
        <v>0</v>
      </c>
      <c r="U27" s="857">
        <v>0</v>
      </c>
      <c r="V27" s="858">
        <v>0.15661599999999998</v>
      </c>
      <c r="W27" s="858">
        <v>5.9060626407380354</v>
      </c>
      <c r="X27" s="857">
        <v>0</v>
      </c>
      <c r="Y27" s="857">
        <v>1.1398514487638585</v>
      </c>
      <c r="Z27" s="857">
        <v>2.0298836914009635</v>
      </c>
      <c r="AA27" s="859">
        <v>0</v>
      </c>
      <c r="AB27" s="859">
        <v>0</v>
      </c>
      <c r="AC27" s="858">
        <v>9.0757977809028567</v>
      </c>
    </row>
    <row r="28" spans="1:31">
      <c r="A28" s="3"/>
      <c r="B28" s="6" t="s">
        <v>164</v>
      </c>
      <c r="C28" s="857">
        <v>0</v>
      </c>
      <c r="D28" s="857">
        <v>3.2916427119333906E-4</v>
      </c>
      <c r="E28" s="857">
        <v>0</v>
      </c>
      <c r="F28" s="858">
        <v>3.2916427119333906E-4</v>
      </c>
      <c r="G28" s="857"/>
      <c r="H28" s="857"/>
      <c r="I28" s="857">
        <v>3.0816399639897536E-3</v>
      </c>
      <c r="J28" s="857">
        <v>4.8222195689959625E-5</v>
      </c>
      <c r="K28" s="857"/>
      <c r="L28" s="857">
        <v>1.6844584348927525</v>
      </c>
      <c r="M28" s="857">
        <v>0</v>
      </c>
      <c r="N28" s="857">
        <v>0</v>
      </c>
      <c r="O28" s="857">
        <v>0</v>
      </c>
      <c r="P28" s="857">
        <v>0</v>
      </c>
      <c r="Q28" s="857">
        <v>0</v>
      </c>
      <c r="R28" s="858">
        <v>1.6875882970524323</v>
      </c>
      <c r="S28" s="857">
        <v>0</v>
      </c>
      <c r="T28" s="857">
        <v>0</v>
      </c>
      <c r="U28" s="857">
        <v>0</v>
      </c>
      <c r="V28" s="858">
        <v>0</v>
      </c>
      <c r="W28" s="858">
        <v>1.6879174613236256</v>
      </c>
      <c r="X28" s="857">
        <v>0</v>
      </c>
      <c r="Y28" s="857">
        <v>0.539654937</v>
      </c>
      <c r="Z28" s="857">
        <v>0.73193253339905706</v>
      </c>
      <c r="AA28" s="859">
        <v>0</v>
      </c>
      <c r="AB28" s="859">
        <v>0</v>
      </c>
      <c r="AC28" s="858">
        <v>2.9595049317226825</v>
      </c>
    </row>
    <row r="29" spans="1:31">
      <c r="A29" s="3"/>
      <c r="B29" s="6" t="s">
        <v>165</v>
      </c>
      <c r="C29" s="857">
        <v>0</v>
      </c>
      <c r="D29" s="857">
        <v>7.8805964280621907E-2</v>
      </c>
      <c r="E29" s="857">
        <v>0</v>
      </c>
      <c r="F29" s="858">
        <v>7.8805964280621907E-2</v>
      </c>
      <c r="G29" s="857"/>
      <c r="H29" s="857"/>
      <c r="I29" s="857">
        <v>4.1205546807372541E-3</v>
      </c>
      <c r="J29" s="857">
        <v>6.6624180063283155E-4</v>
      </c>
      <c r="K29" s="857"/>
      <c r="L29" s="857">
        <v>0.67276766690110157</v>
      </c>
      <c r="M29" s="857">
        <v>0</v>
      </c>
      <c r="N29" s="857">
        <v>0.81332582208126469</v>
      </c>
      <c r="O29" s="857">
        <v>0</v>
      </c>
      <c r="P29" s="857">
        <v>0</v>
      </c>
      <c r="Q29" s="857">
        <v>0</v>
      </c>
      <c r="R29" s="858">
        <v>1.4908802854637364</v>
      </c>
      <c r="S29" s="857">
        <v>12.945658999999999</v>
      </c>
      <c r="T29" s="857">
        <v>0</v>
      </c>
      <c r="U29" s="857">
        <v>0</v>
      </c>
      <c r="V29" s="858">
        <v>12.945658999999999</v>
      </c>
      <c r="W29" s="858">
        <v>14.515345249744357</v>
      </c>
      <c r="X29" s="857">
        <v>0</v>
      </c>
      <c r="Y29" s="857">
        <v>0.47691130270857152</v>
      </c>
      <c r="Z29" s="857">
        <v>-4.585323919615516</v>
      </c>
      <c r="AA29" s="859">
        <v>0</v>
      </c>
      <c r="AB29" s="859">
        <v>0</v>
      </c>
      <c r="AC29" s="858">
        <v>10.406932632837414</v>
      </c>
    </row>
    <row r="30" spans="1:31">
      <c r="A30" s="3"/>
      <c r="B30" s="6" t="s">
        <v>166</v>
      </c>
      <c r="C30" s="857">
        <v>0</v>
      </c>
      <c r="D30" s="857">
        <v>0.11758823699187769</v>
      </c>
      <c r="E30" s="857">
        <v>0</v>
      </c>
      <c r="F30" s="858">
        <v>0.11758823699187769</v>
      </c>
      <c r="G30" s="857"/>
      <c r="H30" s="857"/>
      <c r="I30" s="857">
        <v>5.774088585202476E-3</v>
      </c>
      <c r="J30" s="857">
        <v>6.556807465123631E-3</v>
      </c>
      <c r="K30" s="857"/>
      <c r="L30" s="857">
        <v>0.98893798643717568</v>
      </c>
      <c r="M30" s="857">
        <v>0</v>
      </c>
      <c r="N30" s="857">
        <v>0.11908824489970107</v>
      </c>
      <c r="O30" s="857">
        <v>0</v>
      </c>
      <c r="P30" s="857">
        <v>0</v>
      </c>
      <c r="Q30" s="857">
        <v>0</v>
      </c>
      <c r="R30" s="858">
        <v>1.1203571273872028</v>
      </c>
      <c r="S30" s="857">
        <v>1.9667999999999998E-2</v>
      </c>
      <c r="T30" s="857">
        <v>0</v>
      </c>
      <c r="U30" s="857">
        <v>0</v>
      </c>
      <c r="V30" s="858">
        <v>1.9667999999999998E-2</v>
      </c>
      <c r="W30" s="858">
        <v>1.2576133643790806</v>
      </c>
      <c r="X30" s="857">
        <v>0</v>
      </c>
      <c r="Y30" s="857">
        <v>0</v>
      </c>
      <c r="Z30" s="857">
        <v>0.94488535090480763</v>
      </c>
      <c r="AA30" s="859">
        <v>0</v>
      </c>
      <c r="AB30" s="859">
        <v>0</v>
      </c>
      <c r="AC30" s="858">
        <v>2.2024987152838884</v>
      </c>
    </row>
    <row r="31" spans="1:31">
      <c r="A31" s="3"/>
      <c r="B31" s="6" t="s">
        <v>167</v>
      </c>
      <c r="C31" s="857">
        <v>0</v>
      </c>
      <c r="D31" s="857">
        <v>0</v>
      </c>
      <c r="E31" s="857">
        <v>0</v>
      </c>
      <c r="F31" s="858">
        <v>0</v>
      </c>
      <c r="G31" s="857"/>
      <c r="H31" s="857"/>
      <c r="I31" s="857">
        <v>1.8005575139999998E-6</v>
      </c>
      <c r="J31" s="857">
        <v>8.8712052311077635E-2</v>
      </c>
      <c r="K31" s="857"/>
      <c r="L31" s="857">
        <v>6.9807636065909711E-3</v>
      </c>
      <c r="M31" s="857">
        <v>0</v>
      </c>
      <c r="N31" s="857">
        <v>0</v>
      </c>
      <c r="O31" s="857">
        <v>0</v>
      </c>
      <c r="P31" s="857">
        <v>0</v>
      </c>
      <c r="Q31" s="857">
        <v>0</v>
      </c>
      <c r="R31" s="858">
        <v>9.5694616475182612E-2</v>
      </c>
      <c r="S31" s="857">
        <v>0</v>
      </c>
      <c r="T31" s="857">
        <v>0</v>
      </c>
      <c r="U31" s="857">
        <v>0</v>
      </c>
      <c r="V31" s="858">
        <v>0</v>
      </c>
      <c r="W31" s="858">
        <v>9.5694616475182612E-2</v>
      </c>
      <c r="X31" s="857">
        <v>0</v>
      </c>
      <c r="Y31" s="857">
        <v>0</v>
      </c>
      <c r="Z31" s="857">
        <v>0</v>
      </c>
      <c r="AA31" s="859">
        <v>0</v>
      </c>
      <c r="AB31" s="859">
        <v>0</v>
      </c>
      <c r="AC31" s="858">
        <v>9.5694616475182612E-2</v>
      </c>
    </row>
    <row r="32" spans="1:31">
      <c r="A32" s="4"/>
      <c r="B32" s="127" t="s">
        <v>168</v>
      </c>
      <c r="C32" s="875">
        <v>0</v>
      </c>
      <c r="D32" s="875">
        <v>0</v>
      </c>
      <c r="E32" s="875">
        <v>0</v>
      </c>
      <c r="F32" s="874">
        <v>0</v>
      </c>
      <c r="G32" s="875"/>
      <c r="H32" s="875"/>
      <c r="I32" s="875">
        <v>0</v>
      </c>
      <c r="J32" s="875">
        <v>2.9726342749958399E-3</v>
      </c>
      <c r="K32" s="875"/>
      <c r="L32" s="875">
        <v>3.4144132042593003E-3</v>
      </c>
      <c r="M32" s="875">
        <v>0</v>
      </c>
      <c r="N32" s="875">
        <v>0</v>
      </c>
      <c r="O32" s="875">
        <v>0</v>
      </c>
      <c r="P32" s="875">
        <v>0</v>
      </c>
      <c r="Q32" s="875">
        <v>0</v>
      </c>
      <c r="R32" s="874">
        <v>6.3870474792551406E-3</v>
      </c>
      <c r="S32" s="875">
        <v>0</v>
      </c>
      <c r="T32" s="875">
        <v>0</v>
      </c>
      <c r="U32" s="875">
        <v>0</v>
      </c>
      <c r="V32" s="874">
        <v>0</v>
      </c>
      <c r="W32" s="874">
        <v>6.3870474792551406E-3</v>
      </c>
      <c r="X32" s="875">
        <v>0</v>
      </c>
      <c r="Y32" s="875">
        <v>0</v>
      </c>
      <c r="Z32" s="875">
        <v>4.9696416000000005E-5</v>
      </c>
      <c r="AA32" s="876">
        <v>0</v>
      </c>
      <c r="AB32" s="876">
        <v>0</v>
      </c>
      <c r="AC32" s="874">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2" t="s">
        <v>478</v>
      </c>
      <c r="B2" s="1193"/>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480</v>
      </c>
      <c r="C6" s="162" t="s">
        <v>496</v>
      </c>
    </row>
    <row r="7" spans="1:3" s="11" customFormat="1">
      <c r="A7" s="132"/>
      <c r="B7" s="133"/>
      <c r="C7" s="134"/>
    </row>
    <row r="8" spans="1:3" s="11" customFormat="1" ht="60">
      <c r="A8" s="113" t="s">
        <v>154</v>
      </c>
      <c r="B8" s="130" t="s">
        <v>480</v>
      </c>
      <c r="C8" s="312" t="s">
        <v>497</v>
      </c>
    </row>
    <row r="9" spans="1:3" s="11" customFormat="1">
      <c r="A9" s="132"/>
      <c r="B9" s="133"/>
      <c r="C9" s="134"/>
    </row>
    <row r="10" spans="1:3" s="11" customFormat="1" ht="60">
      <c r="A10" s="113" t="s">
        <v>155</v>
      </c>
      <c r="B10" s="130" t="s">
        <v>480</v>
      </c>
      <c r="C10" s="312" t="s">
        <v>497</v>
      </c>
    </row>
    <row r="11" spans="1:3" s="11" customFormat="1">
      <c r="A11" s="132"/>
      <c r="B11" s="133"/>
      <c r="C11" s="134"/>
    </row>
    <row r="12" spans="1:3" s="11" customFormat="1" ht="60">
      <c r="A12" s="113" t="s">
        <v>390</v>
      </c>
      <c r="B12" s="130" t="s">
        <v>480</v>
      </c>
      <c r="C12" s="312" t="s">
        <v>497</v>
      </c>
    </row>
    <row r="13" spans="1:3" s="11" customFormat="1">
      <c r="A13" s="132"/>
      <c r="B13" s="133"/>
      <c r="C13" s="134"/>
    </row>
    <row r="14" spans="1:3" s="11" customFormat="1" ht="60">
      <c r="A14" s="113" t="s">
        <v>111</v>
      </c>
      <c r="B14" s="130" t="s">
        <v>498</v>
      </c>
      <c r="C14" s="312" t="s">
        <v>497</v>
      </c>
    </row>
    <row r="15" spans="1:3" s="11" customFormat="1" ht="63">
      <c r="A15" s="123"/>
      <c r="B15" s="130" t="s">
        <v>499</v>
      </c>
      <c r="C15" s="312" t="s">
        <v>503</v>
      </c>
    </row>
    <row r="16" spans="1:3" s="11" customFormat="1">
      <c r="A16" s="132"/>
      <c r="B16" s="133"/>
      <c r="C16" s="134"/>
    </row>
    <row r="17" spans="1:3" s="11" customFormat="1" ht="45">
      <c r="A17" s="113" t="s">
        <v>479</v>
      </c>
      <c r="B17" s="130" t="s">
        <v>553</v>
      </c>
      <c r="C17" s="162" t="s">
        <v>554</v>
      </c>
    </row>
    <row r="18" spans="1:3" s="11" customFormat="1">
      <c r="A18" s="132"/>
      <c r="B18" s="133"/>
      <c r="C18" s="134"/>
    </row>
    <row r="19" spans="1:3" s="11" customFormat="1" ht="60">
      <c r="A19" s="113" t="s">
        <v>393</v>
      </c>
      <c r="B19" s="311" t="s">
        <v>551</v>
      </c>
      <c r="C19" s="162" t="s">
        <v>552</v>
      </c>
    </row>
    <row r="20" spans="1:3" s="11" customFormat="1">
      <c r="A20" s="113"/>
      <c r="B20" s="130"/>
      <c r="C20" s="131"/>
    </row>
    <row r="21" spans="1:3" ht="21">
      <c r="A21" s="126" t="s">
        <v>482</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1" customFormat="1" ht="17.25" thickTop="1" thickBot="1">
      <c r="A1" s="1194" t="s">
        <v>193</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548</v>
      </c>
      <c r="B5" s="30">
        <f>SUM(OV_ov_ele_kWh,OV_rest_ele_kWh)/1000</f>
        <v>363.68700000000001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549</v>
      </c>
      <c r="B6" s="30">
        <f>(-1)*IF(ISERROR('Eigen openbare verlichting'!B15),0,'Eigen openbare verlichting'!B15)</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483</v>
      </c>
      <c r="B8" s="906">
        <f>MAX((B6+B5),0)</f>
        <v>363.68700000000001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0.20375304547488254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74.102333849623605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4" sqref="D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1" customFormat="1" ht="17.25" thickTop="1" thickBot="1">
      <c r="A1" s="1194" t="s">
        <v>154</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550</v>
      </c>
      <c r="B5" s="30">
        <f>IF(ISERROR(SUM(HH_hh_ele_kWh,HH_rest_kWh)/1000),0,SUM(HH_hh_ele_kWh,HH_rest_kWh)/1000)</f>
        <v>10801.989</v>
      </c>
      <c r="C5" s="17">
        <f>IF(ISERROR('Eigen informatie GS &amp; warmtenet'!B57),0,'Eigen informatie GS &amp; warmtenet'!B57)</f>
        <v>0</v>
      </c>
      <c r="D5" s="30">
        <f>(SUM(HH_hh_gas_kWh,HH_rest_gas_kWh)/1000)*0.902</f>
        <v>4712.4385659999998</v>
      </c>
      <c r="E5" s="17">
        <f>B46*B57</f>
        <v>7808.0910248424825</v>
      </c>
      <c r="F5" s="17">
        <f>B51*B62</f>
        <v>38839.865088679726</v>
      </c>
      <c r="G5" s="18"/>
      <c r="H5" s="17"/>
      <c r="I5" s="17"/>
      <c r="J5" s="17">
        <f>B50*B61+C50*C61</f>
        <v>1720.0869225255315</v>
      </c>
      <c r="K5" s="17"/>
      <c r="L5" s="17"/>
      <c r="M5" s="17"/>
      <c r="N5" s="17">
        <f>B48*B59+C48*C59</f>
        <v>3417.4348488254313</v>
      </c>
      <c r="O5" s="17">
        <f>B69*B70*B71</f>
        <v>34.393333333333338</v>
      </c>
      <c r="P5" s="17">
        <f>B77*B78*B79/1000-B77*B78*B79/1000/B80</f>
        <v>266.93333333333334</v>
      </c>
    </row>
    <row r="6" spans="1:16">
      <c r="A6" s="16" t="s">
        <v>631</v>
      </c>
      <c r="B6" s="776">
        <f>kWh_PV_kleiner_dan_10kW</f>
        <v>847.56576220184115</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211</v>
      </c>
      <c r="B8" s="21">
        <f>B5+B6</f>
        <v>11649.55476220184</v>
      </c>
      <c r="C8" s="21">
        <f>C5</f>
        <v>0</v>
      </c>
      <c r="D8" s="21">
        <f>D5</f>
        <v>4712.4385659999998</v>
      </c>
      <c r="E8" s="21">
        <f>E5</f>
        <v>7808.0910248424825</v>
      </c>
      <c r="F8" s="21">
        <f>F5</f>
        <v>38839.865088679726</v>
      </c>
      <c r="G8" s="21"/>
      <c r="H8" s="21"/>
      <c r="I8" s="21"/>
      <c r="J8" s="21">
        <f>J5</f>
        <v>1720.0869225255315</v>
      </c>
      <c r="K8" s="21"/>
      <c r="L8" s="21">
        <f>L5</f>
        <v>0</v>
      </c>
      <c r="M8" s="21">
        <f>M5</f>
        <v>0</v>
      </c>
      <c r="N8" s="21">
        <f>N5</f>
        <v>3417.4348488254313</v>
      </c>
      <c r="O8" s="21">
        <f>O5</f>
        <v>34.393333333333338</v>
      </c>
      <c r="P8" s="21">
        <f>P5</f>
        <v>266.93333333333334</v>
      </c>
    </row>
    <row r="9" spans="1:16">
      <c r="B9" s="19"/>
      <c r="C9" s="19"/>
      <c r="D9" s="260"/>
      <c r="E9" s="19"/>
      <c r="F9" s="19"/>
      <c r="G9" s="19"/>
      <c r="H9" s="19"/>
      <c r="I9" s="19"/>
      <c r="J9" s="19"/>
      <c r="K9" s="19"/>
      <c r="L9" s="19"/>
      <c r="M9" s="19"/>
      <c r="N9" s="19"/>
      <c r="O9" s="19"/>
      <c r="P9" s="19"/>
    </row>
    <row r="10" spans="1:16">
      <c r="A10" s="24" t="s">
        <v>213</v>
      </c>
      <c r="B10" s="25">
        <f ca="1">'EF ele_warmte'!B12</f>
        <v>0.20375304547488254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2373.632261225046</v>
      </c>
      <c r="C12" s="23">
        <f ca="1">C10*C8</f>
        <v>0</v>
      </c>
      <c r="D12" s="23">
        <f>D8*D10</f>
        <v>951.91259033200004</v>
      </c>
      <c r="E12" s="23">
        <f>E10*E8</f>
        <v>1772.4366626392437</v>
      </c>
      <c r="F12" s="23">
        <f>F10*F8</f>
        <v>10370.243978677487</v>
      </c>
      <c r="G12" s="23"/>
      <c r="H12" s="23"/>
      <c r="I12" s="23"/>
      <c r="J12" s="23">
        <f>J10*J8</f>
        <v>608.91077057403811</v>
      </c>
      <c r="K12" s="23"/>
      <c r="L12" s="23">
        <f>L10*L8</f>
        <v>0</v>
      </c>
      <c r="M12" s="23">
        <f>M10*M8</f>
        <v>0</v>
      </c>
      <c r="N12" s="23">
        <f>N10*N8</f>
        <v>0</v>
      </c>
      <c r="O12" s="23">
        <f>O10*O8</f>
        <v>0</v>
      </c>
      <c r="P12" s="23">
        <f>P10*P8</f>
        <v>0</v>
      </c>
    </row>
    <row r="15" spans="1:16">
      <c r="A15" s="194" t="s">
        <v>494</v>
      </c>
      <c r="B15" s="204"/>
      <c r="C15" s="204"/>
      <c r="D15" s="226"/>
    </row>
    <row r="16" spans="1:16">
      <c r="A16" s="3"/>
      <c r="B16" s="43"/>
      <c r="C16" s="43"/>
      <c r="D16" s="175"/>
    </row>
    <row r="17" spans="1:7">
      <c r="A17" s="227" t="s">
        <v>214</v>
      </c>
      <c r="B17" s="203" t="s">
        <v>215</v>
      </c>
      <c r="C17" s="203" t="s">
        <v>219</v>
      </c>
      <c r="D17" s="228" t="s">
        <v>181</v>
      </c>
      <c r="E17" s="15"/>
    </row>
    <row r="18" spans="1:7">
      <c r="A18" s="172" t="s">
        <v>70</v>
      </c>
      <c r="B18" s="37">
        <f>Aantalw2001_aardgas</f>
        <v>27</v>
      </c>
      <c r="C18" s="167" t="s">
        <v>110</v>
      </c>
      <c r="D18" s="229"/>
      <c r="E18" s="15"/>
    </row>
    <row r="19" spans="1:7">
      <c r="A19" s="172" t="s">
        <v>71</v>
      </c>
      <c r="B19" s="37">
        <f>aantalw2001_ander</f>
        <v>1</v>
      </c>
      <c r="C19" s="167" t="s">
        <v>110</v>
      </c>
      <c r="D19" s="230"/>
      <c r="E19" s="15"/>
    </row>
    <row r="20" spans="1:7">
      <c r="A20" s="172" t="s">
        <v>72</v>
      </c>
      <c r="B20" s="37">
        <f>aantalw2001_propaan</f>
        <v>65</v>
      </c>
      <c r="C20" s="168">
        <f>IF(ISERROR(B20/SUM($B$20,$B$21,$B$22)*100),0,B20/SUM($B$20,$B$21,$B$22)*100)</f>
        <v>37.356321839080458</v>
      </c>
      <c r="D20" s="230"/>
      <c r="E20" s="15"/>
    </row>
    <row r="21" spans="1:7">
      <c r="A21" s="172" t="s">
        <v>73</v>
      </c>
      <c r="B21" s="37">
        <f>aantalw2001_elektriciteit</f>
        <v>77</v>
      </c>
      <c r="C21" s="168">
        <f>IF(ISERROR(B21/SUM($B$20,$B$21,$B$22)*100),0,B21/SUM($B$20,$B$21,$B$22)*100)</f>
        <v>44.252873563218394</v>
      </c>
      <c r="D21" s="230"/>
      <c r="E21" s="15"/>
    </row>
    <row r="22" spans="1:7">
      <c r="A22" s="172" t="s">
        <v>74</v>
      </c>
      <c r="B22" s="37">
        <f>aantalw2001_hout</f>
        <v>32</v>
      </c>
      <c r="C22" s="168">
        <f>IF(ISERROR(B22/SUM($B$20,$B$21,$B$22)*100),0,B22/SUM($B$20,$B$21,$B$22)*100)</f>
        <v>18.390804597701148</v>
      </c>
      <c r="D22" s="230"/>
      <c r="E22" s="15"/>
    </row>
    <row r="23" spans="1:7">
      <c r="A23" s="172" t="s">
        <v>75</v>
      </c>
      <c r="B23" s="37">
        <f>aantalw2001_niet_gespec</f>
        <v>32</v>
      </c>
      <c r="C23" s="167" t="s">
        <v>110</v>
      </c>
      <c r="D23" s="229"/>
      <c r="E23" s="15"/>
    </row>
    <row r="24" spans="1:7">
      <c r="A24" s="172" t="s">
        <v>76</v>
      </c>
      <c r="B24" s="37">
        <f>aantalw2001_steenkool</f>
        <v>84</v>
      </c>
      <c r="C24" s="167" t="s">
        <v>110</v>
      </c>
      <c r="D24" s="230"/>
      <c r="E24" s="15"/>
    </row>
    <row r="25" spans="1:7">
      <c r="A25" s="172" t="s">
        <v>77</v>
      </c>
      <c r="B25" s="37">
        <f>aantalw2001_stookolie</f>
        <v>1936</v>
      </c>
      <c r="C25" s="167" t="s">
        <v>110</v>
      </c>
      <c r="D25" s="229"/>
      <c r="E25" s="52"/>
    </row>
    <row r="26" spans="1:7">
      <c r="A26" s="172" t="s">
        <v>78</v>
      </c>
      <c r="B26" s="37">
        <f>aantalw2001_WP</f>
        <v>1</v>
      </c>
      <c r="C26" s="167" t="s">
        <v>110</v>
      </c>
      <c r="D26" s="229"/>
      <c r="E26" s="15"/>
    </row>
    <row r="27" spans="1:7" s="15" customFormat="1">
      <c r="A27" s="172"/>
      <c r="B27" s="29"/>
      <c r="C27" s="36"/>
      <c r="D27" s="229"/>
    </row>
    <row r="28" spans="1:7" s="15" customFormat="1">
      <c r="A28" s="231" t="s">
        <v>711</v>
      </c>
      <c r="B28" s="37">
        <f>aantalHuishoudens</f>
        <v>2368</v>
      </c>
      <c r="C28" s="36"/>
      <c r="D28" s="229"/>
    </row>
    <row r="29" spans="1:7" s="15" customFormat="1">
      <c r="A29" s="231" t="s">
        <v>712</v>
      </c>
      <c r="B29" s="37">
        <f>SUM(HH_hh_gas_aantal,HH_rest_gas_aantal)</f>
        <v>271</v>
      </c>
      <c r="C29" s="36"/>
      <c r="D29" s="229"/>
    </row>
    <row r="30" spans="1:7" s="15" customFormat="1">
      <c r="A30" s="232"/>
      <c r="B30" s="29"/>
      <c r="C30" s="36"/>
      <c r="D30" s="233"/>
    </row>
    <row r="31" spans="1:7">
      <c r="A31" s="173" t="s">
        <v>717</v>
      </c>
      <c r="B31" s="169" t="s">
        <v>215</v>
      </c>
      <c r="C31" s="166" t="s">
        <v>216</v>
      </c>
      <c r="D31" s="175"/>
      <c r="G31" s="15"/>
    </row>
    <row r="32" spans="1:7">
      <c r="A32" s="172" t="s">
        <v>70</v>
      </c>
      <c r="B32" s="37">
        <f>B29</f>
        <v>271</v>
      </c>
      <c r="C32" s="168">
        <f>IF(ISERROR(B32/SUM($B$32,$B$34,$B$35,$B$36,$B$38,$B$39)*100),0,B32/SUM($B$32,$B$34,$B$35,$B$36,$B$38,$B$39)*100)</f>
        <v>11.51231945624469</v>
      </c>
      <c r="D32" s="234"/>
      <c r="G32" s="15"/>
    </row>
    <row r="33" spans="1:7">
      <c r="A33" s="172" t="s">
        <v>71</v>
      </c>
      <c r="B33" s="34" t="s">
        <v>110</v>
      </c>
      <c r="C33" s="168"/>
      <c r="D33" s="234"/>
      <c r="G33" s="15"/>
    </row>
    <row r="34" spans="1:7">
      <c r="A34" s="172" t="s">
        <v>72</v>
      </c>
      <c r="B34" s="33">
        <f>IF((($B$28-$B$32-$B$39-$B$77-$B$38)*C20/100)&lt;0,0,($B$28-$B$32-$B$39-$B$77-$B$38)*C20/100)</f>
        <v>114.68390804597696</v>
      </c>
      <c r="C34" s="168">
        <f>IF(ISERROR(B34/SUM($B$32,$B$34,$B$35,$B$36,$B$38,$B$39)*100),0,B34/SUM($B$32,$B$34,$B$35,$B$36,$B$38,$B$39)*100)</f>
        <v>4.8718737487670758</v>
      </c>
      <c r="D34" s="234"/>
      <c r="G34" s="15"/>
    </row>
    <row r="35" spans="1:7">
      <c r="A35" s="172" t="s">
        <v>73</v>
      </c>
      <c r="B35" s="33">
        <f>IF((($B$28-$B$32-$B$39-$B$77-$B$38)*C21/100)&lt;0,0,($B$28-$B$32-$B$39-$B$77-$B$38)*C21/100)</f>
        <v>135.85632183908041</v>
      </c>
      <c r="C35" s="168">
        <f>IF(ISERROR(B35/SUM($B$32,$B$34,$B$35,$B$36,$B$38,$B$39)*100),0,B35/SUM($B$32,$B$34,$B$35,$B$36,$B$38,$B$39)*100)</f>
        <v>5.7712965946933048</v>
      </c>
      <c r="D35" s="234"/>
      <c r="G35" s="15"/>
    </row>
    <row r="36" spans="1:7">
      <c r="A36" s="172" t="s">
        <v>74</v>
      </c>
      <c r="B36" s="33">
        <f>IF((($B$28-$B$32-$B$39-$B$77-$B$38)*C22/100)&lt;0,0,($B$28-$B$32-$B$39-$B$77-$B$38)*C22/100)</f>
        <v>56.459770114942501</v>
      </c>
      <c r="C36" s="168">
        <f>IF(ISERROR(B36/SUM($B$32,$B$34,$B$35,$B$36,$B$38,$B$39)*100),0,B36/SUM($B$32,$B$34,$B$35,$B$36,$B$38,$B$39)*100)</f>
        <v>2.3984609224699449</v>
      </c>
      <c r="D36" s="234"/>
      <c r="G36" s="15"/>
    </row>
    <row r="37" spans="1:7">
      <c r="A37" s="172" t="s">
        <v>75</v>
      </c>
      <c r="B37" s="34" t="s">
        <v>110</v>
      </c>
      <c r="C37" s="168"/>
      <c r="D37" s="174"/>
      <c r="G37" s="15"/>
    </row>
    <row r="38" spans="1:7">
      <c r="A38" s="172" t="s">
        <v>76</v>
      </c>
      <c r="B38" s="33">
        <f>IF((B24-(B29-B18)*0.1)&lt;0,0,B24-(B29-B18)*0.1)</f>
        <v>59.599999999999994</v>
      </c>
      <c r="C38" s="168">
        <f>IF(ISERROR(B38/SUM($B$32,$B$34,$B$35,$B$36,$B$38,$B$39)*100),0,B38/SUM($B$32,$B$34,$B$35,$B$36,$B$38,$B$39)*100)</f>
        <v>2.5318606627017841</v>
      </c>
      <c r="D38" s="235"/>
      <c r="G38" s="15"/>
    </row>
    <row r="39" spans="1:7">
      <c r="A39" s="172" t="s">
        <v>77</v>
      </c>
      <c r="B39" s="33">
        <f>IF((B25-(B29-B18))&lt;0,0,B25-(B29-B18)*0.9)</f>
        <v>1716.4</v>
      </c>
      <c r="C39" s="168">
        <f>IF(ISERROR(B39/SUM($B$32,$B$34,$B$35,$B$36,$B$38,$B$39)*100),0,B39/SUM($B$32,$B$34,$B$35,$B$36,$B$38,$B$39)*100)</f>
        <v>72.914188615123194</v>
      </c>
      <c r="D39" s="235"/>
      <c r="G39" s="15"/>
    </row>
    <row r="40" spans="1:7">
      <c r="A40" s="172" t="s">
        <v>78</v>
      </c>
      <c r="B40" s="33" t="s">
        <v>218</v>
      </c>
      <c r="C40" s="168"/>
      <c r="D40" s="234"/>
      <c r="G40" s="15"/>
    </row>
    <row r="41" spans="1:7">
      <c r="A41" s="3"/>
      <c r="B41" s="43"/>
      <c r="C41" s="43"/>
      <c r="D41" s="175"/>
    </row>
    <row r="42" spans="1:7">
      <c r="A42" s="3"/>
      <c r="B42" s="43"/>
      <c r="C42" s="43"/>
      <c r="D42" s="175"/>
    </row>
    <row r="43" spans="1:7">
      <c r="A43" s="173" t="s">
        <v>486</v>
      </c>
      <c r="B43" s="170" t="s">
        <v>713</v>
      </c>
      <c r="C43" s="170" t="s">
        <v>714</v>
      </c>
      <c r="D43" s="175"/>
    </row>
    <row r="44" spans="1:7">
      <c r="A44" s="172" t="s">
        <v>70</v>
      </c>
      <c r="B44" s="33">
        <f t="shared" ref="B44:B52" si="0">B32</f>
        <v>271</v>
      </c>
      <c r="C44" s="34" t="s">
        <v>110</v>
      </c>
      <c r="D44" s="175"/>
    </row>
    <row r="45" spans="1:7">
      <c r="A45" s="172" t="s">
        <v>71</v>
      </c>
      <c r="B45" s="33" t="str">
        <f t="shared" si="0"/>
        <v>-</v>
      </c>
      <c r="C45" s="34" t="s">
        <v>110</v>
      </c>
      <c r="D45" s="175"/>
    </row>
    <row r="46" spans="1:7">
      <c r="A46" s="172" t="s">
        <v>72</v>
      </c>
      <c r="B46" s="33">
        <f t="shared" si="0"/>
        <v>114.68390804597696</v>
      </c>
      <c r="C46" s="34" t="s">
        <v>110</v>
      </c>
      <c r="D46" s="175"/>
    </row>
    <row r="47" spans="1:7">
      <c r="A47" s="172" t="s">
        <v>73</v>
      </c>
      <c r="B47" s="33">
        <f t="shared" si="0"/>
        <v>135.85632183908041</v>
      </c>
      <c r="C47" s="34" t="s">
        <v>110</v>
      </c>
      <c r="D47" s="175"/>
    </row>
    <row r="48" spans="1:7">
      <c r="A48" s="172" t="s">
        <v>74</v>
      </c>
      <c r="B48" s="33">
        <f t="shared" si="0"/>
        <v>56.459770114942501</v>
      </c>
      <c r="C48" s="33">
        <f>B48*10</f>
        <v>564.59770114942501</v>
      </c>
      <c r="D48" s="235"/>
    </row>
    <row r="49" spans="1:6">
      <c r="A49" s="172" t="s">
        <v>75</v>
      </c>
      <c r="B49" s="33" t="str">
        <f t="shared" si="0"/>
        <v>-</v>
      </c>
      <c r="C49" s="34" t="s">
        <v>110</v>
      </c>
      <c r="D49" s="235"/>
    </row>
    <row r="50" spans="1:6">
      <c r="A50" s="172" t="s">
        <v>76</v>
      </c>
      <c r="B50" s="33">
        <f t="shared" si="0"/>
        <v>59.599999999999994</v>
      </c>
      <c r="C50" s="33">
        <f>B50*2</f>
        <v>119.19999999999999</v>
      </c>
      <c r="D50" s="235"/>
    </row>
    <row r="51" spans="1:6">
      <c r="A51" s="172" t="s">
        <v>77</v>
      </c>
      <c r="B51" s="33">
        <f t="shared" si="0"/>
        <v>1716.4</v>
      </c>
      <c r="C51" s="34" t="s">
        <v>110</v>
      </c>
      <c r="D51" s="175"/>
    </row>
    <row r="52" spans="1:6">
      <c r="A52" s="172" t="s">
        <v>78</v>
      </c>
      <c r="B52" s="33" t="str">
        <f t="shared" si="0"/>
        <v>zie verder</v>
      </c>
      <c r="C52" s="34" t="s">
        <v>110</v>
      </c>
      <c r="D52" s="175"/>
    </row>
    <row r="53" spans="1:6">
      <c r="A53" s="3"/>
      <c r="B53" s="43"/>
      <c r="C53" s="43"/>
      <c r="D53" s="175"/>
    </row>
    <row r="54" spans="1:6">
      <c r="A54" s="173" t="s">
        <v>489</v>
      </c>
      <c r="B54" s="166" t="s">
        <v>715</v>
      </c>
      <c r="C54" s="166" t="s">
        <v>716</v>
      </c>
      <c r="D54" s="300" t="s">
        <v>959</v>
      </c>
      <c r="E54" s="163"/>
      <c r="F54" s="163"/>
    </row>
    <row r="55" spans="1:6">
      <c r="A55" s="172" t="s">
        <v>70</v>
      </c>
      <c r="B55" s="164">
        <v>14.319221342029172</v>
      </c>
      <c r="C55" s="171" t="s">
        <v>110</v>
      </c>
      <c r="D55" s="174"/>
      <c r="E55" s="164"/>
      <c r="F55" s="164"/>
    </row>
    <row r="56" spans="1:6">
      <c r="A56" s="172" t="s">
        <v>71</v>
      </c>
      <c r="B56" s="171" t="s">
        <v>110</v>
      </c>
      <c r="C56" s="171" t="s">
        <v>110</v>
      </c>
      <c r="D56" s="174"/>
      <c r="E56" s="164"/>
      <c r="F56" s="164"/>
    </row>
    <row r="57" spans="1:6">
      <c r="A57" s="172" t="s">
        <v>72</v>
      </c>
      <c r="B57" s="164">
        <v>68.083579971064523</v>
      </c>
      <c r="C57" s="171" t="s">
        <v>110</v>
      </c>
      <c r="D57" s="174"/>
      <c r="E57" s="164"/>
      <c r="F57" s="164"/>
    </row>
    <row r="58" spans="1:6">
      <c r="A58" s="172" t="s">
        <v>73</v>
      </c>
      <c r="B58" s="164">
        <v>10.774375624792809</v>
      </c>
      <c r="C58" s="171" t="s">
        <v>110</v>
      </c>
      <c r="D58" s="174"/>
      <c r="E58" s="164"/>
      <c r="F58" s="164"/>
    </row>
    <row r="59" spans="1:6">
      <c r="A59" s="172" t="s">
        <v>74</v>
      </c>
      <c r="B59" s="171">
        <v>8.7257929173924591</v>
      </c>
      <c r="C59" s="171">
        <v>5.1802878061396767</v>
      </c>
      <c r="D59" s="174"/>
      <c r="E59" s="164"/>
      <c r="F59" s="164"/>
    </row>
    <row r="60" spans="1:6">
      <c r="A60" s="172" t="s">
        <v>75</v>
      </c>
      <c r="B60" s="171" t="s">
        <v>110</v>
      </c>
      <c r="C60" s="171" t="s">
        <v>110</v>
      </c>
      <c r="D60" s="174"/>
      <c r="E60" s="164"/>
      <c r="F60" s="164"/>
    </row>
    <row r="61" spans="1:6">
      <c r="A61" s="172" t="s">
        <v>76</v>
      </c>
      <c r="B61" s="164">
        <v>13.823848314822854</v>
      </c>
      <c r="C61" s="171">
        <v>7.5183352597490742</v>
      </c>
      <c r="D61" s="174"/>
      <c r="E61" s="164"/>
      <c r="F61" s="164"/>
    </row>
    <row r="62" spans="1:6">
      <c r="A62" s="172" t="s">
        <v>77</v>
      </c>
      <c r="B62" s="171">
        <v>22.628679263970941</v>
      </c>
      <c r="C62" s="171" t="s">
        <v>110</v>
      </c>
      <c r="D62" s="175"/>
      <c r="E62" s="164"/>
      <c r="F62" s="164"/>
    </row>
    <row r="63" spans="1:6">
      <c r="A63" s="172" t="s">
        <v>78</v>
      </c>
      <c r="B63" s="171" t="s">
        <v>218</v>
      </c>
      <c r="C63" s="171" t="s">
        <v>110</v>
      </c>
      <c r="D63" s="175"/>
      <c r="E63" s="164"/>
      <c r="F63" s="164"/>
    </row>
    <row r="64" spans="1:6">
      <c r="A64" s="176"/>
      <c r="B64" s="236"/>
      <c r="C64" s="236"/>
      <c r="D64" s="177"/>
      <c r="E64" s="164"/>
      <c r="F64" s="164"/>
    </row>
    <row r="65" spans="1:6">
      <c r="E65" s="15"/>
      <c r="F65" s="15"/>
    </row>
    <row r="66" spans="1:6">
      <c r="A66" s="195" t="s">
        <v>487</v>
      </c>
      <c r="B66" s="204"/>
      <c r="C66" s="204"/>
      <c r="D66" s="205"/>
    </row>
    <row r="67" spans="1:6" s="15" customFormat="1">
      <c r="A67" s="173"/>
      <c r="B67" s="32"/>
      <c r="C67" s="32"/>
      <c r="D67" s="206"/>
    </row>
    <row r="68" spans="1:6" s="15" customFormat="1">
      <c r="A68" s="207"/>
      <c r="B68" s="208"/>
      <c r="C68" s="209" t="s">
        <v>378</v>
      </c>
      <c r="D68" s="223" t="s">
        <v>181</v>
      </c>
    </row>
    <row r="69" spans="1:6">
      <c r="A69" s="172" t="s">
        <v>265</v>
      </c>
      <c r="B69" s="318">
        <f>aantalZB_NB_wonen+aantalZB_NB_wonen_met_kantoor+ZB_HH_bestaande_bouw</f>
        <v>22</v>
      </c>
      <c r="C69" s="43"/>
      <c r="D69" s="174"/>
    </row>
    <row r="70" spans="1:6">
      <c r="A70" s="172" t="s">
        <v>484</v>
      </c>
      <c r="B70" s="314">
        <v>4.2</v>
      </c>
      <c r="C70" s="43"/>
      <c r="D70" s="308" t="s">
        <v>518</v>
      </c>
    </row>
    <row r="71" spans="1:6">
      <c r="A71" s="246" t="s">
        <v>485</v>
      </c>
      <c r="B71" s="319">
        <f>1.34/3.6</f>
        <v>0.37222222222222223</v>
      </c>
      <c r="C71" s="43" t="s">
        <v>217</v>
      </c>
      <c r="D71" s="308" t="s">
        <v>518</v>
      </c>
    </row>
    <row r="72" spans="1:6">
      <c r="A72" s="176"/>
      <c r="B72" s="247"/>
      <c r="C72" s="179"/>
      <c r="D72" s="180"/>
    </row>
    <row r="73" spans="1:6">
      <c r="D73" s="165"/>
    </row>
    <row r="74" spans="1:6">
      <c r="A74" s="195" t="s">
        <v>488</v>
      </c>
      <c r="B74" s="204"/>
      <c r="C74" s="204"/>
      <c r="D74" s="205"/>
    </row>
    <row r="75" spans="1:6">
      <c r="A75" s="173"/>
      <c r="B75" s="32"/>
      <c r="C75" s="32"/>
      <c r="D75" s="210"/>
    </row>
    <row r="76" spans="1:6">
      <c r="A76" s="184"/>
      <c r="B76" s="183"/>
      <c r="C76" s="209" t="s">
        <v>378</v>
      </c>
      <c r="D76" s="224" t="s">
        <v>181</v>
      </c>
    </row>
    <row r="77" spans="1:6">
      <c r="A77" s="172" t="s">
        <v>265</v>
      </c>
      <c r="B77" s="318">
        <f>aantalWP_NB_wonen+aantalWP_NB_wonen_met_kantoor+WP_HH_bestaande_bouw</f>
        <v>14</v>
      </c>
      <c r="C77" s="32"/>
      <c r="D77" s="178"/>
    </row>
    <row r="78" spans="1:6">
      <c r="A78" s="172" t="s">
        <v>454</v>
      </c>
      <c r="B78" s="314">
        <v>13</v>
      </c>
      <c r="C78" s="32" t="s">
        <v>262</v>
      </c>
      <c r="D78" s="308" t="s">
        <v>518</v>
      </c>
    </row>
    <row r="79" spans="1:6">
      <c r="A79" s="172" t="s">
        <v>455</v>
      </c>
      <c r="B79" s="314">
        <v>2000</v>
      </c>
      <c r="C79" s="32" t="s">
        <v>264</v>
      </c>
      <c r="D79" s="308" t="s">
        <v>518</v>
      </c>
    </row>
    <row r="80" spans="1:6">
      <c r="A80" s="172" t="s">
        <v>416</v>
      </c>
      <c r="B80" s="314">
        <v>3.75</v>
      </c>
      <c r="C80" s="43"/>
      <c r="D80" s="308" t="s">
        <v>518</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1"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155</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252"/>
      <c r="G4" s="14"/>
      <c r="H4" s="14"/>
      <c r="I4" s="14"/>
      <c r="J4" s="14"/>
      <c r="K4" s="14"/>
      <c r="L4" s="14"/>
      <c r="M4" s="14"/>
      <c r="N4" s="14"/>
      <c r="O4" s="14"/>
      <c r="P4" s="14"/>
      <c r="R4" s="6"/>
    </row>
    <row r="5" spans="1:18">
      <c r="A5" s="16" t="s">
        <v>258</v>
      </c>
      <c r="B5" s="30">
        <f>SUM(B6:B12)</f>
        <v>3897.518</v>
      </c>
      <c r="C5" s="17">
        <f>IF(ISERROR('Eigen informatie GS &amp; warmtenet'!B58),0,'Eigen informatie GS &amp; warmtenet'!B58)</f>
        <v>0</v>
      </c>
      <c r="D5" s="30">
        <f>SUM(D6:D12)</f>
        <v>887.02950600000008</v>
      </c>
      <c r="E5" s="17">
        <f>SUM(E6:E12)</f>
        <v>58.361763104196953</v>
      </c>
      <c r="F5" s="17">
        <f>SUM(F6:F12)</f>
        <v>643.52961287778896</v>
      </c>
      <c r="G5" s="18"/>
      <c r="H5" s="17"/>
      <c r="I5" s="17"/>
      <c r="J5" s="17">
        <f>SUM(J6:J12)</f>
        <v>0</v>
      </c>
      <c r="K5" s="17"/>
      <c r="L5" s="17"/>
      <c r="M5" s="17"/>
      <c r="N5" s="17">
        <f>SUM(N6:N12)</f>
        <v>71.784427505164928</v>
      </c>
      <c r="O5" s="17">
        <f>B38*B39*B40</f>
        <v>1.5633333333333335</v>
      </c>
      <c r="P5" s="17">
        <f>B46*B47*B48/1000-B46*B47*B48/1000/B49</f>
        <v>0</v>
      </c>
      <c r="R5" s="32"/>
    </row>
    <row r="6" spans="1:18">
      <c r="A6" s="32" t="s">
        <v>53</v>
      </c>
      <c r="B6" s="37">
        <f>B26</f>
        <v>481.87700000000001</v>
      </c>
      <c r="C6" s="33"/>
      <c r="D6" s="37">
        <f>IF(ISERROR(TER_kantoor_gas_kWh/1000),0,TER_kantoor_gas_kWh/1000)*0.902</f>
        <v>415.75164400000006</v>
      </c>
      <c r="E6" s="33">
        <f>$C$26*'E Balans VL '!I12/100/3.6*1000000</f>
        <v>16.867590582027351</v>
      </c>
      <c r="F6" s="33">
        <f>$C$26*('E Balans VL '!L12+'E Balans VL '!N12)/100/3.6*1000000</f>
        <v>73.062898997810478</v>
      </c>
      <c r="G6" s="34"/>
      <c r="H6" s="33"/>
      <c r="I6" s="33"/>
      <c r="J6" s="33">
        <f>$C$26*('E Balans VL '!D12+'E Balans VL '!E12)/100/3.6*1000000</f>
        <v>0</v>
      </c>
      <c r="K6" s="33"/>
      <c r="L6" s="33"/>
      <c r="M6" s="33"/>
      <c r="N6" s="33">
        <f>$C$26*'E Balans VL '!Y12/100/3.6*1000000</f>
        <v>3.7247583866498455</v>
      </c>
      <c r="O6" s="33"/>
      <c r="P6" s="33"/>
      <c r="R6" s="32"/>
    </row>
    <row r="7" spans="1:18">
      <c r="A7" s="32" t="s">
        <v>52</v>
      </c>
      <c r="B7" s="37">
        <f t="shared" ref="B7:B12" si="0">B27</f>
        <v>453.89400000000001</v>
      </c>
      <c r="C7" s="33"/>
      <c r="D7" s="37">
        <f>IF(ISERROR(TER_horeca_gas_kWh/1000),0,TER_horeca_gas_kWh/1000)*0.902</f>
        <v>356.88983000000002</v>
      </c>
      <c r="E7" s="33">
        <f>$C$27*'E Balans VL '!I9/100/3.6*1000000</f>
        <v>25.605656920350448</v>
      </c>
      <c r="F7" s="33">
        <f>$C$27*('E Balans VL '!L9+'E Balans VL '!N9)/100/3.6*1000000</f>
        <v>79.070846681647055</v>
      </c>
      <c r="G7" s="34"/>
      <c r="H7" s="33"/>
      <c r="I7" s="33"/>
      <c r="J7" s="33">
        <f>$C$27*('E Balans VL '!D9+'E Balans VL '!E9)/100/3.6*1000000</f>
        <v>0</v>
      </c>
      <c r="K7" s="33"/>
      <c r="L7" s="33"/>
      <c r="M7" s="33"/>
      <c r="N7" s="33">
        <f>$C$27*'E Balans VL '!Y9/100/3.6*1000000</f>
        <v>0</v>
      </c>
      <c r="O7" s="33"/>
      <c r="P7" s="33"/>
      <c r="R7" s="32"/>
    </row>
    <row r="8" spans="1:18">
      <c r="A8" s="6" t="s">
        <v>51</v>
      </c>
      <c r="B8" s="37">
        <f t="shared" si="0"/>
        <v>2626.6709999999998</v>
      </c>
      <c r="C8" s="33"/>
      <c r="D8" s="37">
        <f>IF(ISERROR(TER_handel_gas_kWh/1000),0,TER_handel_gas_kWh/1000)*0.902</f>
        <v>52.942889999999998</v>
      </c>
      <c r="E8" s="33">
        <f>$C$28*'E Balans VL '!I13/100/3.6*1000000</f>
        <v>13.485062048096854</v>
      </c>
      <c r="F8" s="33">
        <f>$C$28*('E Balans VL '!L13+'E Balans VL '!N13)/100/3.6*1000000</f>
        <v>404.99208196669122</v>
      </c>
      <c r="G8" s="34"/>
      <c r="H8" s="33"/>
      <c r="I8" s="33"/>
      <c r="J8" s="33">
        <f>$C$28*('E Balans VL '!D13+'E Balans VL '!E13)/100/3.6*1000000</f>
        <v>0</v>
      </c>
      <c r="K8" s="33"/>
      <c r="L8" s="33"/>
      <c r="M8" s="33"/>
      <c r="N8" s="33">
        <f>$C$28*'E Balans VL '!Y13/100/3.6*1000000</f>
        <v>1.2285260895353327</v>
      </c>
      <c r="O8" s="33"/>
      <c r="P8" s="33"/>
      <c r="R8" s="32"/>
    </row>
    <row r="9" spans="1:18">
      <c r="A9" s="32" t="s">
        <v>50</v>
      </c>
      <c r="B9" s="37">
        <f t="shared" si="0"/>
        <v>19.033000000000001</v>
      </c>
      <c r="C9" s="33"/>
      <c r="D9" s="37">
        <f>IF(ISERROR(TER_gezond_gas_kWh/1000),0,TER_gezond_gas_kWh/1000)*0.902</f>
        <v>32.237480000000005</v>
      </c>
      <c r="E9" s="33">
        <f>$C$29*'E Balans VL '!I10/100/3.6*1000000</f>
        <v>7.8890429518320201E-3</v>
      </c>
      <c r="F9" s="33">
        <f>$C$29*('E Balans VL '!L10+'E Balans VL '!N10)/100/3.6*1000000</f>
        <v>4.6875549303678934</v>
      </c>
      <c r="G9" s="34"/>
      <c r="H9" s="33"/>
      <c r="I9" s="33"/>
      <c r="J9" s="33">
        <f>$C$29*('E Balans VL '!D10+'E Balans VL '!E10)/100/3.6*1000000</f>
        <v>0</v>
      </c>
      <c r="K9" s="33"/>
      <c r="L9" s="33"/>
      <c r="M9" s="33"/>
      <c r="N9" s="33">
        <f>$C$29*'E Balans VL '!Y10/100/3.6*1000000</f>
        <v>0.16449222905636801</v>
      </c>
      <c r="O9" s="33"/>
      <c r="P9" s="33"/>
      <c r="R9" s="32"/>
    </row>
    <row r="10" spans="1:18">
      <c r="A10" s="32" t="s">
        <v>49</v>
      </c>
      <c r="B10" s="37">
        <f t="shared" si="0"/>
        <v>285.49400000000003</v>
      </c>
      <c r="C10" s="33"/>
      <c r="D10" s="37">
        <f>IF(ISERROR(TER_ander_gas_kWh/1000),0,TER_ander_gas_kWh/1000)*0.902</f>
        <v>0</v>
      </c>
      <c r="E10" s="33">
        <f>$C$30*'E Balans VL '!I14/100/3.6*1000000</f>
        <v>1.7403784679070868</v>
      </c>
      <c r="F10" s="33">
        <f>$C$30*('E Balans VL '!L14+'E Balans VL '!N14)/100/3.6*1000000</f>
        <v>75.688370224175969</v>
      </c>
      <c r="G10" s="34"/>
      <c r="H10" s="33"/>
      <c r="I10" s="33"/>
      <c r="J10" s="33">
        <f>$C$30*('E Balans VL '!D14+'E Balans VL '!E14)/100/3.6*1000000</f>
        <v>0</v>
      </c>
      <c r="K10" s="33"/>
      <c r="L10" s="33"/>
      <c r="M10" s="33"/>
      <c r="N10" s="33">
        <f>$C$30*'E Balans VL '!Y14/100/3.6*1000000</f>
        <v>65.800197928729688</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30.548999999999999</v>
      </c>
      <c r="C12" s="33"/>
      <c r="D12" s="37">
        <f>IF(ISERROR(TER_rest_gas_kWh/1000),0,TER_rest_gas_kWh/1000)*0.902</f>
        <v>29.207662000000003</v>
      </c>
      <c r="E12" s="33">
        <f>$C$32*'E Balans VL '!I8/100/3.6*1000000</f>
        <v>0.65518604286338178</v>
      </c>
      <c r="F12" s="33">
        <f>$C$32*('E Balans VL '!L8+'E Balans VL '!N8)/100/3.6*1000000</f>
        <v>6.027860077096312</v>
      </c>
      <c r="G12" s="34"/>
      <c r="H12" s="33"/>
      <c r="I12" s="33"/>
      <c r="J12" s="33">
        <f>$C$32*('E Balans VL '!D8+'E Balans VL '!E8)/100/3.6*1000000</f>
        <v>0</v>
      </c>
      <c r="K12" s="33"/>
      <c r="L12" s="33"/>
      <c r="M12" s="33"/>
      <c r="N12" s="33">
        <f>$C$32*'E Balans VL '!Y8/100/3.6*1000000</f>
        <v>0.86645287119370384</v>
      </c>
      <c r="O12" s="33"/>
      <c r="P12" s="33"/>
      <c r="R12" s="32"/>
    </row>
    <row r="13" spans="1:18">
      <c r="A13" s="16" t="s">
        <v>495</v>
      </c>
      <c r="B13" s="248">
        <f ca="1">'lokale energieproductie'!N38+'lokale energieproductie'!N31</f>
        <v>0</v>
      </c>
      <c r="C13" s="248">
        <f ca="1">'lokale energieproductie'!O38+'lokale energieproductie'!O31</f>
        <v>0</v>
      </c>
      <c r="D13" s="309">
        <f ca="1">('lokale energieproductie'!P31+'lokale energieproductie'!P38)*(-1)</f>
        <v>0</v>
      </c>
      <c r="E13" s="249"/>
      <c r="F13" s="309">
        <f ca="1">('lokale energieproductie'!S31+'lokale energieproductie'!S38)*(-1)</f>
        <v>0</v>
      </c>
      <c r="G13" s="250"/>
      <c r="H13" s="249"/>
      <c r="I13" s="249"/>
      <c r="J13" s="249"/>
      <c r="K13" s="249"/>
      <c r="L13" s="309">
        <f ca="1">('lokale energieproductie'!U31+'lokale energieproductie'!T31+'lokale energieproductie'!U38+'lokale energieproductie'!T38)*(-1)</f>
        <v>0</v>
      </c>
      <c r="M13" s="249"/>
      <c r="N13" s="309">
        <f ca="1">('lokale energieproductie'!Q31+'lokale energieproductie'!R31+'lokale energieproductie'!V31+'lokale energieproductie'!Q38+'lokale energieproductie'!R38+'lokale energieproductie'!V38)*(-1)</f>
        <v>0</v>
      </c>
      <c r="O13" s="249"/>
      <c r="P13" s="249"/>
      <c r="R13" s="32"/>
    </row>
    <row r="14" spans="1:18">
      <c r="A14" s="16" t="s">
        <v>509</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260</v>
      </c>
      <c r="B16" s="21">
        <f ca="1">B5+B13+B14</f>
        <v>3897.518</v>
      </c>
      <c r="C16" s="21">
        <f ca="1">C5+C13+C14</f>
        <v>0</v>
      </c>
      <c r="D16" s="21">
        <f t="shared" ref="D16:N16" ca="1" si="1">MAX((D5+D13+D14),0)</f>
        <v>887.02950600000008</v>
      </c>
      <c r="E16" s="21">
        <f t="shared" si="1"/>
        <v>58.361763104196953</v>
      </c>
      <c r="F16" s="21">
        <f t="shared" ca="1" si="1"/>
        <v>643.52961287778896</v>
      </c>
      <c r="G16" s="21">
        <f t="shared" si="1"/>
        <v>0</v>
      </c>
      <c r="H16" s="21">
        <f t="shared" si="1"/>
        <v>0</v>
      </c>
      <c r="I16" s="21">
        <f t="shared" si="1"/>
        <v>0</v>
      </c>
      <c r="J16" s="21">
        <f t="shared" si="1"/>
        <v>0</v>
      </c>
      <c r="K16" s="21">
        <f t="shared" si="1"/>
        <v>0</v>
      </c>
      <c r="L16" s="21">
        <f t="shared" ca="1" si="1"/>
        <v>0</v>
      </c>
      <c r="M16" s="21">
        <f t="shared" si="1"/>
        <v>0</v>
      </c>
      <c r="N16" s="21">
        <f t="shared" ca="1" si="1"/>
        <v>71.784427505164928</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0.20375304547488254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794.13116229317325</v>
      </c>
      <c r="C20" s="23">
        <f t="shared" ref="C20:P20" ca="1" si="2">C16*C18</f>
        <v>0</v>
      </c>
      <c r="D20" s="23">
        <f t="shared" ca="1" si="2"/>
        <v>179.17996021200003</v>
      </c>
      <c r="E20" s="23">
        <f t="shared" si="2"/>
        <v>13.248120224652709</v>
      </c>
      <c r="F20" s="23">
        <f t="shared" ca="1" si="2"/>
        <v>171.82240663836967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494</v>
      </c>
      <c r="B23" s="204"/>
      <c r="C23" s="204"/>
      <c r="D23" s="226"/>
    </row>
    <row r="24" spans="1:18">
      <c r="A24" s="237"/>
      <c r="B24" s="32"/>
      <c r="C24" s="32"/>
      <c r="D24" s="238"/>
    </row>
    <row r="25" spans="1:18">
      <c r="A25" s="239"/>
      <c r="B25" s="225" t="s">
        <v>266</v>
      </c>
      <c r="C25" s="225" t="s">
        <v>267</v>
      </c>
      <c r="D25" s="240" t="s">
        <v>181</v>
      </c>
    </row>
    <row r="26" spans="1:18">
      <c r="A26" s="232" t="s">
        <v>53</v>
      </c>
      <c r="B26" s="33">
        <f>IF(ISERROR(TER_kantoor_ele_kWh/1000),0,TER_kantoor_ele_kWh/1000)</f>
        <v>481.87700000000001</v>
      </c>
      <c r="C26" s="39">
        <f>IF(ISERROR(B26*3.6/1000000/'E Balans VL '!Z12*100),0,B26*3.6/1000000/'E Balans VL '!Z12*100)</f>
        <v>1.014030233214816E-2</v>
      </c>
      <c r="D26" s="238" t="s">
        <v>718</v>
      </c>
      <c r="F26" s="6"/>
    </row>
    <row r="27" spans="1:18">
      <c r="A27" s="232" t="s">
        <v>52</v>
      </c>
      <c r="B27" s="33">
        <f>IF(ISERROR(TER_horeca_ele_kWh/1000),0,TER_horeca_ele_kWh/1000)</f>
        <v>453.89400000000001</v>
      </c>
      <c r="C27" s="39">
        <f>IF(ISERROR(B27*3.6/1000000/'E Balans VL '!Z9*100),0,B27*3.6/1000000/'E Balans VL '!Z9*100)</f>
        <v>3.8429929549671296E-2</v>
      </c>
      <c r="D27" s="238" t="s">
        <v>718</v>
      </c>
      <c r="F27" s="6"/>
    </row>
    <row r="28" spans="1:18">
      <c r="A28" s="172" t="s">
        <v>51</v>
      </c>
      <c r="B28" s="33">
        <f>IF(ISERROR(TER_handel_ele_kWh/1000),0,TER_handel_ele_kWh/1000)</f>
        <v>2626.6709999999998</v>
      </c>
      <c r="C28" s="39">
        <f>IF(ISERROR(B28*3.6/1000000/'E Balans VL '!Z13*100),0,B28*3.6/1000000/'E Balans VL '!Z13*100)</f>
        <v>7.2719023421440723E-2</v>
      </c>
      <c r="D28" s="238" t="s">
        <v>718</v>
      </c>
      <c r="F28" s="6"/>
    </row>
    <row r="29" spans="1:18">
      <c r="A29" s="232" t="s">
        <v>50</v>
      </c>
      <c r="B29" s="33">
        <f>IF(ISERROR(TER_gezond_ele_kWh/1000),0,TER_gezond_ele_kWh/1000)</f>
        <v>19.033000000000001</v>
      </c>
      <c r="C29" s="39">
        <f>IF(ISERROR(B29*3.6/1000000/'E Balans VL '!Z10*100),0,B29*3.6/1000000/'E Balans VL '!Z10*100)</f>
        <v>2.4740789945939395E-3</v>
      </c>
      <c r="D29" s="238" t="s">
        <v>718</v>
      </c>
      <c r="F29" s="6"/>
    </row>
    <row r="30" spans="1:18">
      <c r="A30" s="232" t="s">
        <v>49</v>
      </c>
      <c r="B30" s="33">
        <f>IF(ISERROR(TER_ander_ele_kWh/1000),0,TER_ander_ele_kWh/1000)</f>
        <v>285.49400000000003</v>
      </c>
      <c r="C30" s="39">
        <f>IF(ISERROR(B30*3.6/1000000/'E Balans VL '!Z14*100),0,B30*3.6/1000000/'E Balans VL '!Z14*100)</f>
        <v>2.2128403179985441E-2</v>
      </c>
      <c r="D30" s="238" t="s">
        <v>718</v>
      </c>
      <c r="F30" s="6"/>
    </row>
    <row r="31" spans="1:18">
      <c r="A31" s="232" t="s">
        <v>54</v>
      </c>
      <c r="B31" s="33">
        <f>IF(ISERROR(TER_onderwijs_ele_kWh/1000),0,TER_onderwijs_ele_kWh/1000)</f>
        <v>0</v>
      </c>
      <c r="C31" s="39">
        <f>IF(ISERROR(B31*3.6/1000000/'E Balans VL '!Z11*100),0,B31*3.6/1000000/'E Balans VL '!Z11*100)</f>
        <v>0</v>
      </c>
      <c r="D31" s="238" t="s">
        <v>718</v>
      </c>
    </row>
    <row r="32" spans="1:18">
      <c r="A32" s="232" t="s">
        <v>259</v>
      </c>
      <c r="B32" s="33">
        <f>IF(ISERROR(TER_rest_ele_kWh/1000),0,TER_rest_ele_kWh/1000)</f>
        <v>30.548999999999999</v>
      </c>
      <c r="C32" s="39">
        <f>IF(ISERROR(B32*3.6/1000000/'E Balans VL '!Z8*100),0,B32*3.6/1000000/'E Balans VL '!Z8*100)</f>
        <v>2.5189996405254155E-4</v>
      </c>
      <c r="D32" s="238" t="s">
        <v>718</v>
      </c>
    </row>
    <row r="33" spans="1:4">
      <c r="A33" s="241"/>
      <c r="B33" s="181"/>
      <c r="C33" s="181"/>
      <c r="D33" s="242"/>
    </row>
    <row r="34" spans="1:4">
      <c r="A34" s="32"/>
      <c r="B34" s="32"/>
      <c r="C34" s="32"/>
    </row>
    <row r="35" spans="1:4">
      <c r="A35" s="194" t="s">
        <v>487</v>
      </c>
      <c r="B35" s="204"/>
      <c r="C35" s="204"/>
      <c r="D35" s="226"/>
    </row>
    <row r="36" spans="1:4">
      <c r="A36" s="237"/>
      <c r="B36" s="32"/>
      <c r="C36" s="32"/>
      <c r="D36" s="233"/>
    </row>
    <row r="37" spans="1:4">
      <c r="A37" s="243"/>
      <c r="B37" s="244"/>
      <c r="C37" s="225" t="s">
        <v>378</v>
      </c>
      <c r="D37" s="245" t="s">
        <v>181</v>
      </c>
    </row>
    <row r="38" spans="1:4">
      <c r="A38" s="172" t="s">
        <v>265</v>
      </c>
      <c r="B38" s="318">
        <f>aantalZB_NB_ander+aantalZB_NB_ander_met_kantoor+aantalZB_NB_kantoor+aantalZB_NB_school+ZB_NHH_bestaande_bouw+aantalZB_NB_NIET_RESIDENTIEEL_EPN</f>
        <v>1</v>
      </c>
      <c r="C38" s="43"/>
      <c r="D38" s="233"/>
    </row>
    <row r="39" spans="1:4">
      <c r="A39" s="172" t="s">
        <v>484</v>
      </c>
      <c r="B39" s="314">
        <v>4.2</v>
      </c>
      <c r="C39" s="43"/>
      <c r="D39" s="308" t="s">
        <v>518</v>
      </c>
    </row>
    <row r="40" spans="1:4">
      <c r="A40" s="6" t="s">
        <v>485</v>
      </c>
      <c r="B40" s="319">
        <f>1.34/3.6</f>
        <v>0.37222222222222223</v>
      </c>
      <c r="C40" s="43" t="s">
        <v>217</v>
      </c>
      <c r="D40" s="308" t="s">
        <v>518</v>
      </c>
    </row>
    <row r="41" spans="1:4">
      <c r="A41" s="241"/>
      <c r="B41" s="181"/>
      <c r="C41" s="181"/>
      <c r="D41" s="242"/>
    </row>
    <row r="43" spans="1:4">
      <c r="A43" s="195" t="s">
        <v>488</v>
      </c>
      <c r="B43" s="204"/>
      <c r="C43" s="204"/>
      <c r="D43" s="226"/>
    </row>
    <row r="44" spans="1:4">
      <c r="A44" s="231"/>
      <c r="B44" s="32"/>
      <c r="C44" s="32"/>
      <c r="D44" s="233"/>
    </row>
    <row r="45" spans="1:4">
      <c r="A45" s="243"/>
      <c r="B45" s="244"/>
      <c r="C45" s="225" t="s">
        <v>378</v>
      </c>
      <c r="D45" s="245" t="s">
        <v>181</v>
      </c>
    </row>
    <row r="46" spans="1:4">
      <c r="A46" s="172" t="s">
        <v>265</v>
      </c>
      <c r="B46" s="540">
        <f>aantalWP_NB_ander+antalWP_NB_ander_met_kantoor+aantalWP_NB_kantoor+aantalWP_NB_school+WP_NHH_bestaande_bouw+aantalWP_NB_NIET_RESIDENTIEEL_EPN</f>
        <v>0</v>
      </c>
      <c r="C46" s="32"/>
      <c r="D46" s="233"/>
    </row>
    <row r="47" spans="1:4">
      <c r="A47" s="172" t="s">
        <v>454</v>
      </c>
      <c r="B47" s="541">
        <v>13</v>
      </c>
      <c r="C47" s="32" t="s">
        <v>262</v>
      </c>
      <c r="D47" s="308" t="s">
        <v>518</v>
      </c>
    </row>
    <row r="48" spans="1:4">
      <c r="A48" s="172" t="s">
        <v>455</v>
      </c>
      <c r="B48" s="541">
        <v>2000</v>
      </c>
      <c r="C48" s="32" t="s">
        <v>264</v>
      </c>
      <c r="D48" s="308" t="s">
        <v>518</v>
      </c>
    </row>
    <row r="49" spans="1:4">
      <c r="A49" s="172" t="s">
        <v>416</v>
      </c>
      <c r="B49" s="541">
        <v>3.75</v>
      </c>
      <c r="C49" s="32"/>
      <c r="D49" s="308" t="s">
        <v>518</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162</v>
      </c>
      <c r="B1" s="1195" t="s">
        <v>194</v>
      </c>
      <c r="C1" s="1196"/>
      <c r="D1" s="1196"/>
      <c r="E1" s="1196"/>
      <c r="F1" s="1196"/>
      <c r="G1" s="1196"/>
      <c r="H1" s="1196"/>
      <c r="I1" s="1196"/>
      <c r="J1" s="1196"/>
      <c r="K1" s="1196"/>
      <c r="L1" s="1196"/>
      <c r="M1" s="1196"/>
      <c r="N1" s="1196"/>
      <c r="O1" s="1196"/>
      <c r="P1" s="1196"/>
      <c r="R1" s="758"/>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c r="R2" s="758"/>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3"/>
      <c r="B4" s="14"/>
      <c r="C4" s="14"/>
      <c r="D4" s="14"/>
      <c r="E4" s="14"/>
      <c r="F4" s="14"/>
      <c r="G4" s="14"/>
      <c r="H4" s="14"/>
      <c r="I4" s="14"/>
      <c r="J4" s="14"/>
      <c r="K4" s="14"/>
      <c r="L4" s="14"/>
      <c r="M4" s="14"/>
      <c r="N4" s="14"/>
      <c r="O4" s="14"/>
      <c r="P4" s="14"/>
      <c r="R4" s="6"/>
    </row>
    <row r="5" spans="1:18">
      <c r="A5" s="16" t="s">
        <v>268</v>
      </c>
      <c r="B5" s="30">
        <f>SUM(B6:B15)</f>
        <v>439.91999999999996</v>
      </c>
      <c r="C5" s="17">
        <f>IF(ISERROR('Eigen informatie GS &amp; warmtenet'!B59),0,'Eigen informatie GS &amp; warmtenet'!B59)</f>
        <v>0</v>
      </c>
      <c r="D5" s="30">
        <f>SUM(D6:D15)</f>
        <v>38.372883999999999</v>
      </c>
      <c r="E5" s="17">
        <f>SUM(E6:E15)</f>
        <v>5.7711946281367457</v>
      </c>
      <c r="F5" s="17">
        <f>SUM(F6:F15)</f>
        <v>222.78264140948909</v>
      </c>
      <c r="G5" s="18"/>
      <c r="H5" s="17"/>
      <c r="I5" s="17"/>
      <c r="J5" s="17">
        <f>SUM(J6:J15)</f>
        <v>1.4225970228159517</v>
      </c>
      <c r="K5" s="17"/>
      <c r="L5" s="17"/>
      <c r="M5" s="17"/>
      <c r="N5" s="17">
        <f>SUM(N6:N15)</f>
        <v>20.922478397356731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231.74799999999999</v>
      </c>
      <c r="C9" s="33"/>
      <c r="D9" s="37">
        <f>IF( ISERROR(IND_andere_gas_kWh/1000),0,IND_andere_gas_kWh/1000)*0.902</f>
        <v>0</v>
      </c>
      <c r="E9" s="33">
        <f>C31*'E Balans VL '!I19/100/3.6*1000000</f>
        <v>3.8924915603644346</v>
      </c>
      <c r="F9" s="33">
        <f>C31*'E Balans VL '!L19/100/3.6*1000000+C31*'E Balans VL '!N19/100/3.6*1000000</f>
        <v>181.16738701948574</v>
      </c>
      <c r="G9" s="34"/>
      <c r="H9" s="33"/>
      <c r="I9" s="33"/>
      <c r="J9" s="40">
        <f>C31*'E Balans VL '!D19/100/3.6*1000000+C31*'E Balans VL '!E19/100/3.6*1000000</f>
        <v>2.0901623871201019E-2</v>
      </c>
      <c r="K9" s="33"/>
      <c r="L9" s="33"/>
      <c r="M9" s="33"/>
      <c r="N9" s="33">
        <f>C31*'E Balans VL '!Y19/100/3.6*1000000</f>
        <v>17.176244869331338</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208.172</v>
      </c>
      <c r="C15" s="33"/>
      <c r="D15" s="37">
        <f>IF( ISERROR(IND_rest_gas_kWh/1000),0,IND_rest_gas_kWh/1000)*0.902</f>
        <v>38.372883999999999</v>
      </c>
      <c r="E15" s="33">
        <f>C37*'E Balans VL '!I15/100/3.6*1000000</f>
        <v>1.8787030677723109</v>
      </c>
      <c r="F15" s="33">
        <f>C37*'E Balans VL '!L15/100/3.6*1000000+C37*'E Balans VL '!N15/100/3.6*1000000</f>
        <v>41.615254390003358</v>
      </c>
      <c r="G15" s="34"/>
      <c r="H15" s="33"/>
      <c r="I15" s="33"/>
      <c r="J15" s="40">
        <f>C37*'E Balans VL '!D15/100/3.6*1000000+C37*'E Balans VL '!E15/100/3.6*1000000</f>
        <v>1.4016953989447507</v>
      </c>
      <c r="K15" s="33"/>
      <c r="L15" s="33"/>
      <c r="M15" s="33"/>
      <c r="N15" s="33">
        <f>C37*'E Balans VL '!Y15/100/3.6*1000000</f>
        <v>3.7462335280253911</v>
      </c>
      <c r="O15" s="33"/>
      <c r="P15" s="33"/>
      <c r="R15" s="32"/>
    </row>
    <row r="16" spans="1:18">
      <c r="A16" s="16" t="s">
        <v>495</v>
      </c>
      <c r="B16" s="248">
        <f>'lokale energieproductie'!N37+'lokale energieproductie'!N30</f>
        <v>0</v>
      </c>
      <c r="C16" s="248">
        <f>'lokale energieproductie'!O37+'lokale energieproductie'!O30</f>
        <v>0</v>
      </c>
      <c r="D16" s="309">
        <f>('lokale energieproductie'!P30+'lokale energieproductie'!P37)*(-1)</f>
        <v>0</v>
      </c>
      <c r="E16" s="249"/>
      <c r="F16" s="309">
        <f>('lokale energieproductie'!S30+'lokale energieproductie'!S37)*(-1)</f>
        <v>0</v>
      </c>
      <c r="G16" s="250"/>
      <c r="H16" s="249"/>
      <c r="I16" s="249"/>
      <c r="J16" s="249"/>
      <c r="K16" s="249"/>
      <c r="L16" s="309">
        <f>('lokale energieproductie'!T30+'lokale energieproductie'!U30+'lokale energieproductie'!T37+'lokale energieproductie'!U37)*(-1)</f>
        <v>0</v>
      </c>
      <c r="M16" s="249"/>
      <c r="N16" s="309">
        <f>('lokale energieproductie'!Q30+'lokale energieproductie'!R30+'lokale energieproductie'!V30+'lokale energieproductie'!Q37+'lokale energieproductie'!R37+'lokale energieproductie'!V37)*(-1)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277</v>
      </c>
      <c r="B18" s="21">
        <f>B5+B16</f>
        <v>439.91999999999996</v>
      </c>
      <c r="C18" s="21">
        <f>C5+C16</f>
        <v>0</v>
      </c>
      <c r="D18" s="21">
        <f>MAX((D5+D16),0)</f>
        <v>38.372883999999999</v>
      </c>
      <c r="E18" s="21">
        <f>MAX((E5+E16),0)</f>
        <v>5.7711946281367457</v>
      </c>
      <c r="F18" s="21">
        <f>MAX((F5+F16),0)</f>
        <v>222.78264140948909</v>
      </c>
      <c r="G18" s="21"/>
      <c r="H18" s="21"/>
      <c r="I18" s="21"/>
      <c r="J18" s="21">
        <f>MAX((J5+J16),0)</f>
        <v>1.4225970228159517</v>
      </c>
      <c r="K18" s="21"/>
      <c r="L18" s="21">
        <f>MAX((L5+L16),0)</f>
        <v>0</v>
      </c>
      <c r="M18" s="21"/>
      <c r="N18" s="21">
        <f>MAX((N5+N16),0)</f>
        <v>20.922478397356731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0.20375304547488254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89.635039765310324</v>
      </c>
      <c r="C22" s="23">
        <f ca="1">C18*C20</f>
        <v>0</v>
      </c>
      <c r="D22" s="23">
        <f>D18*D20</f>
        <v>7.751322568</v>
      </c>
      <c r="E22" s="23">
        <f>E18*E20</f>
        <v>1.3100611805870412</v>
      </c>
      <c r="F22" s="23">
        <f>F18*F20</f>
        <v>59.482965256333593</v>
      </c>
      <c r="G22" s="23"/>
      <c r="H22" s="23"/>
      <c r="I22" s="23"/>
      <c r="J22" s="23">
        <f>J18*J20</f>
        <v>0.50359934607684687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494</v>
      </c>
      <c r="B25" s="204"/>
      <c r="C25" s="204"/>
      <c r="D25" s="226"/>
    </row>
    <row r="26" spans="1:18">
      <c r="A26" s="237"/>
      <c r="B26" s="32"/>
      <c r="C26" s="32"/>
      <c r="D26" s="238"/>
    </row>
    <row r="27" spans="1:18">
      <c r="A27" s="239"/>
      <c r="B27" s="225" t="s">
        <v>266</v>
      </c>
      <c r="C27" s="225" t="s">
        <v>267</v>
      </c>
      <c r="D27" s="240" t="s">
        <v>181</v>
      </c>
    </row>
    <row r="28" spans="1:18">
      <c r="A28" s="172" t="s">
        <v>34</v>
      </c>
      <c r="B28" s="37"/>
      <c r="C28" s="39"/>
      <c r="D28" s="238" t="s">
        <v>718</v>
      </c>
    </row>
    <row r="29" spans="1:18">
      <c r="A29" s="172" t="s">
        <v>37</v>
      </c>
      <c r="B29" s="37">
        <f>IF( ISERROR(IND_nonf_ele_kWh/1000),0,IND_nonf_ele_kWh/1000)</f>
        <v>0</v>
      </c>
      <c r="C29" s="39">
        <f>IF(ISERROR(B29*3.6/1000000/'E Balans VL '!Z17*100),0,B29*3.6/1000000/'E Balans VL '!Z17*100)</f>
        <v>0</v>
      </c>
      <c r="D29" s="238" t="s">
        <v>718</v>
      </c>
    </row>
    <row r="30" spans="1:18">
      <c r="A30" s="172" t="s">
        <v>35</v>
      </c>
      <c r="B30" s="37">
        <f>IF( ISERROR(IND_metaal_ele_kWh/1000),0,IND_metaal_ele_kWh/1000)</f>
        <v>0</v>
      </c>
      <c r="C30" s="39">
        <f>IF(ISERROR(B30*3.6/1000000/'E Balans VL '!Z18*100),0,B30*3.6/1000000/'E Balans VL '!Z18*100)</f>
        <v>0</v>
      </c>
      <c r="D30" s="238" t="s">
        <v>718</v>
      </c>
    </row>
    <row r="31" spans="1:18">
      <c r="A31" s="6" t="s">
        <v>32</v>
      </c>
      <c r="B31" s="37">
        <f>IF( ISERROR(IND_ander_ele_kWh/1000),0,IND_ander_ele_kWh/1000)</f>
        <v>231.74799999999999</v>
      </c>
      <c r="C31" s="39">
        <f>IF(ISERROR(B31*3.6/1000000/'E Balans VL '!Z19*100),0,B31*3.6/1000000/'E Balans VL '!Z19*100)</f>
        <v>1.0272470434992992E-2</v>
      </c>
      <c r="D31" s="238" t="s">
        <v>718</v>
      </c>
    </row>
    <row r="32" spans="1:18">
      <c r="A32" s="172" t="s">
        <v>40</v>
      </c>
      <c r="B32" s="37">
        <f>IF( ISERROR(IND_voed_ele_kWh/1000),0,IND_voed_ele_kWh/1000)</f>
        <v>0</v>
      </c>
      <c r="C32" s="39">
        <f>IF(ISERROR(B32*3.6/1000000/'E Balans VL '!Z20*100),0,B32*3.6/1000000/'E Balans VL '!Z20*100)</f>
        <v>0</v>
      </c>
      <c r="D32" s="238" t="s">
        <v>718</v>
      </c>
    </row>
    <row r="33" spans="1:5">
      <c r="A33" s="172" t="s">
        <v>39</v>
      </c>
      <c r="B33" s="37">
        <f>IF( ISERROR(IND_textiel_ele_kWh/1000),0,IND_textiel_ele_kWh/1000)</f>
        <v>0</v>
      </c>
      <c r="C33" s="39">
        <f>IF(ISERROR(B33*3.6/1000000/'E Balans VL '!Z21*100),0,B33*3.6/1000000/'E Balans VL '!Z21*100)</f>
        <v>0</v>
      </c>
      <c r="D33" s="238" t="s">
        <v>718</v>
      </c>
    </row>
    <row r="34" spans="1:5">
      <c r="A34" s="172" t="s">
        <v>36</v>
      </c>
      <c r="B34" s="37">
        <f>IF( ISERROR(IND_min_ele_kWh/1000),0,IND_min_ele_kWh/1000)</f>
        <v>0</v>
      </c>
      <c r="C34" s="39">
        <f>IF(ISERROR(B34*3.6/1000000/'E Balans VL '!Z22*100),0,B34*3.6/1000000/'E Balans VL '!Z22*100)</f>
        <v>0</v>
      </c>
      <c r="D34" s="238" t="s">
        <v>718</v>
      </c>
    </row>
    <row r="35" spans="1:5">
      <c r="A35" s="172" t="s">
        <v>38</v>
      </c>
      <c r="B35" s="37">
        <f>IF( ISERROR(IND_papier_ele_kWh/1000),0,IND_papier_ele_kWh/1000)</f>
        <v>0</v>
      </c>
      <c r="C35" s="39">
        <f>IF(ISERROR(B35*3.6/1000000/'E Balans VL '!Z22*100),0,B35*3.6/1000000/'E Balans VL '!Z22*100)</f>
        <v>0</v>
      </c>
      <c r="D35" s="238" t="s">
        <v>718</v>
      </c>
    </row>
    <row r="36" spans="1:5">
      <c r="A36" s="172" t="s">
        <v>33</v>
      </c>
      <c r="B36" s="37">
        <f>IF( ISERROR(IND_chemie_ele_kWh/1000),0,IND_chemie_ele_kWh/1000)</f>
        <v>0</v>
      </c>
      <c r="C36" s="39">
        <f>IF(ISERROR(B36*3.6/1000000/'E Balans VL '!Z24*100),0,B36*3.6/1000000/'E Balans VL '!Z24*100)</f>
        <v>0</v>
      </c>
      <c r="D36" s="238" t="s">
        <v>718</v>
      </c>
    </row>
    <row r="37" spans="1:5">
      <c r="A37" s="172" t="s">
        <v>269</v>
      </c>
      <c r="B37" s="37">
        <f>IF( ISERROR(IND_rest_ele_kWh/1000),0,IND_rest_ele_kWh/1000)</f>
        <v>208.172</v>
      </c>
      <c r="C37" s="39">
        <f>IF(ISERROR(B37*3.6/1000000/'E Balans VL '!Z15*100),0,B37*3.6/1000000/'E Balans VL '!Z15*100)</f>
        <v>1.5484605388021184E-3</v>
      </c>
      <c r="D37" s="238" t="s">
        <v>718</v>
      </c>
    </row>
    <row r="38" spans="1:5">
      <c r="A38" s="241"/>
      <c r="B38" s="181"/>
      <c r="C38" s="181"/>
      <c r="D38" s="242"/>
    </row>
    <row r="39" spans="1:5">
      <c r="A39" s="232"/>
      <c r="B39" s="32"/>
      <c r="C39" s="32"/>
      <c r="D39" s="32"/>
      <c r="E39" s="32"/>
    </row>
    <row r="40" spans="1:5">
      <c r="A40" s="194" t="s">
        <v>487</v>
      </c>
      <c r="B40" s="204"/>
      <c r="C40" s="204"/>
      <c r="D40" s="226"/>
    </row>
    <row r="41" spans="1:5">
      <c r="A41" s="237"/>
      <c r="B41" s="32"/>
      <c r="C41" s="32"/>
      <c r="D41" s="233"/>
    </row>
    <row r="42" spans="1:5">
      <c r="A42" s="243"/>
      <c r="B42" s="244"/>
      <c r="C42" s="225" t="s">
        <v>378</v>
      </c>
      <c r="D42" s="245" t="s">
        <v>181</v>
      </c>
    </row>
    <row r="43" spans="1:5">
      <c r="A43" s="172" t="s">
        <v>265</v>
      </c>
      <c r="B43" s="318">
        <f>aantalZB_NB_industrie+aantalZB_NB_industrie_met_kantoor</f>
        <v>0</v>
      </c>
      <c r="C43" s="43"/>
      <c r="D43" s="233"/>
    </row>
    <row r="44" spans="1:5">
      <c r="A44" s="172" t="s">
        <v>484</v>
      </c>
      <c r="B44" s="314">
        <v>4.2</v>
      </c>
      <c r="C44" s="43"/>
      <c r="D44" s="308" t="s">
        <v>518</v>
      </c>
    </row>
    <row r="45" spans="1:5">
      <c r="A45" s="6" t="s">
        <v>485</v>
      </c>
      <c r="B45" s="319">
        <f>1.34/3.6</f>
        <v>0.37222222222222223</v>
      </c>
      <c r="C45" s="43" t="s">
        <v>217</v>
      </c>
      <c r="D45" s="308" t="s">
        <v>518</v>
      </c>
    </row>
    <row r="46" spans="1:5" s="32" customFormat="1">
      <c r="A46" s="176"/>
      <c r="B46" s="247"/>
      <c r="C46" s="181"/>
      <c r="D46" s="242"/>
    </row>
    <row r="48" spans="1:5">
      <c r="A48" s="195" t="s">
        <v>488</v>
      </c>
      <c r="B48" s="204"/>
      <c r="C48" s="204"/>
      <c r="D48" s="226"/>
    </row>
    <row r="49" spans="1:4">
      <c r="A49" s="231"/>
      <c r="B49" s="32"/>
      <c r="C49" s="32"/>
      <c r="D49" s="233"/>
    </row>
    <row r="50" spans="1:4">
      <c r="A50" s="243"/>
      <c r="B50" s="244"/>
      <c r="C50" s="225" t="s">
        <v>378</v>
      </c>
      <c r="D50" s="245" t="s">
        <v>181</v>
      </c>
    </row>
    <row r="51" spans="1:4">
      <c r="A51" s="172" t="s">
        <v>265</v>
      </c>
      <c r="B51" s="318">
        <f>aantalWP_NB_industrie+AantalWP_NB_industrie_met_kantoor</f>
        <v>0</v>
      </c>
      <c r="C51" s="32"/>
      <c r="D51" s="233"/>
    </row>
    <row r="52" spans="1:4">
      <c r="A52" s="172" t="s">
        <v>261</v>
      </c>
      <c r="B52" s="314">
        <v>13</v>
      </c>
      <c r="C52" s="32" t="s">
        <v>262</v>
      </c>
      <c r="D52" s="308" t="s">
        <v>518</v>
      </c>
    </row>
    <row r="53" spans="1:4">
      <c r="A53" s="172" t="s">
        <v>263</v>
      </c>
      <c r="B53" s="314">
        <v>2000</v>
      </c>
      <c r="C53" s="32" t="s">
        <v>264</v>
      </c>
      <c r="D53" s="308" t="s">
        <v>518</v>
      </c>
    </row>
    <row r="54" spans="1:4">
      <c r="A54" s="172" t="s">
        <v>416</v>
      </c>
      <c r="B54" s="314">
        <v>3.75</v>
      </c>
      <c r="C54" s="32"/>
      <c r="D54" s="308" t="s">
        <v>518</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270</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2910.3110000000001</v>
      </c>
      <c r="C5" s="17">
        <f>'Eigen informatie GS &amp; warmtenet'!B60</f>
        <v>0</v>
      </c>
      <c r="D5" s="30">
        <f>IF(ISERROR(SUM(LB_lb_gas_kWh,LB_rest_gas_kWh)/1000),0,SUM(LB_lb_gas_kWh,LB_rest_gas_kWh)/1000)*0.902</f>
        <v>9.3663680000000014</v>
      </c>
      <c r="E5" s="17">
        <f>B17*'E Balans VL '!I25/3.6*1000000/100</f>
        <v>30.47740684863793</v>
      </c>
      <c r="F5" s="17">
        <f>B17*('E Balans VL '!L25/3.6*1000000+'E Balans VL '!N25/3.6*1000000)/100</f>
        <v>12458.342446711473</v>
      </c>
      <c r="G5" s="18"/>
      <c r="H5" s="17"/>
      <c r="I5" s="17"/>
      <c r="J5" s="17">
        <f>('E Balans VL '!D25+'E Balans VL '!E25)/3.6*1000000*landbouw!B17/100</f>
        <v>259.91685786250378</v>
      </c>
      <c r="K5" s="17"/>
      <c r="L5" s="17">
        <f>L6*(-1)</f>
        <v>0</v>
      </c>
      <c r="M5" s="17"/>
      <c r="N5" s="17">
        <f>N6*(-1)</f>
        <v>0</v>
      </c>
      <c r="O5" s="17"/>
      <c r="P5" s="17"/>
      <c r="R5" s="32"/>
    </row>
    <row r="6" spans="1:18">
      <c r="A6" s="16" t="s">
        <v>495</v>
      </c>
      <c r="B6" s="17" t="s">
        <v>210</v>
      </c>
      <c r="C6" s="17">
        <f>'lokale energieproductie'!O39+'lokale energieproductie'!O32</f>
        <v>0</v>
      </c>
      <c r="D6" s="309">
        <f>('lokale energieproductie'!P32+'lokale energieproductie'!P39)*(-1)</f>
        <v>0</v>
      </c>
      <c r="E6" s="249"/>
      <c r="F6" s="309">
        <f>('lokale energieproductie'!S32+'lokale energieproductie'!S39)*(-1)</f>
        <v>0</v>
      </c>
      <c r="G6" s="250"/>
      <c r="H6" s="249"/>
      <c r="I6" s="249"/>
      <c r="J6" s="249"/>
      <c r="K6" s="249"/>
      <c r="L6" s="309">
        <f>('lokale energieproductie'!T32+'lokale energieproductie'!U32+'lokale energieproductie'!T39+'lokale energieproductie'!U39)*(-1)</f>
        <v>0</v>
      </c>
      <c r="M6" s="249"/>
      <c r="N6" s="309">
        <f>('lokale energieproductie'!V32+'lokale energieproductie'!R32+'lokale energieproductie'!Q32+'lokale energieproductie'!Q39+'lokale energieproductie'!R39+'lokale energieproductie'!V39)*(-1)</f>
        <v>0</v>
      </c>
      <c r="O6" s="249"/>
      <c r="P6" s="249"/>
      <c r="R6" s="32"/>
    </row>
    <row r="7" spans="1:18">
      <c r="A7" s="32"/>
      <c r="B7" s="29"/>
      <c r="C7" s="29"/>
      <c r="D7" s="251"/>
      <c r="E7" s="29"/>
      <c r="F7" s="29"/>
      <c r="G7" s="28"/>
      <c r="H7" s="29"/>
      <c r="I7" s="29"/>
      <c r="J7" s="29"/>
      <c r="K7" s="29"/>
      <c r="L7" s="29"/>
      <c r="M7" s="29"/>
      <c r="N7" s="29"/>
      <c r="O7" s="29"/>
      <c r="P7" s="29"/>
      <c r="R7" s="32"/>
    </row>
    <row r="8" spans="1:18">
      <c r="A8" s="20" t="s">
        <v>272</v>
      </c>
      <c r="B8" s="21">
        <f>B5</f>
        <v>2910.3110000000001</v>
      </c>
      <c r="C8" s="21">
        <f>C5+C6</f>
        <v>0</v>
      </c>
      <c r="D8" s="21">
        <f>MAX((D5+D6),0)</f>
        <v>9.3663680000000014</v>
      </c>
      <c r="E8" s="21">
        <f>MAX((E5+E6),0)</f>
        <v>30.47740684863793</v>
      </c>
      <c r="F8" s="21">
        <f>MAX((F5+F6),0)</f>
        <v>12458.342446711473</v>
      </c>
      <c r="G8" s="21"/>
      <c r="H8" s="21"/>
      <c r="I8" s="21"/>
      <c r="J8" s="21">
        <f>MAX((J5+J6),0)</f>
        <v>259.91685786250378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0.20375304547488254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592.98472952905092</v>
      </c>
      <c r="C12" s="23">
        <f ca="1">C8*C10</f>
        <v>0</v>
      </c>
      <c r="D12" s="23">
        <f>D8*D10</f>
        <v>1.8920063360000003</v>
      </c>
      <c r="E12" s="23">
        <f>E8*E10</f>
        <v>6.9183713546408105</v>
      </c>
      <c r="F12" s="23">
        <f>F8*F10</f>
        <v>3326.3774332719636</v>
      </c>
      <c r="G12" s="23"/>
      <c r="H12" s="23"/>
      <c r="I12" s="23"/>
      <c r="J12" s="23">
        <f>J8*J10</f>
        <v>92.010567683326329</v>
      </c>
      <c r="K12" s="23"/>
      <c r="L12" s="23">
        <f>L8*L10</f>
        <v>0</v>
      </c>
      <c r="M12" s="23">
        <f>M8*M10</f>
        <v>0</v>
      </c>
      <c r="N12" s="23">
        <f>N8*N10</f>
        <v>0</v>
      </c>
      <c r="O12" s="23"/>
      <c r="P12" s="23"/>
    </row>
    <row r="14" spans="1:18">
      <c r="A14" s="194" t="s">
        <v>501</v>
      </c>
      <c r="B14" s="204"/>
      <c r="C14" s="226"/>
    </row>
    <row r="15" spans="1:18">
      <c r="A15" s="237"/>
      <c r="B15" s="32"/>
      <c r="C15" s="238"/>
    </row>
    <row r="16" spans="1:18">
      <c r="A16" s="256"/>
      <c r="B16" s="42" t="s">
        <v>291</v>
      </c>
      <c r="C16" s="240" t="s">
        <v>181</v>
      </c>
    </row>
    <row r="17" spans="1:4">
      <c r="A17" s="257" t="s">
        <v>111</v>
      </c>
      <c r="B17" s="255">
        <f>IF(ISERROR(SUM(LB_lb_ele_kWh,LB_rest_ele_kWh)*3.6/1000000000/'E Balans VL '!Z26*100),0,SUM(LB_lb_ele_kWh,LB_rest_ele_kWh)*3.6/1000000000/'E Balans VL '!Z26*100)</f>
        <v>0.44795304228416233</v>
      </c>
      <c r="C17" s="238" t="s">
        <v>718</v>
      </c>
      <c r="D17" s="253"/>
    </row>
    <row r="18" spans="1:4">
      <c r="A18" s="241"/>
      <c r="B18" s="254"/>
      <c r="C18" s="242"/>
    </row>
    <row r="19" spans="1:4">
      <c r="A19" s="32"/>
      <c r="B19" s="48"/>
      <c r="C19" s="32"/>
    </row>
    <row r="20" spans="1:4">
      <c r="A20" s="32"/>
      <c r="B20" s="48"/>
      <c r="C20" s="32"/>
    </row>
    <row r="21" spans="1:4" ht="15.75" thickBot="1">
      <c r="B21" s="32"/>
    </row>
    <row r="22" spans="1:4" ht="15.75" customHeight="1">
      <c r="A22" s="1202" t="s">
        <v>302</v>
      </c>
      <c r="B22" s="1205" t="s">
        <v>303</v>
      </c>
      <c r="C22" s="1205" t="s">
        <v>500</v>
      </c>
    </row>
    <row r="23" spans="1:4">
      <c r="A23" s="1203"/>
      <c r="B23" s="1206"/>
      <c r="C23" s="1206"/>
    </row>
    <row r="24" spans="1:4" ht="15.75" thickBot="1">
      <c r="A24" s="1204"/>
      <c r="B24" s="1207"/>
      <c r="C24" s="1207"/>
    </row>
    <row r="25" spans="1:4" ht="15.75">
      <c r="A25" s="13"/>
      <c r="B25" s="32"/>
    </row>
    <row r="26" spans="1:4">
      <c r="A26" s="41" t="s">
        <v>273</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191.010141079341</v>
      </c>
      <c r="C26" s="248">
        <f>B26*'GWP N2O_CH4'!B5</f>
        <v>4011.2129626661608</v>
      </c>
      <c r="D26" s="50"/>
    </row>
    <row r="27" spans="1:4">
      <c r="A27" s="41" t="s">
        <v>274</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42.830246662125177</v>
      </c>
      <c r="C27" s="248">
        <f>B27*'GWP N2O_CH4'!B5</f>
        <v>899.43517990462874</v>
      </c>
      <c r="D27" s="50"/>
    </row>
    <row r="28" spans="1:4">
      <c r="A28" s="41" t="s">
        <v>275</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6.0236084921172859</v>
      </c>
      <c r="C28" s="248">
        <f>B28*'GWP N2O_CH4'!B4</f>
        <v>1867.3186325563586</v>
      </c>
      <c r="D28" s="50"/>
    </row>
    <row r="29" spans="1:4">
      <c r="A29" s="41" t="s">
        <v>276</v>
      </c>
      <c r="B29" s="248">
        <f>B34*'ha_N2O bodem landbouw'!B4</f>
        <v>20.252387385435686</v>
      </c>
      <c r="C29" s="248">
        <f>B29*'GWP N2O_CH4'!B4</f>
        <v>6278.2400894850625</v>
      </c>
      <c r="D29" s="50"/>
    </row>
    <row r="31" spans="1:4">
      <c r="A31" s="194" t="s">
        <v>502</v>
      </c>
      <c r="B31" s="204"/>
      <c r="C31" s="226"/>
    </row>
    <row r="32" spans="1:4">
      <c r="A32" s="237"/>
      <c r="B32" s="32"/>
      <c r="C32" s="238"/>
    </row>
    <row r="33" spans="1:5">
      <c r="A33" s="239"/>
      <c r="B33" s="225" t="s">
        <v>635</v>
      </c>
      <c r="C33" s="240" t="s">
        <v>181</v>
      </c>
    </row>
    <row r="34" spans="1:5">
      <c r="A34" s="258" t="s">
        <v>111</v>
      </c>
      <c r="B34" s="35">
        <f>IF(ISERROR(aantalCultuurgronden/'ha_N2O bodem landbouw'!B5),0,aantalCultuurgronden/'ha_N2O bodem landbouw'!B5)</f>
        <v>3.3469730041573243E-3</v>
      </c>
      <c r="C34" s="259" t="s">
        <v>634</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 zoomScale="85" zoomScaleNormal="85" workbookViewId="0">
      <selection activeCell="M25" sqref="M2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5" customFormat="1" ht="17.25" thickTop="1" thickBot="1">
      <c r="A1" s="1194" t="s">
        <v>504</v>
      </c>
      <c r="B1" s="1195" t="s">
        <v>557</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5"/>
    </row>
    <row r="5" spans="1:18" s="8" customFormat="1">
      <c r="A5" s="286" t="s">
        <v>328</v>
      </c>
      <c r="B5" s="428">
        <f>SUM(B6:B11)</f>
        <v>7.52622505617465E-7</v>
      </c>
      <c r="C5" s="443" t="s">
        <v>210</v>
      </c>
      <c r="D5" s="428">
        <f>SUM(D6:D11)</f>
        <v>5.4143375709190923E-6</v>
      </c>
      <c r="E5" s="428">
        <f>SUM(E6:E11)</f>
        <v>5.3084485791565186E-4</v>
      </c>
      <c r="F5" s="441" t="s">
        <v>210</v>
      </c>
      <c r="G5" s="428">
        <f>SUM(G6:G11)</f>
        <v>8.2914615154116647E-2</v>
      </c>
      <c r="H5" s="428">
        <f>SUM(H6:H11)</f>
        <v>1.8066248967886639E-2</v>
      </c>
      <c r="I5" s="443" t="s">
        <v>210</v>
      </c>
      <c r="J5" s="443" t="s">
        <v>210</v>
      </c>
      <c r="K5" s="443" t="s">
        <v>210</v>
      </c>
      <c r="L5" s="443" t="s">
        <v>210</v>
      </c>
      <c r="M5" s="428">
        <f>SUM(M6:M11)</f>
        <v>4.403393776101011E-3</v>
      </c>
      <c r="N5" s="443" t="s">
        <v>210</v>
      </c>
      <c r="O5" s="443" t="s">
        <v>210</v>
      </c>
      <c r="P5" s="444" t="s">
        <v>210</v>
      </c>
    </row>
    <row r="6" spans="1:18">
      <c r="A6" s="263" t="s">
        <v>772</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1.9053549154071001E-7</v>
      </c>
      <c r="C6" s="429"/>
      <c r="D6" s="429">
        <f>vkm_GW_PW*SUMIFS(TableVerdeelsleutelVkm[CNG],TableVerdeelsleutelVkm[Voertuigtype],"Lichte voertuigen")*SUMIFS(TableECFTransport[EnergieConsumptieFactor (PJ per km)],TableECFTransport[Index],CONCATENATE($A6,"_CNG_CNG"))</f>
        <v>9.0375846939192357E-7</v>
      </c>
      <c r="E6" s="431">
        <f>vkm_GW_PW*SUMIFS(TableVerdeelsleutelVkm[LPG],TableVerdeelsleutelVkm[Voertuigtype],"Lichte voertuigen")*SUMIFS(TableECFTransport[EnergieConsumptieFactor (PJ per km)],TableECFTransport[Index],CONCATENATE($A6,"_LPG_LPG"))</f>
        <v>9.3520148976771294E-5</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1.2667076293016473E-2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3.1539602900043815E-3</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6.908484816030814E-4</v>
      </c>
      <c r="N6" s="429"/>
      <c r="O6" s="429"/>
      <c r="P6" s="430"/>
    </row>
    <row r="7" spans="1:18">
      <c r="A7" s="263" t="s">
        <v>774</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3.7081940029450294E-3</v>
      </c>
      <c r="H7" s="42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1.0298513108785708E-7</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1.5975065866812501E-4</v>
      </c>
      <c r="N7" s="429"/>
      <c r="O7" s="429"/>
      <c r="P7" s="430"/>
    </row>
    <row r="8" spans="1:18">
      <c r="A8" s="263" t="s">
        <v>775</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5.6208701407675505E-7</v>
      </c>
      <c r="C8" s="429"/>
      <c r="D8" s="431">
        <f>vkm_NGW_PW*SUMIFS(TableVerdeelsleutelVkm[CNG],TableVerdeelsleutelVkm[Voertuigtype],"Lichte voertuigen")*SUMIFS(TableECFTransport[EnergieConsumptieFactor (PJ per km)],TableECFTransport[Index],CONCATENATE($A8,"_CNG_CNG"))</f>
        <v>4.5105791015271687E-6</v>
      </c>
      <c r="E8" s="431">
        <f>vkm_NGW_PW*SUMIFS(TableVerdeelsleutelVkm[LPG],TableVerdeelsleutelVkm[Voertuigtype],"Lichte voertuigen")*SUMIFS(TableECFTransport[EnergieConsumptieFactor (PJ per km)],TableECFTransport[Index],CONCATENATE($A8,"_LPG_LPG"))</f>
        <v>4.3732470893888058E-4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5.6775104528438751E-2</v>
      </c>
      <c r="H8" s="42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1.4911859182169371E-2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3.1321442419029954E-3</v>
      </c>
      <c r="N8" s="429"/>
      <c r="O8" s="429"/>
      <c r="P8" s="430"/>
    </row>
    <row r="9" spans="1:18">
      <c r="A9" s="263" t="s">
        <v>776</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9.7642403297163866E-3</v>
      </c>
      <c r="H9" s="42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3.2651058179899953E-7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4.2065039392680909E-4</v>
      </c>
      <c r="N9" s="429"/>
      <c r="O9" s="429"/>
      <c r="P9" s="430"/>
    </row>
    <row r="10" spans="1:18">
      <c r="A10" s="263" t="s">
        <v>777</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9"/>
      <c r="D10" s="431">
        <f>vkm_SW_PW*SUMIFS(TableVerdeelsleutelVkm[CNG],TableVerdeelsleutelVkm[Voertuigtype],"Lichte voertuigen")*SUMIFS(TableECFTransport[EnergieConsumptieFactor (PJ per km)],TableECFTransport[Index],CONCATENATE($A10,"_CNG_CNG"))</f>
        <v>0</v>
      </c>
      <c r="E10" s="431">
        <f>vkm_SW_PW*SUMIFS(TableVerdeelsleutelVkm[LPG],TableVerdeelsleutelVkm[Voertuigtype],"Lichte voertuigen")*SUMIFS(TableECFTransport[EnergieConsumptieFactor (PJ per km)],TableECFTransport[Index],CONCATENATE($A10,"_LPG_LPG"))</f>
        <v>0</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42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9"/>
      <c r="O10" s="429"/>
      <c r="P10" s="430"/>
    </row>
    <row r="11" spans="1:18">
      <c r="A11" s="4" t="s">
        <v>778</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43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2"/>
      <c r="O11" s="432"/>
      <c r="P11" s="434"/>
    </row>
    <row r="12" spans="1:18">
      <c r="A12" s="330" t="s">
        <v>555</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1"/>
      <c r="C13" s="55"/>
      <c r="D13" s="55"/>
      <c r="E13" s="55"/>
      <c r="F13" s="55"/>
      <c r="G13" s="11"/>
      <c r="H13" s="11"/>
      <c r="I13" s="10"/>
      <c r="J13" s="11"/>
      <c r="K13" s="11"/>
      <c r="L13" s="11"/>
      <c r="M13" s="11"/>
      <c r="N13" s="11"/>
      <c r="O13" s="11"/>
      <c r="P13" s="11"/>
    </row>
    <row r="14" spans="1:18" s="15" customFormat="1">
      <c r="A14" s="20" t="s">
        <v>337</v>
      </c>
      <c r="B14" s="21">
        <f>((B5)*10^9/3600)+B12</f>
        <v>0.20906180711596251</v>
      </c>
      <c r="C14" s="21"/>
      <c r="D14" s="21">
        <f t="shared" ref="D14:M14" si="0">((D5)*10^9/3600)+D12</f>
        <v>1.5039826585886367</v>
      </c>
      <c r="E14" s="21">
        <f t="shared" si="0"/>
        <v>147.45690497656997</v>
      </c>
      <c r="F14" s="21"/>
      <c r="G14" s="21">
        <f t="shared" si="0"/>
        <v>23031.837542810179</v>
      </c>
      <c r="H14" s="21">
        <f t="shared" si="0"/>
        <v>5018.4024910796215</v>
      </c>
      <c r="I14" s="21"/>
      <c r="J14" s="21"/>
      <c r="K14" s="21"/>
      <c r="L14" s="21"/>
      <c r="M14" s="21">
        <f t="shared" si="0"/>
        <v>1223.1649378058364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0.20375304547488254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4.2596979892359832E-2</v>
      </c>
      <c r="C18" s="23"/>
      <c r="D18" s="23">
        <f t="shared" ref="D18:M18" si="1">D14*D16</f>
        <v>0.30380449703490464</v>
      </c>
      <c r="E18" s="23">
        <f t="shared" si="1"/>
        <v>33.472717429681381</v>
      </c>
      <c r="F18" s="23"/>
      <c r="G18" s="23">
        <f t="shared" si="1"/>
        <v>6149.5006239303184</v>
      </c>
      <c r="H18" s="23">
        <f t="shared" si="1"/>
        <v>1249.5822202788258</v>
      </c>
      <c r="I18" s="23"/>
      <c r="J18" s="23"/>
      <c r="K18" s="23"/>
      <c r="L18" s="23"/>
      <c r="M18" s="23">
        <f t="shared" si="1"/>
        <v>0</v>
      </c>
      <c r="N18" s="23"/>
      <c r="O18" s="23"/>
      <c r="P18" s="23"/>
    </row>
    <row r="19" spans="1:18" s="15" customFormat="1">
      <c r="A19" s="42"/>
      <c r="B19" s="310"/>
      <c r="C19" s="54"/>
      <c r="D19" s="54"/>
      <c r="E19" s="54"/>
      <c r="F19" s="54"/>
      <c r="G19" s="54"/>
      <c r="H19" s="54"/>
      <c r="I19" s="54"/>
      <c r="J19" s="54"/>
      <c r="K19" s="54"/>
      <c r="L19" s="54"/>
      <c r="M19" s="54"/>
      <c r="N19" s="54"/>
      <c r="O19" s="54"/>
      <c r="P19" s="54"/>
      <c r="R19" s="32"/>
    </row>
    <row r="20" spans="1:18">
      <c r="A20" s="1"/>
      <c r="B20" s="1"/>
      <c r="E20" s="767"/>
    </row>
    <row r="21" spans="1:18">
      <c r="A21" s="890" t="s">
        <v>506</v>
      </c>
      <c r="B21" s="891"/>
      <c r="C21" s="892"/>
      <c r="D21" s="892"/>
      <c r="E21" s="892"/>
      <c r="F21" s="892"/>
      <c r="G21" s="892"/>
      <c r="H21" s="892"/>
      <c r="I21" s="892"/>
      <c r="J21" s="892"/>
      <c r="K21" s="892"/>
      <c r="L21" s="892"/>
      <c r="M21" s="892"/>
      <c r="N21" s="893"/>
    </row>
    <row r="22" spans="1:18">
      <c r="A22" s="261"/>
      <c r="B22" s="262"/>
      <c r="C22" s="43"/>
      <c r="D22" s="43"/>
      <c r="E22" s="43"/>
      <c r="F22" s="43"/>
      <c r="G22" s="43"/>
      <c r="H22" s="43"/>
      <c r="I22" s="43"/>
      <c r="J22" s="43"/>
      <c r="K22" s="43"/>
      <c r="L22" s="43"/>
      <c r="M22" s="43"/>
      <c r="N22" s="175"/>
    </row>
    <row r="23" spans="1:18">
      <c r="A23" s="268" t="s">
        <v>307</v>
      </c>
      <c r="B23" s="894" t="s">
        <v>308</v>
      </c>
      <c r="C23" s="894" t="s">
        <v>782</v>
      </c>
      <c r="D23" s="894" t="s">
        <v>783</v>
      </c>
      <c r="E23" s="894" t="s">
        <v>784</v>
      </c>
      <c r="F23" s="894" t="s">
        <v>729</v>
      </c>
      <c r="G23" s="894" t="s">
        <v>785</v>
      </c>
      <c r="H23" s="894" t="s">
        <v>786</v>
      </c>
      <c r="I23" s="894" t="s">
        <v>118</v>
      </c>
      <c r="J23" s="894" t="s">
        <v>787</v>
      </c>
      <c r="K23" s="894" t="s">
        <v>788</v>
      </c>
      <c r="L23" s="895" t="s">
        <v>789</v>
      </c>
      <c r="M23" s="129" t="s">
        <v>181</v>
      </c>
      <c r="N23" s="269" t="s">
        <v>315</v>
      </c>
    </row>
    <row r="24" spans="1:18" ht="17.45" customHeight="1">
      <c r="A24" s="32" t="s">
        <v>771</v>
      </c>
      <c r="B24" s="1039">
        <v>4.6591000000000002E-5</v>
      </c>
      <c r="C24" s="1039">
        <v>0.79553712099999996</v>
      </c>
      <c r="D24" s="1040"/>
      <c r="E24" s="1039"/>
      <c r="F24" s="1039"/>
      <c r="G24" s="1039">
        <v>2.96613E-5</v>
      </c>
      <c r="H24" s="1040"/>
      <c r="I24" s="1040">
        <v>5.4874269999999996E-3</v>
      </c>
      <c r="J24" s="1040">
        <v>0.197922402</v>
      </c>
      <c r="K24" s="1040">
        <v>1.0064589999999999E-3</v>
      </c>
      <c r="L24" s="1038"/>
      <c r="M24" s="1046" t="s">
        <v>950</v>
      </c>
      <c r="N24" s="271">
        <f>SUM(B24:K24)</f>
        <v>1.0000296613000001</v>
      </c>
    </row>
    <row r="25" spans="1:18">
      <c r="A25" s="32" t="s">
        <v>773</v>
      </c>
      <c r="B25" s="1040"/>
      <c r="C25" s="1039">
        <v>0.99995818599999997</v>
      </c>
      <c r="D25" s="1040"/>
      <c r="E25" s="1040"/>
      <c r="F25" s="1039"/>
      <c r="G25" s="1040"/>
      <c r="H25" s="1040"/>
      <c r="I25" s="1040"/>
      <c r="J25" s="1040">
        <v>4.1814000000000003E-5</v>
      </c>
      <c r="K25" s="1040"/>
      <c r="L25" s="1038"/>
      <c r="M25" s="1046" t="s">
        <v>950</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507</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27" t="s">
        <v>201</v>
      </c>
      <c r="B30" s="275" t="s">
        <v>317</v>
      </c>
      <c r="C30" s="878">
        <v>2011</v>
      </c>
      <c r="D30" s="275" t="s">
        <v>318</v>
      </c>
      <c r="E30" s="244" t="s">
        <v>181</v>
      </c>
      <c r="F30" s="272"/>
      <c r="G30" s="244"/>
      <c r="H30" s="244"/>
      <c r="I30" s="244"/>
      <c r="J30" s="244"/>
      <c r="K30" s="244"/>
      <c r="L30" s="273"/>
    </row>
    <row r="31" spans="1:18">
      <c r="A31" s="276" t="s">
        <v>319</v>
      </c>
      <c r="B31" s="277"/>
      <c r="F31" s="53"/>
      <c r="G31" s="43"/>
      <c r="H31" s="43"/>
      <c r="I31" s="43"/>
      <c r="J31" s="43"/>
      <c r="K31" s="43"/>
      <c r="L31" s="175"/>
    </row>
    <row r="32" spans="1:18">
      <c r="A32" s="278" t="s">
        <v>320</v>
      </c>
      <c r="B32" s="279"/>
      <c r="F32" s="53"/>
      <c r="G32" s="43"/>
      <c r="H32" s="43"/>
      <c r="I32" s="43"/>
      <c r="J32" s="43"/>
      <c r="K32" s="43"/>
      <c r="L32" s="175"/>
    </row>
    <row r="33" spans="1:16">
      <c r="A33" s="278" t="s">
        <v>321</v>
      </c>
      <c r="B33" s="280"/>
      <c r="F33" s="53"/>
      <c r="G33" s="43"/>
      <c r="H33" s="43"/>
      <c r="I33" s="43"/>
      <c r="J33" s="43"/>
      <c r="K33" s="43"/>
      <c r="L33" s="175"/>
    </row>
    <row r="34" spans="1:16">
      <c r="A34" s="278" t="s">
        <v>322</v>
      </c>
      <c r="B34" s="280"/>
      <c r="F34" s="53"/>
      <c r="G34" s="43"/>
      <c r="H34" s="43"/>
      <c r="I34" s="43"/>
      <c r="J34" s="43"/>
      <c r="K34" s="43"/>
      <c r="L34" s="175"/>
    </row>
    <row r="35" spans="1:16">
      <c r="A35" s="278" t="s">
        <v>323</v>
      </c>
      <c r="B35" s="280"/>
      <c r="C35" s="282">
        <v>4.1300000000000003E-2</v>
      </c>
      <c r="D35" s="58"/>
      <c r="E35" s="1051" t="s">
        <v>952</v>
      </c>
      <c r="F35" s="53"/>
      <c r="G35" s="43"/>
      <c r="H35" s="43"/>
      <c r="I35" s="43"/>
      <c r="J35" s="43"/>
      <c r="K35" s="43"/>
      <c r="L35" s="175"/>
    </row>
    <row r="36" spans="1:16">
      <c r="A36" s="263"/>
      <c r="B36" s="43"/>
      <c r="C36" s="43"/>
      <c r="D36" s="43"/>
      <c r="E36" s="156"/>
      <c r="F36" s="53"/>
      <c r="G36" s="43"/>
      <c r="H36" s="43"/>
      <c r="I36" s="43"/>
      <c r="J36" s="43"/>
      <c r="K36" s="43"/>
      <c r="L36" s="175"/>
    </row>
    <row r="37" spans="1:16">
      <c r="A37" s="427" t="s">
        <v>119</v>
      </c>
      <c r="B37" s="275" t="s">
        <v>317</v>
      </c>
      <c r="C37" s="878">
        <v>2011</v>
      </c>
      <c r="D37" s="275" t="s">
        <v>318</v>
      </c>
      <c r="E37" s="889" t="s">
        <v>181</v>
      </c>
      <c r="F37" s="285"/>
      <c r="G37" s="268"/>
      <c r="H37" s="268"/>
      <c r="I37" s="268"/>
      <c r="J37" s="268"/>
      <c r="K37" s="268"/>
      <c r="L37" s="269"/>
    </row>
    <row r="38" spans="1:16">
      <c r="A38" s="278" t="s">
        <v>324</v>
      </c>
      <c r="B38" s="279"/>
      <c r="F38" s="281"/>
      <c r="G38" s="58"/>
      <c r="H38" s="58"/>
      <c r="I38" s="58"/>
      <c r="J38" s="58"/>
      <c r="K38" s="58"/>
      <c r="L38" s="283"/>
    </row>
    <row r="39" spans="1:16">
      <c r="A39" s="278" t="s">
        <v>325</v>
      </c>
      <c r="B39" s="279"/>
      <c r="F39" s="281"/>
      <c r="G39" s="58"/>
      <c r="H39" s="58"/>
      <c r="I39" s="58"/>
      <c r="J39" s="58"/>
      <c r="K39" s="58"/>
      <c r="L39" s="283"/>
    </row>
    <row r="40" spans="1:16">
      <c r="A40" s="278" t="s">
        <v>321</v>
      </c>
      <c r="B40" s="280"/>
      <c r="F40" s="58"/>
      <c r="G40" s="58"/>
      <c r="H40" s="58"/>
      <c r="I40" s="58"/>
      <c r="J40" s="58"/>
      <c r="K40" s="58"/>
      <c r="L40" s="283"/>
    </row>
    <row r="41" spans="1:16">
      <c r="A41" s="278" t="s">
        <v>326</v>
      </c>
      <c r="B41" s="280"/>
      <c r="F41" s="58"/>
      <c r="G41" s="58"/>
      <c r="H41" s="58"/>
      <c r="I41" s="58"/>
      <c r="J41" s="58"/>
      <c r="K41" s="58"/>
      <c r="L41" s="283"/>
    </row>
    <row r="42" spans="1:16">
      <c r="A42" s="278" t="s">
        <v>323</v>
      </c>
      <c r="B42" s="280"/>
      <c r="C42" s="282">
        <v>4.3999999999999997E-2</v>
      </c>
      <c r="D42" s="281"/>
      <c r="E42" t="str">
        <f>E35</f>
        <v>Data VMM maart 2020</v>
      </c>
      <c r="F42" s="58"/>
      <c r="G42" s="284"/>
      <c r="H42" s="58"/>
      <c r="I42" s="58"/>
      <c r="J42" s="58"/>
      <c r="K42" s="58"/>
      <c r="L42" s="283"/>
    </row>
    <row r="43" spans="1:16">
      <c r="A43" s="4"/>
      <c r="B43" s="179"/>
      <c r="C43" s="877"/>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208" t="s">
        <v>505</v>
      </c>
      <c r="B46" s="1209" t="s">
        <v>556</v>
      </c>
      <c r="C46" s="1210"/>
      <c r="D46" s="1210"/>
      <c r="E46" s="1210"/>
      <c r="F46" s="1210"/>
      <c r="G46" s="1210"/>
      <c r="H46" s="1210"/>
      <c r="I46" s="1210"/>
      <c r="J46" s="1210"/>
      <c r="K46" s="1210"/>
      <c r="L46" s="1210"/>
      <c r="M46" s="1210"/>
      <c r="N46" s="1210"/>
      <c r="O46" s="1210"/>
      <c r="P46" s="1210"/>
    </row>
    <row r="47" spans="1:16" s="15" customFormat="1" ht="15.75" thickTop="1">
      <c r="A47" s="1208"/>
      <c r="B47" s="1211" t="s">
        <v>20</v>
      </c>
      <c r="C47" s="1211" t="s">
        <v>195</v>
      </c>
      <c r="D47" s="1213" t="s">
        <v>196</v>
      </c>
      <c r="E47" s="1214"/>
      <c r="F47" s="1214"/>
      <c r="G47" s="1214"/>
      <c r="H47" s="1214"/>
      <c r="I47" s="1214"/>
      <c r="J47" s="1214"/>
      <c r="K47" s="1215"/>
      <c r="L47" s="1213" t="s">
        <v>197</v>
      </c>
      <c r="M47" s="1214"/>
      <c r="N47" s="1214"/>
      <c r="O47" s="1214"/>
      <c r="P47" s="1215"/>
    </row>
    <row r="48" spans="1:16" s="15" customFormat="1" ht="45">
      <c r="A48" s="1208"/>
      <c r="B48" s="1212"/>
      <c r="C48" s="121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8" customFormat="1">
      <c r="A50" s="297" t="s">
        <v>331</v>
      </c>
      <c r="B50" s="320">
        <f>SUM(B51:B52)</f>
        <v>0</v>
      </c>
      <c r="C50" s="320">
        <f t="shared" ref="C50:P50" si="2">SUM(C51:C52)</f>
        <v>0</v>
      </c>
      <c r="D50" s="320">
        <f t="shared" si="2"/>
        <v>0</v>
      </c>
      <c r="E50" s="320">
        <f t="shared" si="2"/>
        <v>0</v>
      </c>
      <c r="F50" s="320">
        <f t="shared" si="2"/>
        <v>0</v>
      </c>
      <c r="G50" s="320">
        <f t="shared" si="2"/>
        <v>2.1064793482355989E-3</v>
      </c>
      <c r="H50" s="320">
        <f t="shared" si="2"/>
        <v>0</v>
      </c>
      <c r="I50" s="320">
        <f t="shared" si="2"/>
        <v>0</v>
      </c>
      <c r="J50" s="320">
        <f t="shared" si="2"/>
        <v>0</v>
      </c>
      <c r="K50" s="320">
        <f t="shared" si="2"/>
        <v>0</v>
      </c>
      <c r="L50" s="320">
        <f t="shared" si="2"/>
        <v>0</v>
      </c>
      <c r="M50" s="320">
        <f t="shared" si="2"/>
        <v>8.9575247311124645E-5</v>
      </c>
      <c r="N50" s="320">
        <f t="shared" si="2"/>
        <v>0</v>
      </c>
      <c r="O50" s="320">
        <f t="shared" si="2"/>
        <v>0</v>
      </c>
      <c r="P50" s="321">
        <f t="shared" si="2"/>
        <v>0</v>
      </c>
    </row>
    <row r="51" spans="1:18">
      <c r="A51" s="263" t="s">
        <v>330</v>
      </c>
      <c r="B51" s="322"/>
      <c r="C51" s="323"/>
      <c r="D51" s="323"/>
      <c r="E51" s="323"/>
      <c r="F51" s="323"/>
      <c r="G51" s="322">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2.1064793482355989E-3</v>
      </c>
      <c r="H51" s="322"/>
      <c r="I51" s="324"/>
      <c r="J51" s="322"/>
      <c r="K51" s="322"/>
      <c r="L51" s="322"/>
      <c r="M51" s="322">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8.9575247311124645E-5</v>
      </c>
      <c r="N51" s="322"/>
      <c r="O51" s="322"/>
      <c r="P51" s="325"/>
    </row>
    <row r="52" spans="1:18">
      <c r="A52" s="4" t="s">
        <v>329</v>
      </c>
      <c r="B52" s="326">
        <f>vkm_tram*SUMIFS(TableECFTransport[EnergieConsumptieFactor (PJ per km)],TableECFTransport[Index],"Tram_gemiddeld_Electric_Electric")</f>
        <v>0</v>
      </c>
      <c r="C52" s="327"/>
      <c r="D52" s="327"/>
      <c r="E52" s="327"/>
      <c r="F52" s="327"/>
      <c r="G52" s="326"/>
      <c r="H52" s="326"/>
      <c r="I52" s="328"/>
      <c r="J52" s="326"/>
      <c r="K52" s="326"/>
      <c r="L52" s="326"/>
      <c r="M52" s="326"/>
      <c r="N52" s="326"/>
      <c r="O52" s="326"/>
      <c r="P52" s="329"/>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585.13315228766635</v>
      </c>
      <c r="H54" s="21">
        <f t="shared" si="3"/>
        <v>0</v>
      </c>
      <c r="I54" s="21">
        <f t="shared" si="3"/>
        <v>0</v>
      </c>
      <c r="J54" s="21">
        <f t="shared" si="3"/>
        <v>0</v>
      </c>
      <c r="K54" s="21">
        <f t="shared" si="3"/>
        <v>0</v>
      </c>
      <c r="L54" s="21">
        <f t="shared" si="3"/>
        <v>0</v>
      </c>
      <c r="M54" s="21">
        <f t="shared" si="3"/>
        <v>24.882013141979069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0.20375304547488254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156.23055166080692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570</v>
      </c>
      <c r="B61" s="265"/>
      <c r="C61" s="266"/>
    </row>
    <row r="62" spans="1:18" s="15" customFormat="1">
      <c r="A62" s="293"/>
      <c r="B62" s="289"/>
      <c r="C62" s="294"/>
    </row>
    <row r="63" spans="1:18">
      <c r="A63" s="295"/>
      <c r="B63" s="133"/>
      <c r="C63" s="296" t="s">
        <v>181</v>
      </c>
    </row>
    <row r="64" spans="1:18">
      <c r="A64" s="287" t="s">
        <v>201</v>
      </c>
      <c r="B64" s="290">
        <f>100%-B65</f>
        <v>0.98</v>
      </c>
      <c r="C64" s="175"/>
    </row>
    <row r="65" spans="1:12">
      <c r="A65" s="287" t="s">
        <v>332</v>
      </c>
      <c r="B65" s="299">
        <v>0.02</v>
      </c>
      <c r="C65" s="175" t="s">
        <v>648</v>
      </c>
    </row>
    <row r="66" spans="1:12" s="15" customFormat="1">
      <c r="A66" s="288"/>
      <c r="B66" s="270"/>
      <c r="C66" s="233"/>
    </row>
    <row r="67" spans="1:12">
      <c r="A67" s="291" t="s">
        <v>315</v>
      </c>
      <c r="B67" s="292">
        <f>SUM(B64:B65)</f>
        <v>1</v>
      </c>
      <c r="C67" s="177"/>
    </row>
    <row r="70" spans="1:12">
      <c r="A70" s="264" t="s">
        <v>507</v>
      </c>
      <c r="B70" s="265"/>
      <c r="C70" s="265"/>
      <c r="D70" s="265"/>
      <c r="E70" s="265"/>
      <c r="F70" s="265"/>
      <c r="G70" s="265"/>
      <c r="H70" s="265"/>
      <c r="I70" s="265"/>
      <c r="J70" s="265"/>
      <c r="K70" s="265"/>
      <c r="L70" s="266"/>
    </row>
    <row r="71" spans="1:12">
      <c r="A71" s="425" t="s">
        <v>571</v>
      </c>
    </row>
    <row r="72" spans="1:12">
      <c r="A72" s="263"/>
      <c r="B72" s="267"/>
      <c r="C72" s="267"/>
      <c r="D72" s="267"/>
      <c r="E72" s="267"/>
    </row>
    <row r="73" spans="1:12">
      <c r="A73" s="274"/>
      <c r="B73" s="275" t="s">
        <v>317</v>
      </c>
      <c r="C73" s="878">
        <v>2011</v>
      </c>
      <c r="D73" s="275" t="s">
        <v>318</v>
      </c>
      <c r="E73" s="244"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4.1300000000000003E-2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1" customWidth="1"/>
    <col min="2" max="2" width="22.85546875" style="45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1"/>
  </cols>
  <sheetData>
    <row r="2" spans="1:19" ht="15.75">
      <c r="A2" s="1136" t="s">
        <v>220</v>
      </c>
      <c r="B2" s="1136"/>
      <c r="C2" s="1136"/>
      <c r="D2" s="59"/>
      <c r="E2" s="59"/>
      <c r="F2" s="59"/>
      <c r="G2" s="59"/>
      <c r="H2" s="60"/>
      <c r="I2" s="60"/>
      <c r="J2" s="61"/>
      <c r="K2" s="61"/>
      <c r="L2" s="60"/>
      <c r="M2" s="60"/>
      <c r="N2" s="60"/>
      <c r="O2" s="60"/>
      <c r="P2" s="60"/>
      <c r="Q2" s="60"/>
      <c r="R2" s="60"/>
    </row>
    <row r="3" spans="1:19">
      <c r="A3" s="1137"/>
      <c r="B3" s="1137"/>
      <c r="C3" s="1137"/>
      <c r="D3" s="1137"/>
      <c r="E3" s="1137"/>
      <c r="F3" s="1137"/>
      <c r="G3" s="1137"/>
      <c r="H3" s="1137"/>
      <c r="I3" s="1137"/>
      <c r="J3" s="1137"/>
      <c r="K3" s="1137"/>
      <c r="L3" s="1137"/>
      <c r="M3" s="1137"/>
      <c r="N3" s="1137"/>
      <c r="O3" s="1137"/>
      <c r="P3" s="1137"/>
      <c r="Q3" s="1137"/>
      <c r="R3" s="1137"/>
    </row>
    <row r="4" spans="1:19" ht="15.75" thickBot="1">
      <c r="A4" s="452"/>
      <c r="B4" s="452"/>
      <c r="C4" s="63"/>
      <c r="D4" s="63"/>
      <c r="E4" s="63"/>
      <c r="F4" s="63"/>
      <c r="G4" s="63"/>
      <c r="H4" s="63"/>
      <c r="I4" s="63"/>
      <c r="J4" s="63"/>
      <c r="K4" s="63"/>
      <c r="L4" s="63"/>
      <c r="M4" s="63"/>
      <c r="N4" s="63"/>
      <c r="O4" s="63"/>
      <c r="P4" s="63"/>
      <c r="Q4" s="63"/>
      <c r="R4" s="63"/>
    </row>
    <row r="5" spans="1:19" ht="16.5" thickBot="1">
      <c r="A5" s="1138" t="s">
        <v>221</v>
      </c>
      <c r="B5" s="790"/>
      <c r="C5" s="1141" t="s">
        <v>342</v>
      </c>
      <c r="D5" s="1142"/>
      <c r="E5" s="1142"/>
      <c r="F5" s="1142"/>
      <c r="G5" s="1142"/>
      <c r="H5" s="1142"/>
      <c r="I5" s="1142"/>
      <c r="J5" s="1142"/>
      <c r="K5" s="1142"/>
      <c r="L5" s="1142"/>
      <c r="M5" s="1142"/>
      <c r="N5" s="1142"/>
      <c r="O5" s="1142"/>
      <c r="P5" s="1142"/>
      <c r="Q5" s="1142"/>
      <c r="R5" s="1143"/>
    </row>
    <row r="6" spans="1:19" ht="16.5" thickTop="1">
      <c r="A6" s="1139"/>
      <c r="B6" s="791"/>
      <c r="C6" s="1144" t="s">
        <v>20</v>
      </c>
      <c r="D6" s="1146" t="s">
        <v>195</v>
      </c>
      <c r="E6" s="1148" t="s">
        <v>196</v>
      </c>
      <c r="F6" s="1149"/>
      <c r="G6" s="1149"/>
      <c r="H6" s="1149"/>
      <c r="I6" s="1149"/>
      <c r="J6" s="1149"/>
      <c r="K6" s="1149"/>
      <c r="L6" s="1150"/>
      <c r="M6" s="1148" t="s">
        <v>197</v>
      </c>
      <c r="N6" s="1149"/>
      <c r="O6" s="1149"/>
      <c r="P6" s="1149"/>
      <c r="Q6" s="1149"/>
      <c r="R6" s="1151" t="s">
        <v>115</v>
      </c>
    </row>
    <row r="7" spans="1:19" ht="45.75" thickBot="1">
      <c r="A7" s="1140"/>
      <c r="B7" s="792"/>
      <c r="C7" s="1145"/>
      <c r="D7" s="1147"/>
      <c r="E7" s="967" t="s">
        <v>198</v>
      </c>
      <c r="F7" s="967" t="s">
        <v>199</v>
      </c>
      <c r="G7" s="64" t="s">
        <v>200</v>
      </c>
      <c r="H7" s="967" t="s">
        <v>201</v>
      </c>
      <c r="I7" s="967" t="s">
        <v>119</v>
      </c>
      <c r="J7" s="967" t="s">
        <v>202</v>
      </c>
      <c r="K7" s="449" t="s">
        <v>203</v>
      </c>
      <c r="L7" s="449" t="s">
        <v>204</v>
      </c>
      <c r="M7" s="64" t="s">
        <v>205</v>
      </c>
      <c r="N7" s="65" t="s">
        <v>206</v>
      </c>
      <c r="O7" s="65" t="s">
        <v>207</v>
      </c>
      <c r="P7" s="65" t="s">
        <v>208</v>
      </c>
      <c r="Q7" s="66" t="s">
        <v>209</v>
      </c>
      <c r="R7" s="1152"/>
    </row>
    <row r="8" spans="1:19" ht="18.75" customHeight="1" thickTop="1">
      <c r="A8" s="798" t="s">
        <v>343</v>
      </c>
      <c r="B8" s="803"/>
      <c r="C8" s="1123"/>
      <c r="D8" s="1123"/>
      <c r="E8" s="1123"/>
      <c r="F8" s="1123"/>
      <c r="G8" s="1123"/>
      <c r="H8" s="1123"/>
      <c r="I8" s="1123"/>
      <c r="J8" s="1123"/>
      <c r="K8" s="1123"/>
      <c r="L8" s="1123"/>
      <c r="M8" s="1123"/>
      <c r="N8" s="1123"/>
      <c r="O8" s="1123"/>
      <c r="P8" s="1123"/>
      <c r="Q8" s="1123"/>
      <c r="R8" s="307"/>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7"/>
    </row>
    <row r="10" spans="1:19" s="453" customFormat="1">
      <c r="A10" s="800" t="s">
        <v>223</v>
      </c>
      <c r="B10" s="805"/>
      <c r="C10" s="684">
        <f ca="1">tertiair!B16+'openbare verlichting'!B8</f>
        <v>4261.2049999999999</v>
      </c>
      <c r="D10" s="684">
        <f ca="1">tertiair!C16</f>
        <v>0</v>
      </c>
      <c r="E10" s="684">
        <f ca="1">tertiair!D16</f>
        <v>887.02950600000008</v>
      </c>
      <c r="F10" s="684">
        <f>tertiair!E16</f>
        <v>58.361763104196953</v>
      </c>
      <c r="G10" s="684">
        <f ca="1">tertiair!F16</f>
        <v>643.52961287778896</v>
      </c>
      <c r="H10" s="684">
        <f>tertiair!G16</f>
        <v>0</v>
      </c>
      <c r="I10" s="684">
        <f>tertiair!H16</f>
        <v>0</v>
      </c>
      <c r="J10" s="684">
        <f>tertiair!I16</f>
        <v>0</v>
      </c>
      <c r="K10" s="684">
        <f>tertiair!J16</f>
        <v>0</v>
      </c>
      <c r="L10" s="684">
        <f>tertiair!K16</f>
        <v>0</v>
      </c>
      <c r="M10" s="684">
        <f ca="1">tertiair!L16</f>
        <v>0</v>
      </c>
      <c r="N10" s="684">
        <f>tertiair!M16</f>
        <v>0</v>
      </c>
      <c r="O10" s="684">
        <f ca="1">tertiair!N16</f>
        <v>71.784427505164928</v>
      </c>
      <c r="P10" s="684">
        <f>tertiair!O16</f>
        <v>1.5633333333333335</v>
      </c>
      <c r="Q10" s="685">
        <f>tertiair!P16</f>
        <v>0</v>
      </c>
      <c r="R10" s="687">
        <f ca="1">SUM(C10:Q10)</f>
        <v>5923.4736428204842</v>
      </c>
      <c r="S10" s="67"/>
    </row>
    <row r="11" spans="1:19" s="453" customFormat="1">
      <c r="A11" s="799" t="s">
        <v>224</v>
      </c>
      <c r="B11" s="804"/>
      <c r="C11" s="684">
        <f>huishoudens!B8</f>
        <v>11649.55476220184</v>
      </c>
      <c r="D11" s="684">
        <f>huishoudens!C8</f>
        <v>0</v>
      </c>
      <c r="E11" s="684">
        <f>huishoudens!D8</f>
        <v>4712.4385659999998</v>
      </c>
      <c r="F11" s="684">
        <f>huishoudens!E8</f>
        <v>7808.0910248424825</v>
      </c>
      <c r="G11" s="684">
        <f>huishoudens!F8</f>
        <v>38839.865088679726</v>
      </c>
      <c r="H11" s="684">
        <f>huishoudens!G8</f>
        <v>0</v>
      </c>
      <c r="I11" s="684">
        <f>huishoudens!H8</f>
        <v>0</v>
      </c>
      <c r="J11" s="684">
        <f>huishoudens!I8</f>
        <v>0</v>
      </c>
      <c r="K11" s="684">
        <f>huishoudens!J8</f>
        <v>1720.0869225255315</v>
      </c>
      <c r="L11" s="684">
        <f>huishoudens!K8</f>
        <v>0</v>
      </c>
      <c r="M11" s="684">
        <f>huishoudens!L8</f>
        <v>0</v>
      </c>
      <c r="N11" s="684">
        <f>huishoudens!M8</f>
        <v>0</v>
      </c>
      <c r="O11" s="684">
        <f>huishoudens!N8</f>
        <v>3417.4348488254313</v>
      </c>
      <c r="P11" s="684">
        <f>huishoudens!O8</f>
        <v>34.393333333333338</v>
      </c>
      <c r="Q11" s="685">
        <f>huishoudens!P8</f>
        <v>266.93333333333334</v>
      </c>
      <c r="R11" s="687">
        <f>SUM(C11:Q11)</f>
        <v>68448.797879741673</v>
      </c>
      <c r="S11" s="67"/>
    </row>
    <row r="12" spans="1:19" s="453" customFormat="1">
      <c r="A12" s="799" t="s">
        <v>508</v>
      </c>
      <c r="B12" s="804"/>
      <c r="C12" s="684">
        <f>'Eigen openbare verlichting'!B15</f>
        <v>0</v>
      </c>
      <c r="D12" s="684"/>
      <c r="E12" s="684"/>
      <c r="F12" s="684"/>
      <c r="G12" s="684"/>
      <c r="H12" s="684"/>
      <c r="I12" s="684"/>
      <c r="J12" s="684"/>
      <c r="K12" s="684"/>
      <c r="L12" s="684"/>
      <c r="M12" s="684"/>
      <c r="N12" s="684"/>
      <c r="O12" s="684"/>
      <c r="P12" s="684"/>
      <c r="Q12" s="684"/>
      <c r="R12" s="687">
        <f>SUM(C12:Q12)</f>
        <v>0</v>
      </c>
      <c r="S12" s="67"/>
    </row>
    <row r="13" spans="1:19" s="453" customFormat="1">
      <c r="A13" s="799" t="s">
        <v>657</v>
      </c>
      <c r="B13" s="808" t="s">
        <v>655</v>
      </c>
      <c r="C13" s="684">
        <f>industrie!B18</f>
        <v>439.91999999999996</v>
      </c>
      <c r="D13" s="684">
        <f>industrie!C18</f>
        <v>0</v>
      </c>
      <c r="E13" s="684">
        <f>industrie!D18</f>
        <v>38.372883999999999</v>
      </c>
      <c r="F13" s="684">
        <f>industrie!E18</f>
        <v>5.7711946281367457</v>
      </c>
      <c r="G13" s="684">
        <f>industrie!F18</f>
        <v>222.78264140948909</v>
      </c>
      <c r="H13" s="684">
        <f>industrie!G18</f>
        <v>0</v>
      </c>
      <c r="I13" s="684">
        <f>industrie!H18</f>
        <v>0</v>
      </c>
      <c r="J13" s="684">
        <f>industrie!I18</f>
        <v>0</v>
      </c>
      <c r="K13" s="684">
        <f>industrie!J18</f>
        <v>1.4225970228159517</v>
      </c>
      <c r="L13" s="684">
        <f>industrie!K18</f>
        <v>0</v>
      </c>
      <c r="M13" s="684">
        <f>industrie!L18</f>
        <v>0</v>
      </c>
      <c r="N13" s="684">
        <f>industrie!M18</f>
        <v>0</v>
      </c>
      <c r="O13" s="684">
        <f>industrie!N18</f>
        <v>20.922478397356731</v>
      </c>
      <c r="P13" s="684">
        <f>industrie!O18</f>
        <v>0</v>
      </c>
      <c r="Q13" s="685">
        <f>industrie!P18</f>
        <v>0</v>
      </c>
      <c r="R13" s="687">
        <f>SUM(C13:Q13)</f>
        <v>729.19179545779843</v>
      </c>
      <c r="S13" s="67"/>
    </row>
    <row r="14" spans="1:19" s="453" customFormat="1">
      <c r="A14" s="799"/>
      <c r="B14" s="808" t="s">
        <v>656</v>
      </c>
      <c r="C14" s="684"/>
      <c r="D14" s="684"/>
      <c r="E14" s="684"/>
      <c r="F14" s="684"/>
      <c r="G14" s="684"/>
      <c r="H14" s="684"/>
      <c r="I14" s="684"/>
      <c r="J14" s="684"/>
      <c r="K14" s="684"/>
      <c r="L14" s="684"/>
      <c r="M14" s="684"/>
      <c r="N14" s="684"/>
      <c r="O14" s="684"/>
      <c r="P14" s="684"/>
      <c r="Q14" s="684"/>
      <c r="R14" s="687"/>
      <c r="S14" s="67"/>
    </row>
    <row r="15" spans="1:19" s="453" customFormat="1" ht="15" thickBot="1">
      <c r="A15" s="977" t="s">
        <v>910</v>
      </c>
      <c r="B15" s="978"/>
      <c r="C15" s="979"/>
      <c r="D15" s="979"/>
      <c r="E15" s="979"/>
      <c r="F15" s="979"/>
      <c r="G15" s="979"/>
      <c r="H15" s="979"/>
      <c r="I15" s="979"/>
      <c r="J15" s="979"/>
      <c r="K15" s="979"/>
      <c r="L15" s="979"/>
      <c r="M15" s="979"/>
      <c r="N15" s="979"/>
      <c r="O15" s="979"/>
      <c r="P15" s="979"/>
      <c r="Q15" s="980"/>
      <c r="R15" s="686"/>
      <c r="S15" s="67"/>
    </row>
    <row r="16" spans="1:19" s="453" customFormat="1" ht="15.75" thickBot="1">
      <c r="A16" s="688" t="s">
        <v>225</v>
      </c>
      <c r="B16" s="806"/>
      <c r="C16" s="717">
        <f ca="1">SUM(C9:C15)</f>
        <v>16350.67976220184</v>
      </c>
      <c r="D16" s="717">
        <f t="shared" ref="D16:R16" ca="1" si="0">SUM(D9:D15)</f>
        <v>0</v>
      </c>
      <c r="E16" s="717">
        <f t="shared" ca="1" si="0"/>
        <v>5637.840956</v>
      </c>
      <c r="F16" s="717">
        <f t="shared" si="0"/>
        <v>7872.2239825748165</v>
      </c>
      <c r="G16" s="717">
        <f t="shared" ca="1" si="0"/>
        <v>39706.177342967007</v>
      </c>
      <c r="H16" s="717">
        <f t="shared" si="0"/>
        <v>0</v>
      </c>
      <c r="I16" s="717">
        <f t="shared" si="0"/>
        <v>0</v>
      </c>
      <c r="J16" s="717">
        <f t="shared" si="0"/>
        <v>0</v>
      </c>
      <c r="K16" s="717">
        <f t="shared" si="0"/>
        <v>1721.5095195483475</v>
      </c>
      <c r="L16" s="717">
        <f t="shared" si="0"/>
        <v>0</v>
      </c>
      <c r="M16" s="717">
        <f t="shared" ca="1" si="0"/>
        <v>0</v>
      </c>
      <c r="N16" s="717">
        <f t="shared" si="0"/>
        <v>0</v>
      </c>
      <c r="O16" s="717">
        <f t="shared" ca="1" si="0"/>
        <v>3510.141754727953</v>
      </c>
      <c r="P16" s="717">
        <f t="shared" si="0"/>
        <v>35.956666666666671</v>
      </c>
      <c r="Q16" s="717">
        <f t="shared" si="0"/>
        <v>266.93333333333334</v>
      </c>
      <c r="R16" s="717">
        <f t="shared" ca="1" si="0"/>
        <v>75101.463318019945</v>
      </c>
      <c r="S16" s="67"/>
    </row>
    <row r="17" spans="1:19" s="453" customFormat="1" ht="15.75">
      <c r="A17" s="801" t="s">
        <v>226</v>
      </c>
      <c r="B17" s="721"/>
      <c r="C17" s="1124"/>
      <c r="D17" s="1124"/>
      <c r="E17" s="1124"/>
      <c r="F17" s="1124"/>
      <c r="G17" s="1124"/>
      <c r="H17" s="1124"/>
      <c r="I17" s="1124"/>
      <c r="J17" s="1124"/>
      <c r="K17" s="1124"/>
      <c r="L17" s="1124"/>
      <c r="M17" s="1124"/>
      <c r="N17" s="1124"/>
      <c r="O17" s="1124"/>
      <c r="P17" s="1124"/>
      <c r="Q17" s="1124"/>
      <c r="R17" s="689"/>
      <c r="S17" s="67"/>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7"/>
    </row>
    <row r="19" spans="1:19" s="453" customFormat="1">
      <c r="A19" s="799" t="s">
        <v>228</v>
      </c>
      <c r="B19" s="804"/>
      <c r="C19" s="684">
        <f>transport!B54</f>
        <v>0</v>
      </c>
      <c r="D19" s="684">
        <f>transport!C54</f>
        <v>0</v>
      </c>
      <c r="E19" s="684">
        <f>transport!D54</f>
        <v>0</v>
      </c>
      <c r="F19" s="684">
        <f>transport!E54</f>
        <v>0</v>
      </c>
      <c r="G19" s="684">
        <f>transport!F54</f>
        <v>0</v>
      </c>
      <c r="H19" s="684">
        <f>transport!G54</f>
        <v>585.13315228766635</v>
      </c>
      <c r="I19" s="684">
        <f>transport!H54</f>
        <v>0</v>
      </c>
      <c r="J19" s="684">
        <f>transport!I54</f>
        <v>0</v>
      </c>
      <c r="K19" s="684">
        <f>transport!J54</f>
        <v>0</v>
      </c>
      <c r="L19" s="684">
        <f>transport!K54</f>
        <v>0</v>
      </c>
      <c r="M19" s="684">
        <f>transport!L54</f>
        <v>0</v>
      </c>
      <c r="N19" s="684">
        <f>transport!M54</f>
        <v>24.882013141979069</v>
      </c>
      <c r="O19" s="684">
        <f>transport!N54</f>
        <v>0</v>
      </c>
      <c r="P19" s="684">
        <f>transport!O54</f>
        <v>0</v>
      </c>
      <c r="Q19" s="685">
        <f>transport!P54</f>
        <v>0</v>
      </c>
      <c r="R19" s="687">
        <f>SUM(C19:Q19)</f>
        <v>610.01516542964544</v>
      </c>
      <c r="S19" s="67"/>
    </row>
    <row r="20" spans="1:19" s="453" customFormat="1">
      <c r="A20" s="799" t="s">
        <v>306</v>
      </c>
      <c r="B20" s="804"/>
      <c r="C20" s="684">
        <f>transport!B14</f>
        <v>0.20906180711596251</v>
      </c>
      <c r="D20" s="684">
        <f>transport!C14</f>
        <v>0</v>
      </c>
      <c r="E20" s="684">
        <f>transport!D14</f>
        <v>1.5039826585886367</v>
      </c>
      <c r="F20" s="684">
        <f>transport!E14</f>
        <v>147.45690497656997</v>
      </c>
      <c r="G20" s="684">
        <f>transport!F14</f>
        <v>0</v>
      </c>
      <c r="H20" s="684">
        <f>transport!G14</f>
        <v>23031.837542810179</v>
      </c>
      <c r="I20" s="684">
        <f>transport!H14</f>
        <v>5018.4024910796215</v>
      </c>
      <c r="J20" s="684">
        <f>transport!I14</f>
        <v>0</v>
      </c>
      <c r="K20" s="684">
        <f>transport!J14</f>
        <v>0</v>
      </c>
      <c r="L20" s="684">
        <f>transport!K14</f>
        <v>0</v>
      </c>
      <c r="M20" s="684">
        <f>transport!L14</f>
        <v>0</v>
      </c>
      <c r="N20" s="684">
        <f>transport!M14</f>
        <v>1223.1649378058364</v>
      </c>
      <c r="O20" s="684">
        <f>transport!N14</f>
        <v>0</v>
      </c>
      <c r="P20" s="684">
        <f>transport!O14</f>
        <v>0</v>
      </c>
      <c r="Q20" s="685">
        <f>transport!P14</f>
        <v>0</v>
      </c>
      <c r="R20" s="687">
        <f>SUM(C20:Q20)</f>
        <v>29422.574921137912</v>
      </c>
      <c r="S20" s="67"/>
    </row>
    <row r="21" spans="1:19" s="453" customFormat="1" ht="15" thickBot="1">
      <c r="A21" s="821" t="s">
        <v>911</v>
      </c>
      <c r="B21" s="978"/>
      <c r="C21" s="979"/>
      <c r="D21" s="979"/>
      <c r="E21" s="979"/>
      <c r="F21" s="979"/>
      <c r="G21" s="979"/>
      <c r="H21" s="979"/>
      <c r="I21" s="979"/>
      <c r="J21" s="979"/>
      <c r="K21" s="979"/>
      <c r="L21" s="979"/>
      <c r="M21" s="979"/>
      <c r="N21" s="979"/>
      <c r="O21" s="979"/>
      <c r="P21" s="979"/>
      <c r="Q21" s="980"/>
      <c r="R21" s="686"/>
      <c r="S21" s="67"/>
    </row>
    <row r="22" spans="1:19" s="453" customFormat="1" ht="15.75" thickBot="1">
      <c r="A22" s="690" t="s">
        <v>229</v>
      </c>
      <c r="B22" s="807"/>
      <c r="C22" s="802">
        <f>SUM(C18:C21)</f>
        <v>0.20906180711596251</v>
      </c>
      <c r="D22" s="802">
        <f t="shared" ref="D22:R22" si="1">SUM(D18:D21)</f>
        <v>0</v>
      </c>
      <c r="E22" s="802">
        <f t="shared" si="1"/>
        <v>1.5039826585886367</v>
      </c>
      <c r="F22" s="802">
        <f t="shared" si="1"/>
        <v>147.45690497656997</v>
      </c>
      <c r="G22" s="802">
        <f t="shared" si="1"/>
        <v>0</v>
      </c>
      <c r="H22" s="802">
        <f t="shared" si="1"/>
        <v>23616.970695097847</v>
      </c>
      <c r="I22" s="802">
        <f t="shared" si="1"/>
        <v>5018.4024910796215</v>
      </c>
      <c r="J22" s="802">
        <f t="shared" si="1"/>
        <v>0</v>
      </c>
      <c r="K22" s="802">
        <f t="shared" si="1"/>
        <v>0</v>
      </c>
      <c r="L22" s="802">
        <f t="shared" si="1"/>
        <v>0</v>
      </c>
      <c r="M22" s="802">
        <f t="shared" si="1"/>
        <v>0</v>
      </c>
      <c r="N22" s="802">
        <f t="shared" si="1"/>
        <v>1248.0469509478155</v>
      </c>
      <c r="O22" s="802">
        <f t="shared" si="1"/>
        <v>0</v>
      </c>
      <c r="P22" s="802">
        <f t="shared" si="1"/>
        <v>0</v>
      </c>
      <c r="Q22" s="802">
        <f t="shared" si="1"/>
        <v>0</v>
      </c>
      <c r="R22" s="802">
        <f t="shared" si="1"/>
        <v>30032.590086567558</v>
      </c>
      <c r="S22" s="67"/>
    </row>
    <row r="23" spans="1:19" s="453" customFormat="1" ht="15.75">
      <c r="A23" s="801" t="s">
        <v>236</v>
      </c>
      <c r="B23" s="721"/>
      <c r="C23" s="1124"/>
      <c r="D23" s="1124"/>
      <c r="E23" s="1124"/>
      <c r="F23" s="1124"/>
      <c r="G23" s="1124"/>
      <c r="H23" s="1124"/>
      <c r="I23" s="1124"/>
      <c r="J23" s="1124"/>
      <c r="K23" s="1124"/>
      <c r="L23" s="1124"/>
      <c r="M23" s="1124"/>
      <c r="N23" s="1124"/>
      <c r="O23" s="1124"/>
      <c r="P23" s="1124"/>
      <c r="Q23" s="1124"/>
      <c r="R23" s="689"/>
      <c r="S23" s="67"/>
    </row>
    <row r="24" spans="1:19" s="453" customFormat="1">
      <c r="A24" s="799" t="s">
        <v>650</v>
      </c>
      <c r="B24" s="804"/>
      <c r="C24" s="684">
        <f>+landbouw!B8</f>
        <v>2910.3110000000001</v>
      </c>
      <c r="D24" s="684">
        <f>+landbouw!C8</f>
        <v>0</v>
      </c>
      <c r="E24" s="684">
        <f>+landbouw!D8</f>
        <v>9.3663680000000014</v>
      </c>
      <c r="F24" s="684">
        <f>+landbouw!E8</f>
        <v>30.47740684863793</v>
      </c>
      <c r="G24" s="684">
        <f>+landbouw!F8</f>
        <v>12458.342446711473</v>
      </c>
      <c r="H24" s="684">
        <f>+landbouw!G8</f>
        <v>0</v>
      </c>
      <c r="I24" s="684">
        <f>+landbouw!H8</f>
        <v>0</v>
      </c>
      <c r="J24" s="684">
        <f>+landbouw!I8</f>
        <v>0</v>
      </c>
      <c r="K24" s="684">
        <f>+landbouw!J8</f>
        <v>259.91685786250378</v>
      </c>
      <c r="L24" s="684">
        <f>+landbouw!K8</f>
        <v>0</v>
      </c>
      <c r="M24" s="684">
        <f>+landbouw!L8</f>
        <v>0</v>
      </c>
      <c r="N24" s="684">
        <f>+landbouw!M8</f>
        <v>0</v>
      </c>
      <c r="O24" s="684">
        <f>+landbouw!N8</f>
        <v>0</v>
      </c>
      <c r="P24" s="684">
        <f>+landbouw!O8</f>
        <v>0</v>
      </c>
      <c r="Q24" s="685">
        <f>+landbouw!P8</f>
        <v>0</v>
      </c>
      <c r="R24" s="687">
        <f>SUM(C24:Q24)</f>
        <v>15668.414079422615</v>
      </c>
      <c r="S24" s="67"/>
    </row>
    <row r="25" spans="1:19" s="453" customFormat="1" ht="15" thickBot="1">
      <c r="A25" s="821" t="s">
        <v>912</v>
      </c>
      <c r="B25" s="978"/>
      <c r="C25" s="979">
        <f>IF(Onbekend_ele_kWh="---",0,Onbekend_ele_kWh)/1000+IF(REST_rest_ele_kWh="---",0,REST_rest_ele_kWh)/1000</f>
        <v>901.54899999999998</v>
      </c>
      <c r="D25" s="979"/>
      <c r="E25" s="979">
        <f>IF(onbekend_gas_kWh="---",0,onbekend_gas_kWh)/1000+IF(REST_rest_gas_kWh="---",0,REST_rest_gas_kWh)/1000</f>
        <v>108.86799999999999</v>
      </c>
      <c r="F25" s="979"/>
      <c r="G25" s="979"/>
      <c r="H25" s="979"/>
      <c r="I25" s="979"/>
      <c r="J25" s="979"/>
      <c r="K25" s="979"/>
      <c r="L25" s="979"/>
      <c r="M25" s="979"/>
      <c r="N25" s="979"/>
      <c r="O25" s="979"/>
      <c r="P25" s="979"/>
      <c r="Q25" s="980"/>
      <c r="R25" s="687">
        <f>SUM(C25:Q25)</f>
        <v>1010.4169999999999</v>
      </c>
      <c r="S25" s="67"/>
    </row>
    <row r="26" spans="1:19" s="453" customFormat="1" ht="15.75" thickBot="1">
      <c r="A26" s="690" t="s">
        <v>913</v>
      </c>
      <c r="B26" s="807"/>
      <c r="C26" s="802">
        <f>SUM(C24:C25)</f>
        <v>3811.86</v>
      </c>
      <c r="D26" s="802">
        <f t="shared" ref="D26:R26" si="2">SUM(D24:D25)</f>
        <v>0</v>
      </c>
      <c r="E26" s="802">
        <f t="shared" si="2"/>
        <v>118.23436799999999</v>
      </c>
      <c r="F26" s="802">
        <f t="shared" si="2"/>
        <v>30.47740684863793</v>
      </c>
      <c r="G26" s="802">
        <f t="shared" si="2"/>
        <v>12458.342446711473</v>
      </c>
      <c r="H26" s="802">
        <f t="shared" si="2"/>
        <v>0</v>
      </c>
      <c r="I26" s="802">
        <f t="shared" si="2"/>
        <v>0</v>
      </c>
      <c r="J26" s="802">
        <f t="shared" si="2"/>
        <v>0</v>
      </c>
      <c r="K26" s="802">
        <f t="shared" si="2"/>
        <v>259.91685786250378</v>
      </c>
      <c r="L26" s="802">
        <f t="shared" si="2"/>
        <v>0</v>
      </c>
      <c r="M26" s="802">
        <f t="shared" si="2"/>
        <v>0</v>
      </c>
      <c r="N26" s="802">
        <f t="shared" si="2"/>
        <v>0</v>
      </c>
      <c r="O26" s="802">
        <f t="shared" si="2"/>
        <v>0</v>
      </c>
      <c r="P26" s="802">
        <f t="shared" si="2"/>
        <v>0</v>
      </c>
      <c r="Q26" s="802">
        <f t="shared" si="2"/>
        <v>0</v>
      </c>
      <c r="R26" s="802">
        <f t="shared" si="2"/>
        <v>16678.831079422616</v>
      </c>
      <c r="S26" s="67"/>
    </row>
    <row r="27" spans="1:19" s="453" customFormat="1" ht="17.25" thickTop="1" thickBot="1">
      <c r="A27" s="691" t="s">
        <v>115</v>
      </c>
      <c r="B27" s="794"/>
      <c r="C27" s="692">
        <f ca="1">C22+C16+C26</f>
        <v>20162.748824008955</v>
      </c>
      <c r="D27" s="692">
        <f t="shared" ref="D27:R27" ca="1" si="3">D22+D16+D26</f>
        <v>0</v>
      </c>
      <c r="E27" s="692">
        <f t="shared" ca="1" si="3"/>
        <v>5757.5793066585893</v>
      </c>
      <c r="F27" s="692">
        <f t="shared" si="3"/>
        <v>8050.1582944000238</v>
      </c>
      <c r="G27" s="692">
        <f t="shared" ca="1" si="3"/>
        <v>52164.519789678481</v>
      </c>
      <c r="H27" s="692">
        <f t="shared" si="3"/>
        <v>23616.970695097847</v>
      </c>
      <c r="I27" s="692">
        <f t="shared" si="3"/>
        <v>5018.4024910796215</v>
      </c>
      <c r="J27" s="692">
        <f t="shared" si="3"/>
        <v>0</v>
      </c>
      <c r="K27" s="692">
        <f t="shared" si="3"/>
        <v>1981.4263774108513</v>
      </c>
      <c r="L27" s="692">
        <f t="shared" si="3"/>
        <v>0</v>
      </c>
      <c r="M27" s="692">
        <f t="shared" ca="1" si="3"/>
        <v>0</v>
      </c>
      <c r="N27" s="692">
        <f t="shared" si="3"/>
        <v>1248.0469509478155</v>
      </c>
      <c r="O27" s="692">
        <f t="shared" ca="1" si="3"/>
        <v>3510.141754727953</v>
      </c>
      <c r="P27" s="692">
        <f t="shared" si="3"/>
        <v>35.956666666666671</v>
      </c>
      <c r="Q27" s="692">
        <f t="shared" si="3"/>
        <v>266.93333333333334</v>
      </c>
      <c r="R27" s="692">
        <f t="shared" ca="1" si="3"/>
        <v>121812.88448401011</v>
      </c>
      <c r="S27" s="67"/>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25"/>
      <c r="B31" s="1125"/>
      <c r="C31" s="1125"/>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88"/>
      <c r="B33" s="1088"/>
      <c r="C33" s="1088"/>
      <c r="D33" s="1088"/>
      <c r="E33" s="1088"/>
      <c r="F33" s="1088"/>
      <c r="G33" s="1088"/>
      <c r="H33" s="1088"/>
      <c r="I33" s="1088"/>
      <c r="J33" s="1088"/>
      <c r="K33" s="1088"/>
      <c r="L33" s="1088"/>
      <c r="M33" s="1088"/>
      <c r="N33" s="1088"/>
      <c r="O33" s="1088"/>
      <c r="P33" s="1088"/>
      <c r="Q33" s="1088"/>
      <c r="R33" s="1088"/>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26"/>
      <c r="B35" s="809"/>
      <c r="C35" s="1128" t="s">
        <v>346</v>
      </c>
      <c r="D35" s="1129"/>
      <c r="E35" s="1129"/>
      <c r="F35" s="1129"/>
      <c r="G35" s="1129"/>
      <c r="H35" s="1129"/>
      <c r="I35" s="1129"/>
      <c r="J35" s="1129"/>
      <c r="K35" s="1129"/>
      <c r="L35" s="1129"/>
      <c r="M35" s="1129"/>
      <c r="N35" s="1129"/>
      <c r="O35" s="1129"/>
      <c r="P35" s="1129"/>
      <c r="Q35" s="1129"/>
      <c r="R35" s="1130"/>
    </row>
    <row r="36" spans="1:18" ht="16.5" thickTop="1">
      <c r="A36" s="1127"/>
      <c r="B36" s="810"/>
      <c r="C36" s="1131" t="s">
        <v>20</v>
      </c>
      <c r="D36" s="1074" t="s">
        <v>231</v>
      </c>
      <c r="E36" s="1133" t="s">
        <v>196</v>
      </c>
      <c r="F36" s="1134"/>
      <c r="G36" s="1134"/>
      <c r="H36" s="1134"/>
      <c r="I36" s="1134"/>
      <c r="J36" s="1134"/>
      <c r="K36" s="1134"/>
      <c r="L36" s="1135"/>
      <c r="M36" s="1133" t="s">
        <v>197</v>
      </c>
      <c r="N36" s="1134"/>
      <c r="O36" s="1134"/>
      <c r="P36" s="1134"/>
      <c r="Q36" s="1134"/>
      <c r="R36" s="1089" t="s">
        <v>115</v>
      </c>
    </row>
    <row r="37" spans="1:18" ht="45.75" thickBot="1">
      <c r="A37" s="1127"/>
      <c r="B37" s="810"/>
      <c r="C37" s="1132"/>
      <c r="D37" s="1077"/>
      <c r="E37" s="708" t="s">
        <v>198</v>
      </c>
      <c r="F37" s="708" t="s">
        <v>199</v>
      </c>
      <c r="G37" s="708" t="s">
        <v>200</v>
      </c>
      <c r="H37" s="708" t="s">
        <v>201</v>
      </c>
      <c r="I37" s="708" t="s">
        <v>119</v>
      </c>
      <c r="J37" s="708" t="s">
        <v>202</v>
      </c>
      <c r="K37" s="709" t="s">
        <v>232</v>
      </c>
      <c r="L37" s="709" t="s">
        <v>204</v>
      </c>
      <c r="M37" s="64" t="s">
        <v>205</v>
      </c>
      <c r="N37" s="65" t="s">
        <v>206</v>
      </c>
      <c r="O37" s="708" t="s">
        <v>233</v>
      </c>
      <c r="P37" s="708" t="s">
        <v>234</v>
      </c>
      <c r="Q37" s="709" t="s">
        <v>209</v>
      </c>
      <c r="R37" s="1091"/>
    </row>
    <row r="38" spans="1:18" ht="17.25" thickTop="1" thickBot="1">
      <c r="A38" s="822" t="s">
        <v>343</v>
      </c>
      <c r="B38" s="823"/>
      <c r="C38" s="710" t="s">
        <v>235</v>
      </c>
      <c r="D38" s="711"/>
      <c r="E38" s="712"/>
      <c r="F38" s="712"/>
      <c r="G38" s="712"/>
      <c r="H38" s="712"/>
      <c r="I38" s="712"/>
      <c r="J38" s="712"/>
      <c r="K38" s="712"/>
      <c r="L38" s="712"/>
      <c r="M38" s="981"/>
      <c r="N38" s="981"/>
      <c r="O38" s="712"/>
      <c r="P38" s="981"/>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82">
        <f t="shared" ref="R39:R44" ca="1" si="4">SUM(C39:Q39)</f>
        <v>0</v>
      </c>
    </row>
    <row r="40" spans="1:18">
      <c r="A40" s="800" t="s">
        <v>223</v>
      </c>
      <c r="B40" s="820"/>
      <c r="C40" s="684">
        <f ca="1">tertiair!B20+'openbare verlichting'!B12</f>
        <v>868.23349614279687</v>
      </c>
      <c r="D40" s="684">
        <f ca="1">tertiair!C20</f>
        <v>0</v>
      </c>
      <c r="E40" s="684">
        <f ca="1">tertiair!D20</f>
        <v>179.17996021200003</v>
      </c>
      <c r="F40" s="684">
        <f>tertiair!E20</f>
        <v>13.248120224652709</v>
      </c>
      <c r="G40" s="684">
        <f ca="1">tertiair!F20</f>
        <v>171.82240663836967</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1232.4839832178191</v>
      </c>
    </row>
    <row r="41" spans="1:18">
      <c r="A41" s="812" t="s">
        <v>224</v>
      </c>
      <c r="B41" s="819"/>
      <c r="C41" s="684">
        <f ca="1">huishoudens!B12</f>
        <v>2373.632261225046</v>
      </c>
      <c r="D41" s="684">
        <f ca="1">huishoudens!C12</f>
        <v>0</v>
      </c>
      <c r="E41" s="684">
        <f>huishoudens!D12</f>
        <v>951.91259033200004</v>
      </c>
      <c r="F41" s="684">
        <f>huishoudens!E12</f>
        <v>1772.4366626392437</v>
      </c>
      <c r="G41" s="684">
        <f>huishoudens!F12</f>
        <v>10370.243978677487</v>
      </c>
      <c r="H41" s="684">
        <f>huishoudens!G12</f>
        <v>0</v>
      </c>
      <c r="I41" s="684">
        <f>huishoudens!H12</f>
        <v>0</v>
      </c>
      <c r="J41" s="684">
        <f>huishoudens!I12</f>
        <v>0</v>
      </c>
      <c r="K41" s="684">
        <f>huishoudens!J12</f>
        <v>608.91077057403811</v>
      </c>
      <c r="L41" s="684">
        <f>huishoudens!K12</f>
        <v>0</v>
      </c>
      <c r="M41" s="684">
        <f>huishoudens!L12</f>
        <v>0</v>
      </c>
      <c r="N41" s="684">
        <f>huishoudens!M12</f>
        <v>0</v>
      </c>
      <c r="O41" s="684">
        <f>huishoudens!N12</f>
        <v>0</v>
      </c>
      <c r="P41" s="684">
        <f>huishoudens!O12</f>
        <v>0</v>
      </c>
      <c r="Q41" s="759">
        <f>huishoudens!P12</f>
        <v>0</v>
      </c>
      <c r="R41" s="840">
        <f t="shared" ca="1" si="4"/>
        <v>16077.136263447816</v>
      </c>
    </row>
    <row r="42" spans="1:18">
      <c r="A42" s="812" t="s">
        <v>508</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658</v>
      </c>
      <c r="B43" s="827" t="s">
        <v>655</v>
      </c>
      <c r="C43" s="684">
        <f ca="1">industrie!B22</f>
        <v>89.635039765310324</v>
      </c>
      <c r="D43" s="684">
        <f ca="1">industrie!C22</f>
        <v>0</v>
      </c>
      <c r="E43" s="684">
        <f>industrie!D22</f>
        <v>7.751322568</v>
      </c>
      <c r="F43" s="684">
        <f>industrie!E22</f>
        <v>1.3100611805870412</v>
      </c>
      <c r="G43" s="684">
        <f>industrie!F22</f>
        <v>59.482965256333593</v>
      </c>
      <c r="H43" s="684">
        <f>industrie!G22</f>
        <v>0</v>
      </c>
      <c r="I43" s="684">
        <f>industrie!H22</f>
        <v>0</v>
      </c>
      <c r="J43" s="684">
        <f>industrie!I22</f>
        <v>0</v>
      </c>
      <c r="K43" s="684">
        <f>industrie!J22</f>
        <v>0.50359934607684687</v>
      </c>
      <c r="L43" s="684">
        <f>industrie!K22</f>
        <v>0</v>
      </c>
      <c r="M43" s="684">
        <f>industrie!L22</f>
        <v>0</v>
      </c>
      <c r="N43" s="684">
        <f>industrie!M22</f>
        <v>0</v>
      </c>
      <c r="O43" s="684">
        <f>industrie!N22</f>
        <v>0</v>
      </c>
      <c r="P43" s="684">
        <f>industrie!O22</f>
        <v>0</v>
      </c>
      <c r="Q43" s="759">
        <f>industrie!P22</f>
        <v>0</v>
      </c>
      <c r="R43" s="839">
        <f t="shared" ca="1" si="4"/>
        <v>158.6829881163078</v>
      </c>
    </row>
    <row r="44" spans="1:18">
      <c r="A44" s="812"/>
      <c r="B44" s="819" t="s">
        <v>656</v>
      </c>
      <c r="C44" s="684"/>
      <c r="D44" s="684"/>
      <c r="E44" s="684"/>
      <c r="F44" s="684"/>
      <c r="G44" s="684"/>
      <c r="H44" s="684"/>
      <c r="I44" s="684"/>
      <c r="J44" s="684"/>
      <c r="K44" s="684"/>
      <c r="L44" s="684"/>
      <c r="M44" s="684"/>
      <c r="N44" s="684"/>
      <c r="O44" s="684"/>
      <c r="P44" s="684"/>
      <c r="Q44" s="759"/>
      <c r="R44" s="840">
        <f t="shared" si="4"/>
        <v>0</v>
      </c>
    </row>
    <row r="45" spans="1:18" ht="15" thickBot="1">
      <c r="A45" s="977" t="s">
        <v>910</v>
      </c>
      <c r="B45" s="983"/>
      <c r="C45" s="979"/>
      <c r="D45" s="979"/>
      <c r="E45" s="979"/>
      <c r="F45" s="979"/>
      <c r="G45" s="979"/>
      <c r="H45" s="979"/>
      <c r="I45" s="979"/>
      <c r="J45" s="979"/>
      <c r="K45" s="979"/>
      <c r="L45" s="979"/>
      <c r="M45" s="979"/>
      <c r="N45" s="979"/>
      <c r="O45" s="979"/>
      <c r="P45" s="979"/>
      <c r="Q45" s="980"/>
      <c r="R45" s="984"/>
    </row>
    <row r="46" spans="1:18" ht="15.75" thickBot="1">
      <c r="A46" s="813" t="s">
        <v>225</v>
      </c>
      <c r="B46" s="826"/>
      <c r="C46" s="717">
        <f ca="1">SUM(C39:C45)</f>
        <v>3331.5007971331534</v>
      </c>
      <c r="D46" s="717">
        <f t="shared" ref="D46:Q46" ca="1" si="5">SUM(D39:D45)</f>
        <v>0</v>
      </c>
      <c r="E46" s="717">
        <f t="shared" ca="1" si="5"/>
        <v>1138.843873112</v>
      </c>
      <c r="F46" s="717">
        <f t="shared" si="5"/>
        <v>1786.9948440444834</v>
      </c>
      <c r="G46" s="717">
        <f t="shared" ca="1" si="5"/>
        <v>10601.54935057219</v>
      </c>
      <c r="H46" s="717">
        <f t="shared" si="5"/>
        <v>0</v>
      </c>
      <c r="I46" s="717">
        <f t="shared" si="5"/>
        <v>0</v>
      </c>
      <c r="J46" s="717">
        <f t="shared" si="5"/>
        <v>0</v>
      </c>
      <c r="K46" s="717">
        <f t="shared" si="5"/>
        <v>609.41436992011495</v>
      </c>
      <c r="L46" s="717">
        <f t="shared" si="5"/>
        <v>0</v>
      </c>
      <c r="M46" s="717">
        <f t="shared" ca="1" si="5"/>
        <v>0</v>
      </c>
      <c r="N46" s="717">
        <f t="shared" si="5"/>
        <v>0</v>
      </c>
      <c r="O46" s="717">
        <f t="shared" ca="1" si="5"/>
        <v>0</v>
      </c>
      <c r="P46" s="717">
        <f t="shared" si="5"/>
        <v>0</v>
      </c>
      <c r="Q46" s="717">
        <f t="shared" si="5"/>
        <v>0</v>
      </c>
      <c r="R46" s="717">
        <f ca="1">SUM(R39:R45)</f>
        <v>17468.303234781943</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156.23055166080692</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156.23055166080692</v>
      </c>
    </row>
    <row r="50" spans="1:18">
      <c r="A50" s="815" t="s">
        <v>306</v>
      </c>
      <c r="B50" s="825"/>
      <c r="C50" s="985">
        <f ca="1">transport!B18</f>
        <v>4.2596979892359832E-2</v>
      </c>
      <c r="D50" s="985">
        <f>transport!C18</f>
        <v>0</v>
      </c>
      <c r="E50" s="985">
        <f>transport!D18</f>
        <v>0.30380449703490464</v>
      </c>
      <c r="F50" s="985">
        <f>transport!E18</f>
        <v>33.472717429681381</v>
      </c>
      <c r="G50" s="985">
        <f>transport!F18</f>
        <v>0</v>
      </c>
      <c r="H50" s="985">
        <f>transport!G18</f>
        <v>6149.5006239303184</v>
      </c>
      <c r="I50" s="985">
        <f>transport!H18</f>
        <v>1249.5822202788258</v>
      </c>
      <c r="J50" s="985">
        <f>transport!I18</f>
        <v>0</v>
      </c>
      <c r="K50" s="985">
        <f>transport!J18</f>
        <v>0</v>
      </c>
      <c r="L50" s="985">
        <f>transport!K18</f>
        <v>0</v>
      </c>
      <c r="M50" s="985">
        <f>transport!L18</f>
        <v>0</v>
      </c>
      <c r="N50" s="985">
        <f>transport!M18</f>
        <v>0</v>
      </c>
      <c r="O50" s="985">
        <f>transport!N18</f>
        <v>0</v>
      </c>
      <c r="P50" s="985">
        <f>transport!O18</f>
        <v>0</v>
      </c>
      <c r="Q50" s="986">
        <f>transport!P18</f>
        <v>0</v>
      </c>
      <c r="R50" s="716">
        <f ca="1">SUM(C50:Q50)</f>
        <v>7432.9019631157526</v>
      </c>
    </row>
    <row r="51" spans="1:18" ht="15" thickBot="1">
      <c r="A51" s="812" t="s">
        <v>911</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4.2596979892359832E-2</v>
      </c>
      <c r="D52" s="717">
        <f t="shared" ref="D52:Q52" ca="1" si="6">SUM(D48:D51)</f>
        <v>0</v>
      </c>
      <c r="E52" s="717">
        <f t="shared" si="6"/>
        <v>0.30380449703490464</v>
      </c>
      <c r="F52" s="717">
        <f t="shared" si="6"/>
        <v>33.472717429681381</v>
      </c>
      <c r="G52" s="717">
        <f t="shared" si="6"/>
        <v>0</v>
      </c>
      <c r="H52" s="717">
        <f t="shared" si="6"/>
        <v>6305.7311755911251</v>
      </c>
      <c r="I52" s="717">
        <f t="shared" si="6"/>
        <v>1249.5822202788258</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7589.1325147765592</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650</v>
      </c>
      <c r="B54" s="825"/>
      <c r="C54" s="985">
        <f ca="1">+landbouw!B12</f>
        <v>592.98472952905092</v>
      </c>
      <c r="D54" s="985">
        <f ca="1">+landbouw!C12</f>
        <v>0</v>
      </c>
      <c r="E54" s="985">
        <f>+landbouw!D12</f>
        <v>1.8920063360000003</v>
      </c>
      <c r="F54" s="985">
        <f>+landbouw!E12</f>
        <v>6.9183713546408105</v>
      </c>
      <c r="G54" s="985">
        <f>+landbouw!F12</f>
        <v>3326.3774332719636</v>
      </c>
      <c r="H54" s="985">
        <f>+landbouw!G12</f>
        <v>0</v>
      </c>
      <c r="I54" s="985">
        <f>+landbouw!H12</f>
        <v>0</v>
      </c>
      <c r="J54" s="985">
        <f>+landbouw!I12</f>
        <v>0</v>
      </c>
      <c r="K54" s="985">
        <f>+landbouw!J12</f>
        <v>92.010567683326329</v>
      </c>
      <c r="L54" s="985">
        <f>+landbouw!K12</f>
        <v>0</v>
      </c>
      <c r="M54" s="985">
        <f>+landbouw!L12</f>
        <v>0</v>
      </c>
      <c r="N54" s="985">
        <f>+landbouw!M12</f>
        <v>0</v>
      </c>
      <c r="O54" s="985">
        <f>+landbouw!N12</f>
        <v>0</v>
      </c>
      <c r="P54" s="985">
        <f>+landbouw!O12</f>
        <v>0</v>
      </c>
      <c r="Q54" s="986">
        <f>+landbouw!P12</f>
        <v>0</v>
      </c>
      <c r="R54" s="716">
        <f ca="1">SUM(C54:Q54)</f>
        <v>4020.1831081749815</v>
      </c>
    </row>
    <row r="55" spans="1:18" ht="15" thickBot="1">
      <c r="A55" s="815" t="s">
        <v>912</v>
      </c>
      <c r="B55" s="825"/>
      <c r="C55" s="985">
        <f ca="1">C25*'EF ele_warmte'!B12</f>
        <v>183.69335439483487</v>
      </c>
      <c r="D55" s="985"/>
      <c r="E55" s="985">
        <f>E25*EF_CO2_aardgas</f>
        <v>21.991336</v>
      </c>
      <c r="F55" s="985"/>
      <c r="G55" s="985"/>
      <c r="H55" s="985"/>
      <c r="I55" s="985"/>
      <c r="J55" s="985"/>
      <c r="K55" s="985"/>
      <c r="L55" s="985"/>
      <c r="M55" s="985"/>
      <c r="N55" s="985"/>
      <c r="O55" s="985"/>
      <c r="P55" s="985"/>
      <c r="Q55" s="986"/>
      <c r="R55" s="716">
        <f ca="1">SUM(C55:Q55)</f>
        <v>205.68469039483486</v>
      </c>
    </row>
    <row r="56" spans="1:18" ht="15.75" thickBot="1">
      <c r="A56" s="813" t="s">
        <v>913</v>
      </c>
      <c r="B56" s="826"/>
      <c r="C56" s="717">
        <f ca="1">SUM(C54:C55)</f>
        <v>776.67808392388577</v>
      </c>
      <c r="D56" s="717">
        <f t="shared" ref="D56:Q56" ca="1" si="7">SUM(D54:D55)</f>
        <v>0</v>
      </c>
      <c r="E56" s="717">
        <f t="shared" si="7"/>
        <v>23.883342336000002</v>
      </c>
      <c r="F56" s="717">
        <f t="shared" si="7"/>
        <v>6.9183713546408105</v>
      </c>
      <c r="G56" s="717">
        <f t="shared" si="7"/>
        <v>3326.3774332719636</v>
      </c>
      <c r="H56" s="717">
        <f t="shared" si="7"/>
        <v>0</v>
      </c>
      <c r="I56" s="717">
        <f t="shared" si="7"/>
        <v>0</v>
      </c>
      <c r="J56" s="717">
        <f t="shared" si="7"/>
        <v>0</v>
      </c>
      <c r="K56" s="717">
        <f t="shared" si="7"/>
        <v>92.010567683326329</v>
      </c>
      <c r="L56" s="717">
        <f t="shared" si="7"/>
        <v>0</v>
      </c>
      <c r="M56" s="717">
        <f t="shared" si="7"/>
        <v>0</v>
      </c>
      <c r="N56" s="717">
        <f t="shared" si="7"/>
        <v>0</v>
      </c>
      <c r="O56" s="717">
        <f t="shared" si="7"/>
        <v>0</v>
      </c>
      <c r="P56" s="717">
        <f t="shared" si="7"/>
        <v>0</v>
      </c>
      <c r="Q56" s="718">
        <f t="shared" si="7"/>
        <v>0</v>
      </c>
      <c r="R56" s="719">
        <f ca="1">SUM(R54:R55)</f>
        <v>4225.8677985698159</v>
      </c>
    </row>
    <row r="57" spans="1:18" ht="15.75">
      <c r="A57" s="793" t="s">
        <v>651</v>
      </c>
      <c r="B57" s="793"/>
      <c r="C57" s="722"/>
      <c r="D57" s="711"/>
      <c r="E57" s="711"/>
      <c r="F57" s="711"/>
      <c r="G57" s="711"/>
      <c r="H57" s="711"/>
      <c r="I57" s="711"/>
      <c r="J57" s="711"/>
      <c r="K57" s="711"/>
      <c r="L57" s="711"/>
      <c r="M57" s="720"/>
      <c r="N57" s="720"/>
      <c r="O57" s="711"/>
      <c r="P57" s="720"/>
      <c r="Q57" s="720"/>
      <c r="R57" s="714"/>
    </row>
    <row r="58" spans="1:18" ht="15">
      <c r="A58" s="816" t="s">
        <v>237</v>
      </c>
      <c r="B58" s="830"/>
      <c r="C58" s="1119"/>
      <c r="D58" s="1120"/>
      <c r="E58" s="1120"/>
      <c r="F58" s="1120"/>
      <c r="G58" s="1120"/>
      <c r="H58" s="1120"/>
      <c r="I58" s="1120"/>
      <c r="J58" s="1120"/>
      <c r="K58" s="1120"/>
      <c r="L58" s="1120"/>
      <c r="M58" s="1120"/>
      <c r="N58" s="1120"/>
      <c r="O58" s="1120"/>
      <c r="P58" s="1120"/>
      <c r="Q58" s="1120"/>
      <c r="R58" s="723"/>
    </row>
    <row r="59" spans="1:18" ht="15">
      <c r="A59" s="817" t="s">
        <v>238</v>
      </c>
      <c r="B59" s="804"/>
      <c r="C59" s="1121"/>
      <c r="D59" s="1122"/>
      <c r="E59" s="1122"/>
      <c r="F59" s="1122"/>
      <c r="G59" s="1122"/>
      <c r="H59" s="1122"/>
      <c r="I59" s="1122"/>
      <c r="J59" s="1122"/>
      <c r="K59" s="1122"/>
      <c r="L59" s="1122"/>
      <c r="M59" s="1122"/>
      <c r="N59" s="1122"/>
      <c r="O59" s="1122"/>
      <c r="P59" s="1122"/>
      <c r="Q59" s="1122"/>
      <c r="R59" s="724"/>
    </row>
    <row r="60" spans="1:18" ht="15" thickBot="1">
      <c r="A60" s="828" t="s">
        <v>239</v>
      </c>
      <c r="B60" s="829"/>
      <c r="C60" s="1121"/>
      <c r="D60" s="1122"/>
      <c r="E60" s="1122"/>
      <c r="F60" s="1122"/>
      <c r="G60" s="1122"/>
      <c r="H60" s="1122"/>
      <c r="I60" s="1122"/>
      <c r="J60" s="1122"/>
      <c r="K60" s="1122"/>
      <c r="L60" s="1122"/>
      <c r="M60" s="1122"/>
      <c r="N60" s="1122"/>
      <c r="O60" s="1122"/>
      <c r="P60" s="1122"/>
      <c r="Q60" s="1122"/>
      <c r="R60" s="716"/>
    </row>
    <row r="61" spans="1:18" ht="16.5" thickBot="1">
      <c r="A61" s="831" t="s">
        <v>115</v>
      </c>
      <c r="B61" s="832"/>
      <c r="C61" s="725">
        <f ca="1">C46+C52+C56</f>
        <v>4108.2214780369313</v>
      </c>
      <c r="D61" s="725">
        <f t="shared" ref="D61:Q61" ca="1" si="8">D46+D52+D56</f>
        <v>0</v>
      </c>
      <c r="E61" s="725">
        <f t="shared" ca="1" si="8"/>
        <v>1163.0310199450348</v>
      </c>
      <c r="F61" s="725">
        <f t="shared" si="8"/>
        <v>1827.3859328288056</v>
      </c>
      <c r="G61" s="725">
        <f t="shared" ca="1" si="8"/>
        <v>13927.926783844154</v>
      </c>
      <c r="H61" s="725">
        <f t="shared" si="8"/>
        <v>6305.7311755911251</v>
      </c>
      <c r="I61" s="725">
        <f t="shared" si="8"/>
        <v>1249.5822202788258</v>
      </c>
      <c r="J61" s="725">
        <f t="shared" si="8"/>
        <v>0</v>
      </c>
      <c r="K61" s="725">
        <f t="shared" si="8"/>
        <v>701.42493760344132</v>
      </c>
      <c r="L61" s="725">
        <f t="shared" si="8"/>
        <v>0</v>
      </c>
      <c r="M61" s="725">
        <f t="shared" ca="1" si="8"/>
        <v>0</v>
      </c>
      <c r="N61" s="725">
        <f t="shared" si="8"/>
        <v>0</v>
      </c>
      <c r="O61" s="725">
        <f t="shared" ca="1" si="8"/>
        <v>0</v>
      </c>
      <c r="P61" s="725">
        <f t="shared" si="8"/>
        <v>0</v>
      </c>
      <c r="Q61" s="725">
        <f t="shared" si="8"/>
        <v>0</v>
      </c>
      <c r="R61" s="725">
        <f ca="1">R46+R52+R56</f>
        <v>29283.303548128319</v>
      </c>
    </row>
    <row r="62" spans="1:18" ht="15.75" thickTop="1" thickBot="1">
      <c r="A62" s="965"/>
      <c r="B62" s="965"/>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0.20375304547488254</v>
      </c>
      <c r="D63" s="769">
        <f t="shared" ca="1" si="9"/>
        <v>0</v>
      </c>
      <c r="E63" s="987">
        <f t="shared" ca="1" si="9"/>
        <v>0.20199999999999996</v>
      </c>
      <c r="F63" s="769">
        <f t="shared" si="9"/>
        <v>0.22700000000000004</v>
      </c>
      <c r="G63" s="769">
        <f t="shared" ca="1" si="9"/>
        <v>0.26699999999999996</v>
      </c>
      <c r="H63" s="769">
        <f t="shared" si="9"/>
        <v>0.26700000000000002</v>
      </c>
      <c r="I63" s="769">
        <f t="shared" si="9"/>
        <v>0.24900000000000003</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88"/>
      <c r="B67" s="1088"/>
      <c r="C67" s="1088"/>
      <c r="D67" s="1088"/>
      <c r="E67" s="1088"/>
      <c r="F67" s="1088"/>
      <c r="G67" s="1088"/>
      <c r="H67" s="1088"/>
      <c r="I67" s="1088"/>
      <c r="J67" s="1088"/>
      <c r="K67" s="1088"/>
      <c r="L67" s="1088"/>
      <c r="M67" s="1088"/>
      <c r="N67" s="1088"/>
      <c r="O67" s="1088"/>
      <c r="P67" s="1088"/>
      <c r="Q67" s="1088"/>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89" t="s">
        <v>240</v>
      </c>
      <c r="B69" s="1067" t="s">
        <v>350</v>
      </c>
      <c r="C69" s="1068"/>
      <c r="D69" s="1111" t="s">
        <v>351</v>
      </c>
      <c r="E69" s="1112"/>
      <c r="F69" s="1112"/>
      <c r="G69" s="1112"/>
      <c r="H69" s="1112"/>
      <c r="I69" s="1112"/>
      <c r="J69" s="1112"/>
      <c r="K69" s="1112"/>
      <c r="L69" s="1112"/>
      <c r="M69" s="1112"/>
      <c r="N69" s="1112"/>
      <c r="O69" s="1113"/>
      <c r="P69" s="988" t="s">
        <v>661</v>
      </c>
      <c r="Q69" s="1114" t="s">
        <v>660</v>
      </c>
      <c r="R69" s="1115"/>
    </row>
    <row r="70" spans="1:18" ht="61.5" thickTop="1" thickBot="1">
      <c r="A70" s="1090"/>
      <c r="B70" s="1109"/>
      <c r="C70" s="1110"/>
      <c r="D70" s="1116" t="s">
        <v>196</v>
      </c>
      <c r="E70" s="1117"/>
      <c r="F70" s="1117"/>
      <c r="G70" s="1117"/>
      <c r="H70" s="1118"/>
      <c r="I70" s="958" t="s">
        <v>245</v>
      </c>
      <c r="J70" s="958" t="s">
        <v>233</v>
      </c>
      <c r="K70" s="958" t="s">
        <v>208</v>
      </c>
      <c r="L70" s="958" t="s">
        <v>209</v>
      </c>
      <c r="M70" s="734" t="s">
        <v>244</v>
      </c>
      <c r="N70" s="958" t="s">
        <v>246</v>
      </c>
      <c r="O70" s="960" t="s">
        <v>126</v>
      </c>
      <c r="P70" s="989"/>
      <c r="Q70" s="846"/>
      <c r="R70" s="847"/>
    </row>
    <row r="71" spans="1:18" ht="95.25" customHeight="1" thickTop="1" thickBot="1">
      <c r="A71" s="1091"/>
      <c r="B71" s="963" t="s">
        <v>659</v>
      </c>
      <c r="C71" s="963" t="s">
        <v>914</v>
      </c>
      <c r="D71" s="990" t="s">
        <v>198</v>
      </c>
      <c r="E71" s="991" t="s">
        <v>199</v>
      </c>
      <c r="F71" s="958" t="s">
        <v>200</v>
      </c>
      <c r="G71" s="955" t="s">
        <v>202</v>
      </c>
      <c r="H71" s="992" t="s">
        <v>203</v>
      </c>
      <c r="I71" s="959"/>
      <c r="J71" s="959"/>
      <c r="K71" s="959"/>
      <c r="L71" s="959"/>
      <c r="M71" s="956"/>
      <c r="N71" s="959"/>
      <c r="O71" s="964"/>
      <c r="P71" s="993"/>
      <c r="Q71" s="966" t="s">
        <v>662</v>
      </c>
      <c r="R71" s="964" t="s">
        <v>663</v>
      </c>
    </row>
    <row r="72" spans="1:18" ht="15.75" thickTop="1">
      <c r="A72" s="735" t="s">
        <v>248</v>
      </c>
      <c r="B72" s="833">
        <f>'lokale energieproductie'!B4</f>
        <v>0</v>
      </c>
      <c r="C72" s="1107"/>
      <c r="D72" s="1107"/>
      <c r="E72" s="1108"/>
      <c r="F72" s="1108"/>
      <c r="G72" s="1098"/>
      <c r="H72" s="1101"/>
      <c r="I72" s="1104"/>
      <c r="J72" s="961"/>
      <c r="K72" s="1082"/>
      <c r="L72" s="1082"/>
      <c r="M72" s="1082"/>
      <c r="N72" s="1082"/>
      <c r="O72" s="1085"/>
      <c r="P72" s="841">
        <v>0</v>
      </c>
      <c r="Q72" s="994"/>
      <c r="R72" s="841">
        <v>0</v>
      </c>
    </row>
    <row r="73" spans="1:18" ht="15">
      <c r="A73" s="736" t="s">
        <v>249</v>
      </c>
      <c r="B73" s="735">
        <f>'lokale energieproductie'!B5</f>
        <v>0</v>
      </c>
      <c r="C73" s="1105"/>
      <c r="D73" s="1105"/>
      <c r="E73" s="1083"/>
      <c r="F73" s="1083"/>
      <c r="G73" s="1099"/>
      <c r="H73" s="1102"/>
      <c r="I73" s="1105"/>
      <c r="J73" s="962"/>
      <c r="K73" s="1083"/>
      <c r="L73" s="1083"/>
      <c r="M73" s="1083"/>
      <c r="N73" s="1083"/>
      <c r="O73" s="1086"/>
      <c r="P73" s="842">
        <v>0</v>
      </c>
      <c r="Q73" s="848"/>
      <c r="R73" s="842">
        <v>0</v>
      </c>
    </row>
    <row r="74" spans="1:18" ht="15">
      <c r="A74" s="736" t="s">
        <v>250</v>
      </c>
      <c r="B74" s="735">
        <f>'lokale energieproductie'!B6</f>
        <v>1573.5113668282725</v>
      </c>
      <c r="C74" s="1105"/>
      <c r="D74" s="1105"/>
      <c r="E74" s="1083"/>
      <c r="F74" s="1083"/>
      <c r="G74" s="1099"/>
      <c r="H74" s="1102"/>
      <c r="I74" s="1105"/>
      <c r="J74" s="962"/>
      <c r="K74" s="1083"/>
      <c r="L74" s="1083"/>
      <c r="M74" s="1083"/>
      <c r="N74" s="1083"/>
      <c r="O74" s="1086"/>
      <c r="P74" s="842">
        <v>0</v>
      </c>
      <c r="Q74" s="848"/>
      <c r="R74" s="842">
        <v>0</v>
      </c>
    </row>
    <row r="75" spans="1:18" ht="15.75" thickBot="1">
      <c r="A75" s="736" t="s">
        <v>907</v>
      </c>
      <c r="B75" s="735">
        <f>'lokale energieproductie'!B7</f>
        <v>0</v>
      </c>
      <c r="C75" s="1106"/>
      <c r="D75" s="1106"/>
      <c r="E75" s="1084"/>
      <c r="F75" s="1084"/>
      <c r="G75" s="1100"/>
      <c r="H75" s="1103"/>
      <c r="I75" s="1106"/>
      <c r="J75" s="995"/>
      <c r="K75" s="1084"/>
      <c r="L75" s="1084"/>
      <c r="M75" s="1084"/>
      <c r="N75" s="1084"/>
      <c r="O75" s="1087"/>
      <c r="P75" s="842">
        <v>0</v>
      </c>
      <c r="Q75" s="996"/>
      <c r="R75" s="842">
        <v>0</v>
      </c>
    </row>
    <row r="76" spans="1:18" ht="15">
      <c r="A76" s="737" t="s">
        <v>251</v>
      </c>
      <c r="B76" s="735">
        <f>'lokale energieproductie'!B8*IFERROR(SUM(I76:O76)/SUM(D76:O76),0)</f>
        <v>0</v>
      </c>
      <c r="C76" s="735">
        <f>'lokale energieproductie'!B8*IFERROR(SUM(D76:H76)/SUM(D76:O76),0)</f>
        <v>0</v>
      </c>
      <c r="D76" s="997">
        <f>'lokale energieproductie'!C8</f>
        <v>0</v>
      </c>
      <c r="E76" s="998">
        <f>'lokale energieproductie'!D8</f>
        <v>0</v>
      </c>
      <c r="F76" s="998">
        <f>'lokale energieproductie'!E8</f>
        <v>0</v>
      </c>
      <c r="G76" s="998">
        <f>'lokale energieproductie'!F8</f>
        <v>0</v>
      </c>
      <c r="H76" s="998">
        <f>'lokale energieproductie'!G8</f>
        <v>0</v>
      </c>
      <c r="I76" s="998">
        <f>'lokale energieproductie'!I8</f>
        <v>0</v>
      </c>
      <c r="J76" s="998">
        <f>'lokale energieproductie'!J8</f>
        <v>0</v>
      </c>
      <c r="K76" s="998">
        <f>'lokale energieproductie'!M8</f>
        <v>0</v>
      </c>
      <c r="L76" s="998">
        <f>'lokale energieproductie'!N8</f>
        <v>0</v>
      </c>
      <c r="M76" s="998">
        <f>'lokale energieproductie'!H8</f>
        <v>0</v>
      </c>
      <c r="N76" s="998">
        <f>'lokale energieproductie'!K8</f>
        <v>0</v>
      </c>
      <c r="O76" s="999">
        <f>'lokale energieproductie'!L8</f>
        <v>0</v>
      </c>
      <c r="P76" s="1000"/>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998">
        <f>'lokale energieproductie'!I9</f>
        <v>0</v>
      </c>
      <c r="J77" s="998">
        <f>'lokale energieproductie'!J9</f>
        <v>0</v>
      </c>
      <c r="K77" s="998">
        <f>'lokale energieproductie'!M9</f>
        <v>0</v>
      </c>
      <c r="L77" s="998">
        <f>'lokale energieproductie'!N9</f>
        <v>0</v>
      </c>
      <c r="M77" s="998">
        <f>'lokale energieproductie'!H9</f>
        <v>0</v>
      </c>
      <c r="N77" s="998">
        <f>'lokale energieproductie'!K9</f>
        <v>0</v>
      </c>
      <c r="O77" s="999">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1573.5113668282725</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65"/>
      <c r="B80" s="965"/>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88"/>
      <c r="B82" s="1088"/>
      <c r="C82" s="1088"/>
      <c r="D82" s="1088"/>
      <c r="E82" s="1088"/>
      <c r="F82" s="1088"/>
      <c r="G82" s="1088"/>
      <c r="H82" s="1088"/>
      <c r="I82" s="1088"/>
      <c r="J82" s="1088"/>
      <c r="K82" s="1088"/>
      <c r="L82" s="1088"/>
      <c r="M82" s="1088"/>
      <c r="N82" s="1088"/>
      <c r="O82" s="1088"/>
      <c r="P82" s="1088"/>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89" t="s">
        <v>252</v>
      </c>
      <c r="B84" s="1067" t="s">
        <v>354</v>
      </c>
      <c r="C84" s="1092"/>
      <c r="D84" s="1095" t="s">
        <v>355</v>
      </c>
      <c r="E84" s="1096"/>
      <c r="F84" s="1096"/>
      <c r="G84" s="1096"/>
      <c r="H84" s="1096"/>
      <c r="I84" s="1096"/>
      <c r="J84" s="1096"/>
      <c r="K84" s="1096"/>
      <c r="L84" s="1096"/>
      <c r="M84" s="1096"/>
      <c r="N84" s="1096"/>
      <c r="O84" s="1097"/>
      <c r="P84" s="988" t="s">
        <v>661</v>
      </c>
      <c r="Q84" s="1067" t="s">
        <v>660</v>
      </c>
      <c r="R84" s="1068"/>
    </row>
    <row r="85" spans="1:19" ht="16.5" customHeight="1" thickTop="1" thickBot="1">
      <c r="A85" s="1090"/>
      <c r="B85" s="1093"/>
      <c r="C85" s="1094"/>
      <c r="D85" s="1069" t="s">
        <v>196</v>
      </c>
      <c r="E85" s="1070"/>
      <c r="F85" s="1070"/>
      <c r="G85" s="1070"/>
      <c r="H85" s="1071"/>
      <c r="I85" s="1072" t="s">
        <v>245</v>
      </c>
      <c r="J85" s="1074" t="s">
        <v>233</v>
      </c>
      <c r="K85" s="1076" t="s">
        <v>208</v>
      </c>
      <c r="L85" s="1076" t="s">
        <v>209</v>
      </c>
      <c r="M85" s="1078" t="s">
        <v>244</v>
      </c>
      <c r="N85" s="1076" t="s">
        <v>256</v>
      </c>
      <c r="O85" s="1080" t="s">
        <v>126</v>
      </c>
      <c r="P85" s="989"/>
      <c r="Q85" s="846"/>
      <c r="R85" s="847"/>
    </row>
    <row r="86" spans="1:19" ht="110.25" customHeight="1" thickTop="1" thickBot="1">
      <c r="A86" s="1091"/>
      <c r="B86" s="834" t="s">
        <v>659</v>
      </c>
      <c r="C86" s="834" t="s">
        <v>914</v>
      </c>
      <c r="D86" s="966" t="s">
        <v>198</v>
      </c>
      <c r="E86" s="959" t="s">
        <v>199</v>
      </c>
      <c r="F86" s="957" t="s">
        <v>200</v>
      </c>
      <c r="G86" s="959" t="s">
        <v>202</v>
      </c>
      <c r="H86" s="749" t="s">
        <v>203</v>
      </c>
      <c r="I86" s="1073"/>
      <c r="J86" s="1075"/>
      <c r="K86" s="1077"/>
      <c r="L86" s="1077"/>
      <c r="M86" s="1079"/>
      <c r="N86" s="1077"/>
      <c r="O86" s="1081"/>
      <c r="P86" s="993"/>
      <c r="Q86" s="966" t="s">
        <v>662</v>
      </c>
      <c r="R86" s="964" t="s">
        <v>663</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64"/>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65"/>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66"/>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0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40" t="s">
        <v>240</v>
      </c>
      <c r="B1" s="1228" t="s">
        <v>241</v>
      </c>
      <c r="C1" s="1262" t="s">
        <v>242</v>
      </c>
      <c r="D1" s="1263"/>
      <c r="E1" s="1263"/>
      <c r="F1" s="1263"/>
      <c r="G1" s="1263"/>
      <c r="H1" s="1263"/>
      <c r="I1" s="1263"/>
      <c r="J1" s="1263"/>
      <c r="K1" s="1263"/>
      <c r="L1" s="1263"/>
      <c r="M1" s="1263"/>
      <c r="N1" s="1264"/>
      <c r="O1" s="1229" t="s">
        <v>243</v>
      </c>
      <c r="P1" s="1228" t="s">
        <v>558</v>
      </c>
      <c r="Q1" s="1229"/>
      <c r="S1" s="1227"/>
      <c r="T1" s="1227"/>
      <c r="U1" s="1227"/>
    </row>
    <row r="2" spans="1:21" s="542" customFormat="1" ht="15.75" thickBot="1">
      <c r="A2" s="1241"/>
      <c r="B2" s="1241"/>
      <c r="C2" s="1258" t="s">
        <v>196</v>
      </c>
      <c r="D2" s="1259"/>
      <c r="E2" s="1259"/>
      <c r="F2" s="1259"/>
      <c r="G2" s="1260"/>
      <c r="H2" s="1261" t="s">
        <v>244</v>
      </c>
      <c r="I2" s="1256" t="s">
        <v>245</v>
      </c>
      <c r="J2" s="1256" t="s">
        <v>233</v>
      </c>
      <c r="K2" s="1256" t="s">
        <v>246</v>
      </c>
      <c r="L2" s="1256" t="s">
        <v>126</v>
      </c>
      <c r="M2" s="1256" t="s">
        <v>908</v>
      </c>
      <c r="N2" s="1251" t="s">
        <v>909</v>
      </c>
      <c r="O2" s="1231"/>
      <c r="P2" s="1230"/>
      <c r="Q2" s="1231"/>
      <c r="S2" s="1227"/>
      <c r="T2" s="1227"/>
      <c r="U2" s="1227"/>
    </row>
    <row r="3" spans="1:21" s="542" customFormat="1" ht="53.45" customHeight="1" thickBot="1">
      <c r="A3" s="1242"/>
      <c r="B3" s="1232"/>
      <c r="C3" s="543" t="s">
        <v>198</v>
      </c>
      <c r="D3" s="1011" t="s">
        <v>199</v>
      </c>
      <c r="E3" s="544" t="s">
        <v>200</v>
      </c>
      <c r="F3" s="545" t="s">
        <v>202</v>
      </c>
      <c r="G3" s="546" t="s">
        <v>203</v>
      </c>
      <c r="H3" s="1247"/>
      <c r="I3" s="1257"/>
      <c r="J3" s="1257"/>
      <c r="K3" s="1257"/>
      <c r="L3" s="1257"/>
      <c r="M3" s="1257"/>
      <c r="N3" s="1252"/>
      <c r="O3" s="1233"/>
      <c r="P3" s="1232"/>
      <c r="Q3" s="1233"/>
      <c r="S3" s="1227"/>
      <c r="T3" s="1227"/>
      <c r="U3" s="1227"/>
    </row>
    <row r="4" spans="1:21" s="542" customFormat="1" ht="15.75" thickTop="1">
      <c r="A4" s="547" t="s">
        <v>248</v>
      </c>
      <c r="B4" s="548">
        <f>IF(ISERROR(kWh_wind_land),0,kWh_wind_land)</f>
        <v>0</v>
      </c>
      <c r="C4" s="1268"/>
      <c r="D4" s="1253"/>
      <c r="E4" s="1253"/>
      <c r="F4" s="1271"/>
      <c r="G4" s="1274"/>
      <c r="H4" s="1265"/>
      <c r="I4" s="1253"/>
      <c r="J4" s="1253"/>
      <c r="K4" s="1253"/>
      <c r="L4" s="1253"/>
      <c r="M4" s="1253"/>
      <c r="N4" s="973"/>
      <c r="O4" s="549"/>
      <c r="P4" s="1234"/>
      <c r="Q4" s="1235"/>
      <c r="S4" s="1008"/>
      <c r="T4" s="1224"/>
      <c r="U4" s="1224"/>
    </row>
    <row r="5" spans="1:21" s="542" customFormat="1">
      <c r="A5" s="550" t="s">
        <v>249</v>
      </c>
      <c r="B5" s="548">
        <f>IF(ISERROR(kWh_waterkracht),0,kWh_waterkracht)</f>
        <v>0</v>
      </c>
      <c r="C5" s="1269"/>
      <c r="D5" s="1254"/>
      <c r="E5" s="1254"/>
      <c r="F5" s="1272"/>
      <c r="G5" s="1275"/>
      <c r="H5" s="1266"/>
      <c r="I5" s="1254"/>
      <c r="J5" s="1254"/>
      <c r="K5" s="1254"/>
      <c r="L5" s="1254"/>
      <c r="M5" s="1254"/>
      <c r="N5" s="973"/>
      <c r="O5" s="551"/>
      <c r="P5" s="1236"/>
      <c r="Q5" s="1237"/>
      <c r="S5" s="1008"/>
      <c r="T5" s="1224"/>
      <c r="U5" s="1224"/>
    </row>
    <row r="6" spans="1:21" s="542" customFormat="1">
      <c r="A6" s="550" t="s">
        <v>250</v>
      </c>
      <c r="B6" s="548">
        <f>IF(ISERROR((kWh_PV_kleiner_dan_10kW+kWh_PV_groter_dan_10kW)),0,(kWh_PV_kleiner_dan_10kW+kWh_PV_groter_dan_10kW))</f>
        <v>1573.5113668282725</v>
      </c>
      <c r="C6" s="1269"/>
      <c r="D6" s="1254"/>
      <c r="E6" s="1254"/>
      <c r="F6" s="1272"/>
      <c r="G6" s="1275"/>
      <c r="H6" s="1266"/>
      <c r="I6" s="1254"/>
      <c r="J6" s="1254"/>
      <c r="K6" s="1254"/>
      <c r="L6" s="1254"/>
      <c r="M6" s="1254"/>
      <c r="N6" s="973"/>
      <c r="O6" s="551"/>
      <c r="P6" s="1236"/>
      <c r="Q6" s="1237"/>
      <c r="S6" s="1008"/>
      <c r="T6" s="1224"/>
      <c r="U6" s="1224"/>
    </row>
    <row r="7" spans="1:21" s="542" customFormat="1">
      <c r="A7" s="550" t="s">
        <v>907</v>
      </c>
      <c r="B7" s="548"/>
      <c r="C7" s="1270"/>
      <c r="D7" s="1255"/>
      <c r="E7" s="1255"/>
      <c r="F7" s="1273"/>
      <c r="G7" s="1276"/>
      <c r="H7" s="1267"/>
      <c r="I7" s="1255"/>
      <c r="J7" s="1255"/>
      <c r="K7" s="1255"/>
      <c r="L7" s="1255"/>
      <c r="M7" s="1255"/>
      <c r="N7" s="974"/>
      <c r="O7" s="551"/>
      <c r="P7" s="1009"/>
      <c r="Q7" s="1010"/>
      <c r="S7" s="1008"/>
      <c r="T7" s="1008"/>
      <c r="U7" s="1008"/>
    </row>
    <row r="8" spans="1:21" s="542" customFormat="1">
      <c r="A8" s="552" t="s">
        <v>251</v>
      </c>
      <c r="B8" s="553">
        <f>N29</f>
        <v>0</v>
      </c>
      <c r="C8" s="554">
        <f>B48</f>
        <v>0</v>
      </c>
      <c r="D8" s="975"/>
      <c r="E8" s="975">
        <f>E48</f>
        <v>0</v>
      </c>
      <c r="F8" s="976"/>
      <c r="G8" s="555"/>
      <c r="H8" s="975">
        <f>I48</f>
        <v>0</v>
      </c>
      <c r="I8" s="975">
        <f>G48+F48</f>
        <v>0</v>
      </c>
      <c r="J8" s="975">
        <f>H48+D48+C48</f>
        <v>0</v>
      </c>
      <c r="K8" s="975"/>
      <c r="L8" s="975"/>
      <c r="M8" s="975"/>
      <c r="N8" s="556"/>
      <c r="O8" s="557">
        <f>C8*$C$12+D8*$D$12+E8*$E$12+F8*$F$12+G8*$G$12+H8*$H$12+I8*$I$12+J8*$J$12</f>
        <v>0</v>
      </c>
      <c r="P8" s="1236"/>
      <c r="Q8" s="1237"/>
      <c r="S8" s="1008"/>
      <c r="T8" s="1224"/>
      <c r="U8" s="1224"/>
    </row>
    <row r="9" spans="1:21" s="542" customFormat="1" ht="17.45" customHeight="1" thickBot="1">
      <c r="A9" s="558" t="s">
        <v>247</v>
      </c>
      <c r="B9" s="101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9"/>
      <c r="O9" s="557">
        <f>C9*$C$12+D9*$D$12+E9*$E$12+F9*$F$12+G9*$G$12+H9*$H$12+I9*$I$12+J9*$J$12</f>
        <v>0</v>
      </c>
      <c r="P9" s="1238"/>
      <c r="Q9" s="1239"/>
      <c r="R9" s="563"/>
      <c r="S9" s="1008"/>
      <c r="T9" s="1224"/>
      <c r="U9" s="1224"/>
    </row>
    <row r="10" spans="1:21" s="542" customFormat="1" ht="16.5" thickTop="1" thickBot="1">
      <c r="A10" s="564" t="s">
        <v>115</v>
      </c>
      <c r="B10" s="565">
        <f>SUM(B4:B9)</f>
        <v>1573.5113668282725</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70"/>
      <c r="N10" s="970"/>
      <c r="O10" s="567">
        <f>SUM(O4:O9)</f>
        <v>0</v>
      </c>
      <c r="P10" s="568"/>
      <c r="R10" s="1006"/>
      <c r="S10" s="1008"/>
      <c r="T10" s="1006"/>
      <c r="U10" s="1006"/>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40" t="s">
        <v>252</v>
      </c>
      <c r="B14" s="1240" t="s">
        <v>253</v>
      </c>
      <c r="C14" s="1248" t="s">
        <v>254</v>
      </c>
      <c r="D14" s="1249"/>
      <c r="E14" s="1249"/>
      <c r="F14" s="1249"/>
      <c r="G14" s="1249"/>
      <c r="H14" s="1249"/>
      <c r="I14" s="1249"/>
      <c r="J14" s="1249"/>
      <c r="K14" s="1249"/>
      <c r="L14" s="1249"/>
      <c r="M14" s="1249"/>
      <c r="N14" s="1250"/>
      <c r="O14" s="1229" t="s">
        <v>243</v>
      </c>
      <c r="P14" s="1228" t="s">
        <v>255</v>
      </c>
      <c r="Q14" s="1229"/>
      <c r="R14" s="1227"/>
      <c r="S14" s="1227"/>
      <c r="T14" s="1227"/>
    </row>
    <row r="15" spans="1:21" s="542" customFormat="1" ht="15.75" customHeight="1" thickBot="1">
      <c r="A15" s="1241"/>
      <c r="B15" s="1241"/>
      <c r="C15" s="1243" t="s">
        <v>196</v>
      </c>
      <c r="D15" s="1244"/>
      <c r="E15" s="1244"/>
      <c r="F15" s="1244"/>
      <c r="G15" s="1245"/>
      <c r="H15" s="1246" t="s">
        <v>244</v>
      </c>
      <c r="I15" s="1246" t="s">
        <v>245</v>
      </c>
      <c r="J15" s="1246" t="s">
        <v>233</v>
      </c>
      <c r="K15" s="1246" t="s">
        <v>256</v>
      </c>
      <c r="L15" s="1246" t="s">
        <v>126</v>
      </c>
      <c r="M15" s="1246" t="s">
        <v>908</v>
      </c>
      <c r="N15" s="1251" t="s">
        <v>909</v>
      </c>
      <c r="O15" s="1231"/>
      <c r="P15" s="1230"/>
      <c r="Q15" s="1231"/>
      <c r="R15" s="1227"/>
      <c r="S15" s="1227"/>
      <c r="T15" s="1227"/>
    </row>
    <row r="16" spans="1:21" s="542" customFormat="1" ht="40.700000000000003" customHeight="1" thickBot="1">
      <c r="A16" s="1242"/>
      <c r="B16" s="1242"/>
      <c r="C16" s="574" t="s">
        <v>198</v>
      </c>
      <c r="D16" s="1011" t="s">
        <v>199</v>
      </c>
      <c r="E16" s="968" t="s">
        <v>200</v>
      </c>
      <c r="F16" s="1011" t="s">
        <v>202</v>
      </c>
      <c r="G16" s="575" t="s">
        <v>203</v>
      </c>
      <c r="H16" s="1247"/>
      <c r="I16" s="1247"/>
      <c r="J16" s="1247"/>
      <c r="K16" s="1247"/>
      <c r="L16" s="1247"/>
      <c r="M16" s="1247"/>
      <c r="N16" s="1252"/>
      <c r="O16" s="1233"/>
      <c r="P16" s="1232"/>
      <c r="Q16" s="1233"/>
      <c r="R16" s="1227"/>
      <c r="S16" s="1227"/>
      <c r="T16" s="1227"/>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71"/>
      <c r="O17" s="582">
        <f>C17*$C$22+E17*$E$22+H17*$H$22+I17*$I$22+J17*$J$22+D17*$D$22+F17*$F$22+G17*$G$22+K17*$K$22+L17*$L$22</f>
        <v>0</v>
      </c>
      <c r="P17" s="1219"/>
      <c r="Q17" s="1220"/>
      <c r="R17" s="1007"/>
      <c r="S17" s="1221"/>
      <c r="T17" s="1221"/>
    </row>
    <row r="18" spans="1:26" s="542" customFormat="1">
      <c r="A18" s="583" t="s">
        <v>257</v>
      </c>
      <c r="B18" s="584">
        <f>'Eigen informatie GS &amp; warmtenet'!B32</f>
        <v>0</v>
      </c>
      <c r="C18" s="975">
        <f>'Eigen informatie GS &amp; warmtenet'!B35</f>
        <v>0</v>
      </c>
      <c r="D18" s="975">
        <f>'Eigen informatie GS &amp; warmtenet'!B36</f>
        <v>0</v>
      </c>
      <c r="E18" s="975">
        <f>'Eigen informatie GS &amp; warmtenet'!B37</f>
        <v>0</v>
      </c>
      <c r="F18" s="975">
        <f>'Eigen informatie GS &amp; warmtenet'!B38</f>
        <v>0</v>
      </c>
      <c r="G18" s="975">
        <f>'Eigen informatie GS &amp; warmtenet'!B39</f>
        <v>0</v>
      </c>
      <c r="H18" s="975">
        <f>'Eigen informatie GS &amp; warmtenet'!B40</f>
        <v>0</v>
      </c>
      <c r="I18" s="975">
        <f>'Eigen informatie GS &amp; warmtenet'!B41</f>
        <v>0</v>
      </c>
      <c r="J18" s="975">
        <f>'Eigen informatie GS &amp; warmtenet'!B42</f>
        <v>0</v>
      </c>
      <c r="K18" s="975">
        <f>'Eigen informatie GS &amp; warmtenet'!B43</f>
        <v>0</v>
      </c>
      <c r="L18" s="975">
        <f>'Eigen informatie GS &amp; warmtenet'!B44</f>
        <v>0</v>
      </c>
      <c r="M18" s="975">
        <f>'Eigen informatie GS &amp; warmtenet'!B45</f>
        <v>0</v>
      </c>
      <c r="N18" s="975">
        <f>'Eigen informatie GS &amp; warmtenet'!B46</f>
        <v>0</v>
      </c>
      <c r="O18" s="582">
        <f>C18*$C$22+E18*$E$22+H18*$H$22+I18*$I$22+J18*$J$22+D18*$D$22+F18*$F$22+G18*$G$22+K18*$K$22+L18*$L$22</f>
        <v>0</v>
      </c>
      <c r="P18" s="1222"/>
      <c r="Q18" s="1223"/>
      <c r="R18" s="1008"/>
      <c r="S18" s="1224"/>
      <c r="T18" s="1224"/>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75"/>
      <c r="N19" s="972"/>
      <c r="O19" s="582">
        <f>C19*$C$22+E19*$E$22+H19*$H$22+I19*$I$22+J19*$J$22+D19*$D$22+F19*$F$22+G19*$G$22+K19*$K$22+L19*$L$22</f>
        <v>0</v>
      </c>
      <c r="P19" s="1225"/>
      <c r="Q19" s="1226"/>
      <c r="R19" s="1008"/>
      <c r="S19" s="1224"/>
      <c r="T19" s="1224"/>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16"/>
      <c r="Q20" s="1217"/>
      <c r="R20" s="1008"/>
      <c r="S20" s="1218"/>
      <c r="T20" s="1218"/>
    </row>
    <row r="21" spans="1:26" s="542" customFormat="1" ht="15.75" thickTop="1">
      <c r="A21" s="1007"/>
      <c r="B21" s="1008"/>
      <c r="C21" s="1008"/>
      <c r="D21" s="1008"/>
      <c r="E21" s="1008"/>
      <c r="F21" s="1008"/>
      <c r="G21" s="1008"/>
      <c r="H21" s="1008"/>
      <c r="I21" s="1008"/>
      <c r="J21" s="1008"/>
      <c r="K21" s="1008"/>
      <c r="L21" s="1008"/>
      <c r="M21" s="1008"/>
      <c r="N21" s="1008"/>
      <c r="O21" s="1008"/>
      <c r="P21" s="1006"/>
      <c r="Q21" s="1006"/>
      <c r="R21" s="1008"/>
      <c r="S21" s="1006"/>
      <c r="T21" s="1006"/>
    </row>
    <row r="22" spans="1:26" s="571"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545</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545</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545</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7" t="s">
        <v>418</v>
      </c>
      <c r="B1" s="357" t="s">
        <v>425</v>
      </c>
      <c r="C1" s="357" t="s">
        <v>424</v>
      </c>
      <c r="D1" s="357" t="s">
        <v>423</v>
      </c>
      <c r="E1" s="358" t="s">
        <v>419</v>
      </c>
      <c r="F1" s="359" t="s">
        <v>420</v>
      </c>
      <c r="G1" s="359" t="s">
        <v>421</v>
      </c>
      <c r="H1" s="359" t="s">
        <v>422</v>
      </c>
    </row>
    <row r="2" spans="1:8" s="11" customFormat="1">
      <c r="A2" s="1044" t="s">
        <v>948</v>
      </c>
      <c r="B2" s="1045" t="s">
        <v>949</v>
      </c>
      <c r="C2" s="1044" t="s">
        <v>747</v>
      </c>
      <c r="D2" s="1044" t="s">
        <v>817</v>
      </c>
      <c r="E2" s="897"/>
      <c r="F2" s="904" t="s">
        <v>820</v>
      </c>
      <c r="G2" s="904" t="s">
        <v>821</v>
      </c>
      <c r="H2" s="350" t="s">
        <v>822</v>
      </c>
    </row>
    <row r="3" spans="1:8" s="11" customFormat="1">
      <c r="A3" s="1041" t="s">
        <v>946</v>
      </c>
      <c r="B3" s="1042" t="s">
        <v>945</v>
      </c>
      <c r="C3" s="1041" t="s">
        <v>192</v>
      </c>
      <c r="D3" s="1043" t="s">
        <v>947</v>
      </c>
      <c r="E3" s="897"/>
      <c r="F3" s="898" t="s">
        <v>811</v>
      </c>
      <c r="G3" s="898" t="s">
        <v>812</v>
      </c>
      <c r="H3" s="898" t="s">
        <v>813</v>
      </c>
    </row>
    <row r="4" spans="1:8" s="11" customFormat="1">
      <c r="A4" s="351" t="s">
        <v>411</v>
      </c>
      <c r="B4" s="789">
        <v>2012</v>
      </c>
      <c r="C4" s="351" t="s">
        <v>411</v>
      </c>
      <c r="D4" s="351"/>
      <c r="E4" s="352"/>
      <c r="F4" s="901" t="s">
        <v>814</v>
      </c>
      <c r="G4" s="901" t="s">
        <v>815</v>
      </c>
      <c r="H4" s="901" t="s">
        <v>816</v>
      </c>
    </row>
    <row r="5" spans="1:8">
      <c r="A5" s="346" t="s">
        <v>404</v>
      </c>
      <c r="B5" s="347" t="s">
        <v>405</v>
      </c>
      <c r="C5" s="346" t="s">
        <v>404</v>
      </c>
      <c r="D5" s="346" t="s">
        <v>719</v>
      </c>
      <c r="E5" s="348"/>
      <c r="F5" s="349" t="s">
        <v>406</v>
      </c>
      <c r="G5" s="349" t="s">
        <v>407</v>
      </c>
      <c r="H5" s="350" t="s">
        <v>408</v>
      </c>
    </row>
    <row r="6" spans="1:8">
      <c r="A6" s="346" t="s">
        <v>409</v>
      </c>
      <c r="B6" s="347" t="s">
        <v>405</v>
      </c>
      <c r="C6" s="346" t="s">
        <v>409</v>
      </c>
      <c r="D6" s="346" t="s">
        <v>720</v>
      </c>
      <c r="E6" s="348"/>
      <c r="F6" s="349" t="s">
        <v>799</v>
      </c>
      <c r="G6" s="349" t="s">
        <v>807</v>
      </c>
      <c r="H6" s="350" t="s">
        <v>808</v>
      </c>
    </row>
    <row r="7" spans="1:8">
      <c r="A7" s="351" t="s">
        <v>436</v>
      </c>
      <c r="B7" s="355" t="s">
        <v>437</v>
      </c>
      <c r="C7" s="351" t="s">
        <v>439</v>
      </c>
      <c r="D7" s="351" t="s">
        <v>435</v>
      </c>
      <c r="E7" s="348" t="s">
        <v>438</v>
      </c>
      <c r="F7" s="349"/>
      <c r="G7" s="349"/>
      <c r="H7" s="350"/>
    </row>
    <row r="8" spans="1:8">
      <c r="A8" s="896" t="s">
        <v>823</v>
      </c>
      <c r="B8" s="902">
        <v>2011</v>
      </c>
      <c r="C8" s="896" t="s">
        <v>411</v>
      </c>
      <c r="D8" s="896" t="s">
        <v>824</v>
      </c>
      <c r="E8" s="903" t="s">
        <v>825</v>
      </c>
      <c r="F8" s="904"/>
      <c r="G8" s="904"/>
      <c r="H8" s="350"/>
    </row>
    <row r="9" spans="1:8">
      <c r="A9" s="896" t="s">
        <v>837</v>
      </c>
      <c r="B9" s="902" t="s">
        <v>838</v>
      </c>
      <c r="C9" s="896" t="s">
        <v>841</v>
      </c>
      <c r="D9" s="896" t="s">
        <v>840</v>
      </c>
      <c r="E9" s="903" t="s">
        <v>836</v>
      </c>
      <c r="F9" s="904"/>
      <c r="G9" s="904"/>
      <c r="H9" s="350"/>
    </row>
    <row r="10" spans="1:8">
      <c r="A10" s="351" t="s">
        <v>638</v>
      </c>
      <c r="B10" s="347" t="s">
        <v>639</v>
      </c>
      <c r="C10" s="351" t="s">
        <v>640</v>
      </c>
      <c r="D10" s="351" t="s">
        <v>641</v>
      </c>
      <c r="E10" s="348"/>
      <c r="F10" s="349" t="s">
        <v>800</v>
      </c>
      <c r="G10" s="349" t="s">
        <v>809</v>
      </c>
      <c r="H10" s="350" t="s">
        <v>810</v>
      </c>
    </row>
    <row r="11" spans="1:8">
      <c r="A11" s="346" t="s">
        <v>796</v>
      </c>
      <c r="B11" s="347" t="s">
        <v>797</v>
      </c>
      <c r="C11" s="346" t="s">
        <v>798</v>
      </c>
      <c r="D11" s="346" t="s">
        <v>649</v>
      </c>
      <c r="E11" s="683"/>
      <c r="F11" s="349" t="s">
        <v>804</v>
      </c>
      <c r="G11" s="349" t="s">
        <v>805</v>
      </c>
      <c r="H11" s="350" t="s">
        <v>806</v>
      </c>
    </row>
    <row r="12" spans="1:8">
      <c r="A12" s="896" t="s">
        <v>818</v>
      </c>
      <c r="B12" s="902">
        <v>2017</v>
      </c>
      <c r="C12" s="896" t="s">
        <v>429</v>
      </c>
      <c r="D12" s="896" t="s">
        <v>819</v>
      </c>
      <c r="E12" s="903"/>
      <c r="F12" s="904" t="s">
        <v>820</v>
      </c>
      <c r="G12" s="904" t="s">
        <v>821</v>
      </c>
      <c r="H12" s="350" t="s">
        <v>822</v>
      </c>
    </row>
    <row r="13" spans="1:8" s="10" customFormat="1">
      <c r="A13" s="351" t="s">
        <v>413</v>
      </c>
      <c r="B13" s="347" t="s">
        <v>428</v>
      </c>
      <c r="C13" s="346"/>
      <c r="D13" s="356" t="s">
        <v>427</v>
      </c>
      <c r="E13" s="348"/>
      <c r="F13" s="349"/>
      <c r="G13" s="349"/>
      <c r="H13" s="350"/>
    </row>
    <row r="14" spans="1:8">
      <c r="A14" s="346" t="s">
        <v>396</v>
      </c>
      <c r="B14" s="347" t="s">
        <v>402</v>
      </c>
      <c r="C14" s="346" t="s">
        <v>401</v>
      </c>
      <c r="D14" s="346" t="s">
        <v>403</v>
      </c>
      <c r="E14" s="354" t="s">
        <v>397</v>
      </c>
      <c r="F14" s="349" t="s">
        <v>398</v>
      </c>
      <c r="G14" s="349" t="s">
        <v>399</v>
      </c>
      <c r="H14" s="349" t="s">
        <v>400</v>
      </c>
    </row>
    <row r="15" spans="1:8">
      <c r="A15" s="346" t="s">
        <v>412</v>
      </c>
      <c r="B15" s="347" t="s">
        <v>405</v>
      </c>
      <c r="C15" s="346" t="s">
        <v>412</v>
      </c>
      <c r="D15" s="346" t="s">
        <v>426</v>
      </c>
      <c r="E15" s="348"/>
      <c r="F15" s="349" t="s">
        <v>857</v>
      </c>
      <c r="G15" s="349" t="s">
        <v>858</v>
      </c>
      <c r="H15" s="350" t="s">
        <v>859</v>
      </c>
    </row>
    <row r="16" spans="1:8">
      <c r="A16" s="346" t="s">
        <v>517</v>
      </c>
      <c r="B16" s="347" t="s">
        <v>381</v>
      </c>
      <c r="C16" s="346" t="s">
        <v>379</v>
      </c>
      <c r="D16" s="356" t="s">
        <v>380</v>
      </c>
      <c r="E16" s="348" t="s">
        <v>382</v>
      </c>
      <c r="F16" s="349" t="s">
        <v>801</v>
      </c>
      <c r="G16" s="349" t="s">
        <v>802</v>
      </c>
      <c r="H16" s="350" t="s">
        <v>803</v>
      </c>
    </row>
    <row r="17" spans="1:8">
      <c r="A17" s="346" t="s">
        <v>517</v>
      </c>
      <c r="B17" s="347" t="s">
        <v>845</v>
      </c>
      <c r="C17" s="346" t="s">
        <v>849</v>
      </c>
      <c r="D17" s="356" t="s">
        <v>850</v>
      </c>
      <c r="E17" s="348"/>
      <c r="F17" s="349" t="s">
        <v>801</v>
      </c>
      <c r="G17" s="349" t="s">
        <v>802</v>
      </c>
      <c r="H17" s="350" t="s">
        <v>803</v>
      </c>
    </row>
    <row r="18" spans="1:8">
      <c r="A18" s="351" t="s">
        <v>516</v>
      </c>
      <c r="B18" s="355" t="s">
        <v>405</v>
      </c>
      <c r="C18" s="351" t="s">
        <v>429</v>
      </c>
      <c r="D18" s="351" t="s">
        <v>377</v>
      </c>
      <c r="E18" s="348"/>
      <c r="F18" s="349" t="s">
        <v>801</v>
      </c>
      <c r="G18" s="349" t="s">
        <v>802</v>
      </c>
      <c r="H18" s="350" t="s">
        <v>803</v>
      </c>
    </row>
    <row r="19" spans="1:8" s="10" customFormat="1">
      <c r="A19" s="351" t="s">
        <v>515</v>
      </c>
      <c r="B19" s="355" t="s">
        <v>514</v>
      </c>
      <c r="C19" s="351" t="s">
        <v>513</v>
      </c>
      <c r="D19" s="351" t="s">
        <v>512</v>
      </c>
      <c r="E19" s="344"/>
      <c r="F19" s="345"/>
      <c r="G19" s="345"/>
      <c r="H19" s="353"/>
    </row>
    <row r="20" spans="1:8">
      <c r="A20" s="351" t="s">
        <v>192</v>
      </c>
      <c r="B20" s="789" t="s">
        <v>721</v>
      </c>
      <c r="C20" s="351" t="s">
        <v>430</v>
      </c>
      <c r="D20" s="351" t="s">
        <v>431</v>
      </c>
      <c r="E20" s="348"/>
      <c r="F20" s="349" t="s">
        <v>432</v>
      </c>
      <c r="G20" s="349" t="s">
        <v>433</v>
      </c>
      <c r="H20" s="350" t="s">
        <v>434</v>
      </c>
    </row>
    <row r="21" spans="1:8" s="11" customFormat="1">
      <c r="A21" s="1048" t="s">
        <v>950</v>
      </c>
      <c r="B21" s="1049" t="s">
        <v>945</v>
      </c>
      <c r="C21" s="1048" t="s">
        <v>192</v>
      </c>
      <c r="D21" s="1048" t="s">
        <v>951</v>
      </c>
      <c r="E21" s="897"/>
      <c r="F21" s="898" t="s">
        <v>811</v>
      </c>
      <c r="G21" s="898" t="s">
        <v>812</v>
      </c>
      <c r="H21" s="898" t="s">
        <v>813</v>
      </c>
    </row>
    <row r="22" spans="1:8">
      <c r="A22" s="351" t="s">
        <v>412</v>
      </c>
      <c r="B22" s="347" t="s">
        <v>845</v>
      </c>
      <c r="C22" s="351" t="s">
        <v>412</v>
      </c>
      <c r="D22" s="351" t="s">
        <v>846</v>
      </c>
      <c r="E22" s="348"/>
      <c r="F22" s="349" t="s">
        <v>860</v>
      </c>
      <c r="G22" s="349" t="s">
        <v>861</v>
      </c>
      <c r="H22" s="350" t="s">
        <v>862</v>
      </c>
    </row>
    <row r="23" spans="1:8">
      <c r="A23" s="896" t="s">
        <v>412</v>
      </c>
      <c r="B23" s="900" t="s">
        <v>847</v>
      </c>
      <c r="C23" s="896" t="s">
        <v>412</v>
      </c>
      <c r="D23" s="896" t="s">
        <v>848</v>
      </c>
      <c r="E23" s="897"/>
      <c r="F23" s="898" t="s">
        <v>863</v>
      </c>
      <c r="G23" s="898" t="s">
        <v>864</v>
      </c>
      <c r="H23" s="899" t="s">
        <v>865</v>
      </c>
    </row>
    <row r="24" spans="1:8">
      <c r="A24" s="351" t="s">
        <v>851</v>
      </c>
      <c r="B24" s="907" t="s">
        <v>856</v>
      </c>
      <c r="C24" s="351" t="s">
        <v>851</v>
      </c>
      <c r="D24" s="351" t="s">
        <v>852</v>
      </c>
      <c r="E24" s="348" t="s">
        <v>853</v>
      </c>
      <c r="F24" s="349" t="s">
        <v>866</v>
      </c>
      <c r="G24" s="349" t="s">
        <v>867</v>
      </c>
      <c r="H24" s="350" t="s">
        <v>868</v>
      </c>
    </row>
    <row r="25" spans="1:8">
      <c r="A25" s="346" t="s">
        <v>851</v>
      </c>
      <c r="B25" s="908" t="s">
        <v>856</v>
      </c>
      <c r="C25" s="346" t="s">
        <v>851</v>
      </c>
      <c r="D25" s="356" t="s">
        <v>854</v>
      </c>
      <c r="E25" s="348" t="s">
        <v>855</v>
      </c>
      <c r="F25" s="349" t="s">
        <v>866</v>
      </c>
      <c r="G25" s="349" t="s">
        <v>867</v>
      </c>
      <c r="H25" s="350" t="s">
        <v>868</v>
      </c>
    </row>
  </sheetData>
  <hyperlinks>
    <hyperlink ref="H5" r:id="rId1"/>
    <hyperlink ref="H15" r:id="rId2" display="tine.tanghe@vea.be"/>
    <hyperlink ref="E14" r:id="rId3"/>
    <hyperlink ref="H12" r:id="rId4"/>
    <hyperlink ref="H2" r:id="rId5"/>
  </hyperlinks>
  <pageMargins left="0.7" right="0.7" top="0.75" bottom="0.75" header="0.3" footer="0.3"/>
  <pageSetup paperSize="9" orientation="portrait" r:id="rId6"/>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9"/>
  <sheetViews>
    <sheetView topLeftCell="A49" workbookViewId="0">
      <selection activeCell="C71" sqref="C71"/>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6" t="s">
        <v>627</v>
      </c>
      <c r="B1" s="766" t="s">
        <v>628</v>
      </c>
      <c r="C1" s="766" t="s">
        <v>630</v>
      </c>
      <c r="D1" s="766" t="s">
        <v>629</v>
      </c>
    </row>
    <row r="2" spans="1:4">
      <c r="A2" t="s">
        <v>672</v>
      </c>
      <c r="B2" s="764">
        <v>41626</v>
      </c>
      <c r="C2" t="s">
        <v>673</v>
      </c>
      <c r="D2" s="765" t="s">
        <v>674</v>
      </c>
    </row>
    <row r="3" spans="1:4">
      <c r="A3" t="s">
        <v>675</v>
      </c>
      <c r="B3" s="764">
        <v>41646</v>
      </c>
      <c r="C3" t="s">
        <v>676</v>
      </c>
      <c r="D3" s="765" t="s">
        <v>677</v>
      </c>
    </row>
    <row r="4" spans="1:4">
      <c r="A4" t="s">
        <v>678</v>
      </c>
      <c r="B4" s="764">
        <v>41676</v>
      </c>
      <c r="C4" t="s">
        <v>679</v>
      </c>
      <c r="D4" s="765" t="s">
        <v>680</v>
      </c>
    </row>
    <row r="5" spans="1:4">
      <c r="A5" t="s">
        <v>678</v>
      </c>
      <c r="B5" s="764">
        <v>41676</v>
      </c>
      <c r="C5" t="s">
        <v>681</v>
      </c>
      <c r="D5" s="765" t="s">
        <v>682</v>
      </c>
    </row>
    <row r="6" spans="1:4" ht="17.25">
      <c r="A6" t="s">
        <v>678</v>
      </c>
      <c r="B6" s="764">
        <v>41676</v>
      </c>
      <c r="C6" t="s">
        <v>683</v>
      </c>
      <c r="D6" s="765" t="s">
        <v>684</v>
      </c>
    </row>
    <row r="7" spans="1:4">
      <c r="A7" t="s">
        <v>685</v>
      </c>
      <c r="B7" s="764">
        <v>41715</v>
      </c>
      <c r="C7" t="s">
        <v>686</v>
      </c>
      <c r="D7" s="779" t="s">
        <v>687</v>
      </c>
    </row>
    <row r="8" spans="1:4">
      <c r="A8" t="s">
        <v>685</v>
      </c>
      <c r="B8" s="764">
        <v>41715</v>
      </c>
      <c r="C8" t="s">
        <v>688</v>
      </c>
      <c r="D8" s="765" t="s">
        <v>689</v>
      </c>
    </row>
    <row r="9" spans="1:4">
      <c r="A9" t="s">
        <v>685</v>
      </c>
      <c r="B9" s="764">
        <v>41726</v>
      </c>
      <c r="C9" t="s">
        <v>690</v>
      </c>
      <c r="D9" s="779" t="s">
        <v>691</v>
      </c>
    </row>
    <row r="10" spans="1:4">
      <c r="A10" t="s">
        <v>692</v>
      </c>
      <c r="B10" s="764">
        <v>41759</v>
      </c>
      <c r="C10" t="s">
        <v>693</v>
      </c>
      <c r="D10" s="765" t="s">
        <v>694</v>
      </c>
    </row>
    <row r="11" spans="1:4">
      <c r="A11" t="s">
        <v>692</v>
      </c>
      <c r="B11" s="764">
        <v>41759</v>
      </c>
      <c r="C11" t="s">
        <v>695</v>
      </c>
      <c r="D11" s="765" t="s">
        <v>696</v>
      </c>
    </row>
    <row r="12" spans="1:4">
      <c r="A12" t="s">
        <v>697</v>
      </c>
      <c r="B12" s="764">
        <v>41772</v>
      </c>
      <c r="C12" t="s">
        <v>698</v>
      </c>
      <c r="D12" s="765" t="s">
        <v>699</v>
      </c>
    </row>
    <row r="13" spans="1:4">
      <c r="A13" t="s">
        <v>697</v>
      </c>
      <c r="B13" s="764">
        <v>41772</v>
      </c>
      <c r="C13" t="s">
        <v>700</v>
      </c>
      <c r="D13" s="765" t="s">
        <v>701</v>
      </c>
    </row>
    <row r="14" spans="1:4">
      <c r="A14" t="s">
        <v>697</v>
      </c>
      <c r="B14" s="764">
        <v>41772</v>
      </c>
      <c r="C14" t="s">
        <v>702</v>
      </c>
      <c r="D14" s="779" t="s">
        <v>703</v>
      </c>
    </row>
    <row r="15" spans="1:4">
      <c r="A15" t="s">
        <v>704</v>
      </c>
      <c r="B15" s="764">
        <v>41901</v>
      </c>
      <c r="C15" t="s">
        <v>646</v>
      </c>
      <c r="D15" s="779" t="s">
        <v>644</v>
      </c>
    </row>
    <row r="16" spans="1:4">
      <c r="A16" t="s">
        <v>704</v>
      </c>
      <c r="B16" s="764">
        <v>41901</v>
      </c>
      <c r="C16" t="s">
        <v>645</v>
      </c>
      <c r="D16" s="779" t="s">
        <v>647</v>
      </c>
    </row>
    <row r="17" spans="1:4">
      <c r="A17" t="s">
        <v>704</v>
      </c>
      <c r="B17" s="764">
        <v>41901</v>
      </c>
      <c r="C17" t="s">
        <v>652</v>
      </c>
      <c r="D17" s="765" t="s">
        <v>653</v>
      </c>
    </row>
    <row r="18" spans="1:4">
      <c r="A18" t="s">
        <v>704</v>
      </c>
      <c r="B18" s="764">
        <v>41901</v>
      </c>
      <c r="C18" t="s">
        <v>665</v>
      </c>
      <c r="D18" s="765" t="s">
        <v>664</v>
      </c>
    </row>
    <row r="19" spans="1:4">
      <c r="A19" t="s">
        <v>704</v>
      </c>
      <c r="B19" s="764">
        <v>41901</v>
      </c>
      <c r="C19" t="s">
        <v>665</v>
      </c>
      <c r="D19" s="765" t="s">
        <v>666</v>
      </c>
    </row>
    <row r="20" spans="1:4">
      <c r="A20" t="s">
        <v>704</v>
      </c>
      <c r="B20" s="764">
        <v>41901</v>
      </c>
      <c r="C20" t="s">
        <v>671</v>
      </c>
      <c r="D20" s="765" t="s">
        <v>670</v>
      </c>
    </row>
    <row r="21" spans="1:4">
      <c r="A21" t="s">
        <v>704</v>
      </c>
      <c r="B21" s="764">
        <v>41914</v>
      </c>
      <c r="C21" t="s">
        <v>730</v>
      </c>
      <c r="D21" s="779" t="s">
        <v>724</v>
      </c>
    </row>
    <row r="22" spans="1:4">
      <c r="A22" t="s">
        <v>704</v>
      </c>
      <c r="B22" s="764">
        <v>41914</v>
      </c>
      <c r="C22" t="s">
        <v>731</v>
      </c>
      <c r="D22" s="779" t="s">
        <v>725</v>
      </c>
    </row>
    <row r="23" spans="1:4">
      <c r="A23" t="s">
        <v>704</v>
      </c>
      <c r="B23" s="764">
        <v>41914</v>
      </c>
      <c r="C23" t="s">
        <v>732</v>
      </c>
      <c r="D23" s="779" t="s">
        <v>726</v>
      </c>
    </row>
    <row r="24" spans="1:4">
      <c r="A24" t="s">
        <v>704</v>
      </c>
      <c r="B24" s="764">
        <v>41914</v>
      </c>
      <c r="C24" t="s">
        <v>733</v>
      </c>
      <c r="D24" s="779" t="s">
        <v>727</v>
      </c>
    </row>
    <row r="25" spans="1:4">
      <c r="A25" t="s">
        <v>704</v>
      </c>
      <c r="B25" s="764">
        <v>41914</v>
      </c>
      <c r="C25" t="s">
        <v>745</v>
      </c>
      <c r="D25" s="779" t="s">
        <v>728</v>
      </c>
    </row>
    <row r="26" spans="1:4">
      <c r="A26" t="s">
        <v>704</v>
      </c>
      <c r="B26" s="764">
        <v>41914</v>
      </c>
      <c r="C26" t="s">
        <v>741</v>
      </c>
      <c r="D26" s="765" t="s">
        <v>744</v>
      </c>
    </row>
    <row r="27" spans="1:4">
      <c r="A27" t="s">
        <v>704</v>
      </c>
      <c r="B27" s="764">
        <v>41914</v>
      </c>
      <c r="C27" t="s">
        <v>735</v>
      </c>
      <c r="D27" s="779" t="s">
        <v>734</v>
      </c>
    </row>
    <row r="28" spans="1:4">
      <c r="A28" t="s">
        <v>704</v>
      </c>
      <c r="B28" s="764">
        <v>41914</v>
      </c>
      <c r="C28" t="s">
        <v>746</v>
      </c>
      <c r="D28" s="779" t="s">
        <v>736</v>
      </c>
    </row>
    <row r="29" spans="1:4">
      <c r="A29" t="s">
        <v>704</v>
      </c>
      <c r="B29" s="764">
        <v>41914</v>
      </c>
      <c r="C29" t="s">
        <v>739</v>
      </c>
      <c r="D29" s="779" t="s">
        <v>740</v>
      </c>
    </row>
    <row r="30" spans="1:4">
      <c r="A30" t="s">
        <v>704</v>
      </c>
      <c r="B30" s="764">
        <v>41914</v>
      </c>
      <c r="C30" t="s">
        <v>737</v>
      </c>
      <c r="D30" s="779" t="s">
        <v>738</v>
      </c>
    </row>
    <row r="31" spans="1:4">
      <c r="A31" t="s">
        <v>704</v>
      </c>
      <c r="B31" s="764">
        <v>41914</v>
      </c>
      <c r="C31" t="s">
        <v>742</v>
      </c>
      <c r="D31" s="765" t="s">
        <v>743</v>
      </c>
    </row>
    <row r="32" spans="1:4">
      <c r="A32" t="s">
        <v>704</v>
      </c>
      <c r="B32" s="764">
        <v>41925</v>
      </c>
      <c r="C32" t="s">
        <v>748</v>
      </c>
      <c r="D32" s="779" t="s">
        <v>749</v>
      </c>
    </row>
    <row r="33" spans="1:4">
      <c r="A33" t="s">
        <v>704</v>
      </c>
      <c r="B33" s="764">
        <v>41967</v>
      </c>
      <c r="C33" t="s">
        <v>751</v>
      </c>
      <c r="D33" s="765" t="s">
        <v>752</v>
      </c>
    </row>
    <row r="34" spans="1:4">
      <c r="A34" t="s">
        <v>753</v>
      </c>
      <c r="B34" s="764">
        <v>42275</v>
      </c>
      <c r="C34" t="s">
        <v>755</v>
      </c>
      <c r="D34" s="765" t="s">
        <v>760</v>
      </c>
    </row>
    <row r="35" spans="1:4">
      <c r="A35" t="s">
        <v>753</v>
      </c>
      <c r="B35" s="764">
        <v>42275</v>
      </c>
      <c r="C35" t="s">
        <v>756</v>
      </c>
      <c r="D35" s="765" t="s">
        <v>761</v>
      </c>
    </row>
    <row r="36" spans="1:4">
      <c r="A36" t="s">
        <v>753</v>
      </c>
      <c r="B36" s="764">
        <v>42283</v>
      </c>
      <c r="C36" t="s">
        <v>757</v>
      </c>
      <c r="D36" s="765" t="s">
        <v>758</v>
      </c>
    </row>
    <row r="37" spans="1:4">
      <c r="A37" t="s">
        <v>769</v>
      </c>
      <c r="B37" s="884">
        <v>42538</v>
      </c>
      <c r="C37" s="884" t="s">
        <v>762</v>
      </c>
      <c r="D37" s="884"/>
    </row>
    <row r="38" spans="1:4">
      <c r="A38" t="s">
        <v>769</v>
      </c>
      <c r="B38" s="884">
        <v>42538</v>
      </c>
      <c r="C38" s="884" t="s">
        <v>763</v>
      </c>
      <c r="D38" s="885" t="s">
        <v>764</v>
      </c>
    </row>
    <row r="39" spans="1:4">
      <c r="A39" t="s">
        <v>769</v>
      </c>
      <c r="B39" s="884">
        <v>42538</v>
      </c>
      <c r="C39" s="884" t="s">
        <v>765</v>
      </c>
      <c r="D39" s="886" t="s">
        <v>766</v>
      </c>
    </row>
    <row r="40" spans="1:4">
      <c r="A40" t="s">
        <v>769</v>
      </c>
      <c r="B40" s="884">
        <v>42538</v>
      </c>
      <c r="C40" s="884" t="s">
        <v>767</v>
      </c>
      <c r="D40" s="885" t="s">
        <v>768</v>
      </c>
    </row>
    <row r="41" spans="1:4">
      <c r="A41" t="s">
        <v>791</v>
      </c>
      <c r="B41" s="884">
        <v>42585</v>
      </c>
      <c r="C41" t="s">
        <v>754</v>
      </c>
      <c r="D41" s="765" t="s">
        <v>759</v>
      </c>
    </row>
    <row r="42" spans="1:4">
      <c r="A42" t="s">
        <v>793</v>
      </c>
      <c r="B42" s="884">
        <v>42877</v>
      </c>
      <c r="C42" s="884" t="s">
        <v>842</v>
      </c>
      <c r="D42" s="765" t="s">
        <v>743</v>
      </c>
    </row>
    <row r="43" spans="1:4">
      <c r="A43" t="s">
        <v>793</v>
      </c>
      <c r="B43" s="884">
        <v>42877</v>
      </c>
      <c r="C43" s="884" t="s">
        <v>843</v>
      </c>
      <c r="D43" s="779" t="s">
        <v>794</v>
      </c>
    </row>
    <row r="44" spans="1:4">
      <c r="A44" t="s">
        <v>793</v>
      </c>
      <c r="B44" s="884">
        <v>42877</v>
      </c>
      <c r="C44" s="884" t="s">
        <v>844</v>
      </c>
      <c r="D44" s="779" t="s">
        <v>795</v>
      </c>
    </row>
    <row r="45" spans="1:4">
      <c r="A45" t="s">
        <v>826</v>
      </c>
      <c r="B45" s="884">
        <v>43165</v>
      </c>
      <c r="C45" s="884" t="s">
        <v>827</v>
      </c>
      <c r="D45" s="779" t="s">
        <v>828</v>
      </c>
    </row>
    <row r="46" spans="1:4">
      <c r="A46" t="s">
        <v>826</v>
      </c>
      <c r="B46" s="884">
        <v>43165</v>
      </c>
      <c r="C46" s="884" t="s">
        <v>829</v>
      </c>
      <c r="D46" s="765" t="s">
        <v>830</v>
      </c>
    </row>
    <row r="47" spans="1:4">
      <c r="A47" t="s">
        <v>826</v>
      </c>
      <c r="B47" s="884">
        <v>43165</v>
      </c>
      <c r="C47" s="884" t="s">
        <v>831</v>
      </c>
      <c r="D47" s="765" t="s">
        <v>832</v>
      </c>
    </row>
    <row r="48" spans="1:4">
      <c r="A48" t="s">
        <v>826</v>
      </c>
      <c r="B48" s="884">
        <v>43165</v>
      </c>
      <c r="C48" s="884" t="s">
        <v>833</v>
      </c>
      <c r="D48" s="765" t="s">
        <v>834</v>
      </c>
    </row>
    <row r="49" spans="1:4">
      <c r="A49" t="s">
        <v>826</v>
      </c>
      <c r="B49" s="884">
        <v>43278</v>
      </c>
      <c r="C49" s="884" t="s">
        <v>869</v>
      </c>
      <c r="D49" s="779"/>
    </row>
    <row r="50" spans="1:4">
      <c r="A50" t="s">
        <v>904</v>
      </c>
      <c r="B50" s="884">
        <v>43424</v>
      </c>
      <c r="C50" s="884" t="s">
        <v>905</v>
      </c>
    </row>
    <row r="51" spans="1:4">
      <c r="A51" t="s">
        <v>917</v>
      </c>
      <c r="B51" s="884">
        <v>43573</v>
      </c>
      <c r="C51" s="884" t="s">
        <v>918</v>
      </c>
    </row>
    <row r="52" spans="1:4">
      <c r="A52" t="s">
        <v>941</v>
      </c>
      <c r="B52" s="884">
        <v>43678</v>
      </c>
      <c r="C52" s="884" t="s">
        <v>940</v>
      </c>
      <c r="D52" s="765" t="s">
        <v>752</v>
      </c>
    </row>
    <row r="53" spans="1:4">
      <c r="A53" t="s">
        <v>942</v>
      </c>
      <c r="B53" s="1057">
        <v>43930</v>
      </c>
      <c r="C53" s="1054" t="s">
        <v>944</v>
      </c>
      <c r="D53" s="1056" t="s">
        <v>691</v>
      </c>
    </row>
    <row r="54" spans="1:4">
      <c r="A54" t="s">
        <v>942</v>
      </c>
      <c r="B54" s="1057">
        <v>43930</v>
      </c>
      <c r="C54" s="1054" t="s">
        <v>943</v>
      </c>
      <c r="D54" s="1056" t="s">
        <v>691</v>
      </c>
    </row>
    <row r="55" spans="1:4">
      <c r="A55" s="1054" t="s">
        <v>942</v>
      </c>
      <c r="B55" s="1057">
        <v>43943</v>
      </c>
      <c r="C55" s="1054" t="s">
        <v>953</v>
      </c>
      <c r="D55" s="1055" t="s">
        <v>743</v>
      </c>
    </row>
    <row r="56" spans="1:4">
      <c r="A56" s="1054" t="s">
        <v>942</v>
      </c>
      <c r="B56" s="1057">
        <v>43943</v>
      </c>
      <c r="C56" s="1054" t="s">
        <v>954</v>
      </c>
      <c r="D56" s="1056" t="s">
        <v>794</v>
      </c>
    </row>
    <row r="57" spans="1:4">
      <c r="A57" s="1054" t="s">
        <v>942</v>
      </c>
      <c r="B57" s="1057">
        <v>43943</v>
      </c>
      <c r="C57" s="1054" t="s">
        <v>955</v>
      </c>
      <c r="D57" s="1056" t="s">
        <v>795</v>
      </c>
    </row>
    <row r="58" spans="1:4">
      <c r="A58" s="1054" t="s">
        <v>942</v>
      </c>
      <c r="B58" s="1057">
        <v>43943</v>
      </c>
      <c r="C58" s="1054" t="s">
        <v>956</v>
      </c>
      <c r="D58" s="1056" t="s">
        <v>957</v>
      </c>
    </row>
    <row r="59" spans="1:4">
      <c r="A59" t="s">
        <v>942</v>
      </c>
      <c r="B59" s="1057">
        <v>43951</v>
      </c>
      <c r="C59" t="s">
        <v>960</v>
      </c>
      <c r="D59" s="1056" t="s">
        <v>961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 ref="D53" location="data!A1" display="data!A1"/>
    <hyperlink ref="D54" location="data!A1" display="data!A1"/>
    <hyperlink ref="D55" location="'ECF transport '!A1" display="'ECF transport '!A1"/>
    <hyperlink ref="D56" location="transport!A21" display="transport!A21"/>
    <hyperlink ref="D57" location="transport!A28" display="transport!A28"/>
    <hyperlink ref="D58" location="Conversiefactoren!A1" display="Conversiefactoren!A24"/>
    <hyperlink ref="D59"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53" t="s">
        <v>561</v>
      </c>
      <c r="B1" s="1154" t="s">
        <v>557</v>
      </c>
      <c r="C1" s="1154"/>
      <c r="D1" s="1154"/>
      <c r="E1" s="1154"/>
      <c r="F1" s="1154"/>
      <c r="G1" s="1154"/>
      <c r="H1" s="1154"/>
      <c r="I1" s="1154"/>
      <c r="J1" s="1154"/>
      <c r="K1" s="1154"/>
      <c r="L1" s="1154"/>
      <c r="M1" s="1154"/>
      <c r="N1" s="1154"/>
      <c r="O1" s="1154"/>
      <c r="P1" s="1155"/>
      <c r="Q1" s="1004"/>
    </row>
    <row r="2" spans="1:17">
      <c r="A2" s="1153"/>
      <c r="B2" s="1156" t="s">
        <v>20</v>
      </c>
      <c r="C2" s="1158" t="s">
        <v>195</v>
      </c>
      <c r="D2" s="1160" t="s">
        <v>196</v>
      </c>
      <c r="E2" s="1161"/>
      <c r="F2" s="1161"/>
      <c r="G2" s="1161"/>
      <c r="H2" s="1161"/>
      <c r="I2" s="1161"/>
      <c r="J2" s="1161"/>
      <c r="K2" s="1157"/>
      <c r="L2" s="1160" t="s">
        <v>197</v>
      </c>
      <c r="M2" s="1161"/>
      <c r="N2" s="1161"/>
      <c r="O2" s="1161"/>
      <c r="P2" s="1157"/>
      <c r="Q2" s="1004"/>
    </row>
    <row r="3" spans="1:17" ht="45">
      <c r="A3" s="1153"/>
      <c r="B3" s="1157"/>
      <c r="C3" s="1159"/>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6" t="s">
        <v>154</v>
      </c>
      <c r="B4" s="457">
        <f>huishoudens!B8</f>
        <v>11649.55476220184</v>
      </c>
      <c r="C4" s="457">
        <f>huishoudens!C8</f>
        <v>0</v>
      </c>
      <c r="D4" s="457">
        <f>huishoudens!D8</f>
        <v>4712.4385659999998</v>
      </c>
      <c r="E4" s="457">
        <f>huishoudens!E8</f>
        <v>7808.0910248424825</v>
      </c>
      <c r="F4" s="457">
        <f>huishoudens!F8</f>
        <v>38839.865088679726</v>
      </c>
      <c r="G4" s="457">
        <f>huishoudens!G8</f>
        <v>0</v>
      </c>
      <c r="H4" s="457">
        <f>huishoudens!H8</f>
        <v>0</v>
      </c>
      <c r="I4" s="457">
        <f>huishoudens!I8</f>
        <v>0</v>
      </c>
      <c r="J4" s="457">
        <f>huishoudens!J8</f>
        <v>1720.0869225255315</v>
      </c>
      <c r="K4" s="457">
        <f>huishoudens!K8</f>
        <v>0</v>
      </c>
      <c r="L4" s="457">
        <f>huishoudens!L8</f>
        <v>0</v>
      </c>
      <c r="M4" s="457">
        <f>huishoudens!M8</f>
        <v>0</v>
      </c>
      <c r="N4" s="457">
        <f>huishoudens!N8</f>
        <v>3417.4348488254313</v>
      </c>
      <c r="O4" s="457">
        <f>huishoudens!O8</f>
        <v>34.393333333333338</v>
      </c>
      <c r="P4" s="458">
        <f>huishoudens!P8</f>
        <v>266.93333333333334</v>
      </c>
      <c r="Q4" s="459">
        <f>SUM(B4:P4)</f>
        <v>68448.797879741673</v>
      </c>
    </row>
    <row r="5" spans="1:17">
      <c r="A5" s="456" t="s">
        <v>155</v>
      </c>
      <c r="B5" s="457">
        <f ca="1">tertiair!B16</f>
        <v>3897.518</v>
      </c>
      <c r="C5" s="457">
        <f ca="1">tertiair!C16</f>
        <v>0</v>
      </c>
      <c r="D5" s="457">
        <f ca="1">tertiair!D16</f>
        <v>887.02950600000008</v>
      </c>
      <c r="E5" s="457">
        <f>tertiair!E16</f>
        <v>58.361763104196953</v>
      </c>
      <c r="F5" s="457">
        <f ca="1">tertiair!F16</f>
        <v>643.52961287778896</v>
      </c>
      <c r="G5" s="457">
        <f>tertiair!G16</f>
        <v>0</v>
      </c>
      <c r="H5" s="457">
        <f>tertiair!H16</f>
        <v>0</v>
      </c>
      <c r="I5" s="457">
        <f>tertiair!I16</f>
        <v>0</v>
      </c>
      <c r="J5" s="457">
        <f>tertiair!J16</f>
        <v>0</v>
      </c>
      <c r="K5" s="457">
        <f>tertiair!K16</f>
        <v>0</v>
      </c>
      <c r="L5" s="457">
        <f ca="1">tertiair!L16</f>
        <v>0</v>
      </c>
      <c r="M5" s="457">
        <f>tertiair!M16</f>
        <v>0</v>
      </c>
      <c r="N5" s="457">
        <f ca="1">tertiair!N16</f>
        <v>71.784427505164928</v>
      </c>
      <c r="O5" s="457">
        <f>tertiair!O16</f>
        <v>1.5633333333333335</v>
      </c>
      <c r="P5" s="458">
        <f>tertiair!P16</f>
        <v>0</v>
      </c>
      <c r="Q5" s="456">
        <f t="shared" ref="Q5:Q14" ca="1" si="0">SUM(B5:P5)</f>
        <v>5559.7866428204843</v>
      </c>
    </row>
    <row r="6" spans="1:17">
      <c r="A6" s="456" t="s">
        <v>193</v>
      </c>
      <c r="B6" s="457">
        <f>'openbare verlichting'!B8</f>
        <v>363.68700000000001</v>
      </c>
      <c r="C6" s="457"/>
      <c r="D6" s="457"/>
      <c r="E6" s="457"/>
      <c r="F6" s="457"/>
      <c r="G6" s="457"/>
      <c r="H6" s="457"/>
      <c r="I6" s="457"/>
      <c r="J6" s="457"/>
      <c r="K6" s="457"/>
      <c r="L6" s="457"/>
      <c r="M6" s="457"/>
      <c r="N6" s="457"/>
      <c r="O6" s="457"/>
      <c r="P6" s="458"/>
      <c r="Q6" s="456">
        <f t="shared" si="0"/>
        <v>363.68700000000001</v>
      </c>
    </row>
    <row r="7" spans="1:17">
      <c r="A7" s="456" t="s">
        <v>111</v>
      </c>
      <c r="B7" s="457">
        <f>landbouw!B8</f>
        <v>2910.3110000000001</v>
      </c>
      <c r="C7" s="457">
        <f>landbouw!C8</f>
        <v>0</v>
      </c>
      <c r="D7" s="457">
        <f>landbouw!D8</f>
        <v>9.3663680000000014</v>
      </c>
      <c r="E7" s="457">
        <f>landbouw!E8</f>
        <v>30.47740684863793</v>
      </c>
      <c r="F7" s="457">
        <f>landbouw!F8</f>
        <v>12458.342446711473</v>
      </c>
      <c r="G7" s="457">
        <f>landbouw!G8</f>
        <v>0</v>
      </c>
      <c r="H7" s="457">
        <f>landbouw!H8</f>
        <v>0</v>
      </c>
      <c r="I7" s="457">
        <f>landbouw!I8</f>
        <v>0</v>
      </c>
      <c r="J7" s="457">
        <f>landbouw!J8</f>
        <v>259.91685786250378</v>
      </c>
      <c r="K7" s="457">
        <f>landbouw!K8</f>
        <v>0</v>
      </c>
      <c r="L7" s="457">
        <f>landbouw!L8</f>
        <v>0</v>
      </c>
      <c r="M7" s="457">
        <f>landbouw!M8</f>
        <v>0</v>
      </c>
      <c r="N7" s="457">
        <f>landbouw!N8</f>
        <v>0</v>
      </c>
      <c r="O7" s="457">
        <f>landbouw!O8</f>
        <v>0</v>
      </c>
      <c r="P7" s="458">
        <f>landbouw!P8</f>
        <v>0</v>
      </c>
      <c r="Q7" s="456">
        <f t="shared" si="0"/>
        <v>15668.414079422615</v>
      </c>
    </row>
    <row r="8" spans="1:17">
      <c r="A8" s="456" t="s">
        <v>654</v>
      </c>
      <c r="B8" s="457">
        <f>industrie!B18</f>
        <v>439.91999999999996</v>
      </c>
      <c r="C8" s="457">
        <f>industrie!C18</f>
        <v>0</v>
      </c>
      <c r="D8" s="457">
        <f>industrie!D18</f>
        <v>38.372883999999999</v>
      </c>
      <c r="E8" s="457">
        <f>industrie!E18</f>
        <v>5.7711946281367457</v>
      </c>
      <c r="F8" s="457">
        <f>industrie!F18</f>
        <v>222.78264140948909</v>
      </c>
      <c r="G8" s="457">
        <f>industrie!G18</f>
        <v>0</v>
      </c>
      <c r="H8" s="457">
        <f>industrie!H18</f>
        <v>0</v>
      </c>
      <c r="I8" s="457">
        <f>industrie!I18</f>
        <v>0</v>
      </c>
      <c r="J8" s="457">
        <f>industrie!J18</f>
        <v>1.4225970228159517</v>
      </c>
      <c r="K8" s="457">
        <f>industrie!K18</f>
        <v>0</v>
      </c>
      <c r="L8" s="457">
        <f>industrie!L18</f>
        <v>0</v>
      </c>
      <c r="M8" s="457">
        <f>industrie!M18</f>
        <v>0</v>
      </c>
      <c r="N8" s="457">
        <f>industrie!N18</f>
        <v>20.922478397356731</v>
      </c>
      <c r="O8" s="457">
        <f>industrie!O18</f>
        <v>0</v>
      </c>
      <c r="P8" s="458">
        <f>industrie!P18</f>
        <v>0</v>
      </c>
      <c r="Q8" s="456">
        <f t="shared" si="0"/>
        <v>729.19179545779843</v>
      </c>
    </row>
    <row r="9" spans="1:17" s="462" customFormat="1">
      <c r="A9" s="460" t="s">
        <v>572</v>
      </c>
      <c r="B9" s="461">
        <f>transport!B14</f>
        <v>0.20906180711596251</v>
      </c>
      <c r="C9" s="461">
        <f>transport!C14</f>
        <v>0</v>
      </c>
      <c r="D9" s="461">
        <f>transport!D14</f>
        <v>1.5039826585886367</v>
      </c>
      <c r="E9" s="461">
        <f>transport!E14</f>
        <v>147.45690497656997</v>
      </c>
      <c r="F9" s="461">
        <f>transport!F14</f>
        <v>0</v>
      </c>
      <c r="G9" s="461">
        <f>transport!G14</f>
        <v>23031.837542810179</v>
      </c>
      <c r="H9" s="461">
        <f>transport!H14</f>
        <v>5018.4024910796215</v>
      </c>
      <c r="I9" s="461">
        <f>transport!I14</f>
        <v>0</v>
      </c>
      <c r="J9" s="461">
        <f>transport!J14</f>
        <v>0</v>
      </c>
      <c r="K9" s="461">
        <f>transport!K14</f>
        <v>0</v>
      </c>
      <c r="L9" s="461">
        <f>transport!L14</f>
        <v>0</v>
      </c>
      <c r="M9" s="461">
        <f>transport!M14</f>
        <v>1223.1649378058364</v>
      </c>
      <c r="N9" s="461">
        <f>transport!N14</f>
        <v>0</v>
      </c>
      <c r="O9" s="461">
        <f>transport!O14</f>
        <v>0</v>
      </c>
      <c r="P9" s="461">
        <f>transport!P14</f>
        <v>0</v>
      </c>
      <c r="Q9" s="460">
        <f>SUM(B9:P9)</f>
        <v>29422.574921137912</v>
      </c>
    </row>
    <row r="10" spans="1:17">
      <c r="A10" s="456" t="s">
        <v>562</v>
      </c>
      <c r="B10" s="457">
        <f>transport!B54</f>
        <v>0</v>
      </c>
      <c r="C10" s="457">
        <f>transport!C54</f>
        <v>0</v>
      </c>
      <c r="D10" s="457">
        <f>transport!D54</f>
        <v>0</v>
      </c>
      <c r="E10" s="457">
        <f>transport!E54</f>
        <v>0</v>
      </c>
      <c r="F10" s="457">
        <f>transport!F54</f>
        <v>0</v>
      </c>
      <c r="G10" s="457">
        <f>transport!G54</f>
        <v>585.13315228766635</v>
      </c>
      <c r="H10" s="457">
        <f>transport!H54</f>
        <v>0</v>
      </c>
      <c r="I10" s="457">
        <f>transport!I54</f>
        <v>0</v>
      </c>
      <c r="J10" s="457">
        <f>transport!J54</f>
        <v>0</v>
      </c>
      <c r="K10" s="457">
        <f>transport!K54</f>
        <v>0</v>
      </c>
      <c r="L10" s="457">
        <f>transport!L54</f>
        <v>0</v>
      </c>
      <c r="M10" s="457">
        <f>transport!M54</f>
        <v>24.882013141979069</v>
      </c>
      <c r="N10" s="457">
        <f>transport!N54</f>
        <v>0</v>
      </c>
      <c r="O10" s="457">
        <f>transport!O54</f>
        <v>0</v>
      </c>
      <c r="P10" s="458">
        <f>transport!P54</f>
        <v>0</v>
      </c>
      <c r="Q10" s="456">
        <f t="shared" si="0"/>
        <v>610.01516542964544</v>
      </c>
    </row>
    <row r="11" spans="1:17">
      <c r="A11" s="456" t="s">
        <v>563</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564</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565</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916</v>
      </c>
      <c r="B14" s="464">
        <f>'SEAP template'!C25</f>
        <v>901.54899999999998</v>
      </c>
      <c r="C14" s="464"/>
      <c r="D14" s="464">
        <f>'SEAP template'!E25</f>
        <v>108.86799999999999</v>
      </c>
      <c r="E14" s="464"/>
      <c r="F14" s="464"/>
      <c r="G14" s="464"/>
      <c r="H14" s="464"/>
      <c r="I14" s="464"/>
      <c r="J14" s="464"/>
      <c r="K14" s="464"/>
      <c r="L14" s="464"/>
      <c r="M14" s="464"/>
      <c r="N14" s="464"/>
      <c r="O14" s="464"/>
      <c r="P14" s="465"/>
      <c r="Q14" s="456">
        <f t="shared" si="0"/>
        <v>1010.4169999999999</v>
      </c>
    </row>
    <row r="15" spans="1:17" s="469" customFormat="1">
      <c r="A15" s="466" t="s">
        <v>566</v>
      </c>
      <c r="B15" s="467">
        <f ca="1">SUM(B4:B14)</f>
        <v>20162.748824008955</v>
      </c>
      <c r="C15" s="467">
        <f t="shared" ref="C15:Q15" ca="1" si="1">SUM(C4:C14)</f>
        <v>0</v>
      </c>
      <c r="D15" s="467">
        <f t="shared" ca="1" si="1"/>
        <v>5757.5793066585893</v>
      </c>
      <c r="E15" s="467">
        <f t="shared" si="1"/>
        <v>8050.1582944000238</v>
      </c>
      <c r="F15" s="467">
        <f t="shared" ca="1" si="1"/>
        <v>52164.519789678481</v>
      </c>
      <c r="G15" s="467">
        <f t="shared" si="1"/>
        <v>23616.970695097847</v>
      </c>
      <c r="H15" s="467">
        <f t="shared" si="1"/>
        <v>5018.4024910796215</v>
      </c>
      <c r="I15" s="467">
        <f t="shared" si="1"/>
        <v>0</v>
      </c>
      <c r="J15" s="467">
        <f t="shared" si="1"/>
        <v>1981.4263774108513</v>
      </c>
      <c r="K15" s="467">
        <f t="shared" si="1"/>
        <v>0</v>
      </c>
      <c r="L15" s="467">
        <f t="shared" ca="1" si="1"/>
        <v>0</v>
      </c>
      <c r="M15" s="467">
        <f t="shared" si="1"/>
        <v>1248.0469509478155</v>
      </c>
      <c r="N15" s="467">
        <f t="shared" ca="1" si="1"/>
        <v>3510.141754727953</v>
      </c>
      <c r="O15" s="467">
        <f t="shared" si="1"/>
        <v>35.956666666666671</v>
      </c>
      <c r="P15" s="467">
        <f t="shared" si="1"/>
        <v>266.93333333333334</v>
      </c>
      <c r="Q15" s="467">
        <f t="shared" ca="1" si="1"/>
        <v>121812.88448401014</v>
      </c>
    </row>
    <row r="17" spans="1:17">
      <c r="A17" s="470" t="s">
        <v>567</v>
      </c>
      <c r="B17" s="774">
        <f ca="1">huishoudens!B10</f>
        <v>0.20375304547488254</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53" t="s">
        <v>569</v>
      </c>
      <c r="B19" s="1154" t="s">
        <v>568</v>
      </c>
      <c r="C19" s="1154"/>
      <c r="D19" s="1154"/>
      <c r="E19" s="1154"/>
      <c r="F19" s="1154"/>
      <c r="G19" s="1154"/>
      <c r="H19" s="1154"/>
      <c r="I19" s="1154"/>
      <c r="J19" s="1154"/>
      <c r="K19" s="1154"/>
      <c r="L19" s="1154"/>
      <c r="M19" s="1154"/>
      <c r="N19" s="1154"/>
      <c r="O19" s="1154"/>
      <c r="P19" s="1155"/>
      <c r="Q19" s="1004"/>
    </row>
    <row r="20" spans="1:17" ht="15" customHeight="1">
      <c r="A20" s="1153"/>
      <c r="B20" s="1156" t="s">
        <v>20</v>
      </c>
      <c r="C20" s="1158" t="s">
        <v>195</v>
      </c>
      <c r="D20" s="1160" t="s">
        <v>196</v>
      </c>
      <c r="E20" s="1161"/>
      <c r="F20" s="1161"/>
      <c r="G20" s="1161"/>
      <c r="H20" s="1161"/>
      <c r="I20" s="1161"/>
      <c r="J20" s="1161"/>
      <c r="K20" s="1157"/>
      <c r="L20" s="1160" t="s">
        <v>197</v>
      </c>
      <c r="M20" s="1161"/>
      <c r="N20" s="1161"/>
      <c r="O20" s="1161"/>
      <c r="P20" s="1157"/>
      <c r="Q20" s="1004"/>
    </row>
    <row r="21" spans="1:17" ht="45">
      <c r="A21" s="1153"/>
      <c r="B21" s="1157"/>
      <c r="C21" s="1159"/>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6" t="s">
        <v>154</v>
      </c>
      <c r="B22" s="457">
        <f t="shared" ref="B22:B32" ca="1" si="2">B4*$B$17</f>
        <v>2373.632261225046</v>
      </c>
      <c r="C22" s="457">
        <f t="shared" ref="C22:C32" ca="1" si="3">C4*$C$17</f>
        <v>0</v>
      </c>
      <c r="D22" s="457">
        <f t="shared" ref="D22:D32" si="4">D4*$D$17</f>
        <v>951.91259033200004</v>
      </c>
      <c r="E22" s="457">
        <f t="shared" ref="E22:E32" si="5">E4*$E$17</f>
        <v>1772.4366626392437</v>
      </c>
      <c r="F22" s="457">
        <f t="shared" ref="F22:F32" si="6">F4*$F$17</f>
        <v>10370.243978677487</v>
      </c>
      <c r="G22" s="457">
        <f t="shared" ref="G22:G32" si="7">G4*$G$17</f>
        <v>0</v>
      </c>
      <c r="H22" s="457">
        <f t="shared" ref="H22:H32" si="8">H4*$H$17</f>
        <v>0</v>
      </c>
      <c r="I22" s="457">
        <f t="shared" ref="I22:I32" si="9">I4*$I$17</f>
        <v>0</v>
      </c>
      <c r="J22" s="457">
        <f t="shared" ref="J22:J32" si="10">J4*$J$17</f>
        <v>608.91077057403811</v>
      </c>
      <c r="K22" s="457">
        <f t="shared" ref="K22:K32" si="11">K4*$K$17</f>
        <v>0</v>
      </c>
      <c r="L22" s="457">
        <f t="shared" ref="L22:L32" si="12">L4*$L$17</f>
        <v>0</v>
      </c>
      <c r="M22" s="457">
        <f t="shared" ref="M22:M32" si="13">M4*$M$17</f>
        <v>0</v>
      </c>
      <c r="N22" s="457">
        <f t="shared" ref="N22:N32" si="14">N4*$N$17</f>
        <v>0</v>
      </c>
      <c r="O22" s="457">
        <f t="shared" ref="O22:O32" si="15">O4*$O$17</f>
        <v>0</v>
      </c>
      <c r="P22" s="1005">
        <f t="shared" ref="P22:P32" si="16">P4*$P$17</f>
        <v>0</v>
      </c>
      <c r="Q22" s="459">
        <f ca="1">SUM(B22:P22)</f>
        <v>16077.136263447816</v>
      </c>
    </row>
    <row r="23" spans="1:17">
      <c r="A23" s="456" t="s">
        <v>155</v>
      </c>
      <c r="B23" s="457">
        <f t="shared" ca="1" si="2"/>
        <v>794.13116229317325</v>
      </c>
      <c r="C23" s="457">
        <f t="shared" ca="1" si="3"/>
        <v>0</v>
      </c>
      <c r="D23" s="457">
        <f t="shared" ca="1" si="4"/>
        <v>179.17996021200003</v>
      </c>
      <c r="E23" s="457">
        <f t="shared" si="5"/>
        <v>13.248120224652709</v>
      </c>
      <c r="F23" s="457">
        <f t="shared" ca="1" si="6"/>
        <v>171.82240663836967</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1" ca="1" si="17">SUM(B23:P23)</f>
        <v>1158.3816493681957</v>
      </c>
    </row>
    <row r="24" spans="1:17">
      <c r="A24" s="456" t="s">
        <v>193</v>
      </c>
      <c r="B24" s="457">
        <f t="shared" ca="1" si="2"/>
        <v>74.102333849623605</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74.102333849623605</v>
      </c>
    </row>
    <row r="25" spans="1:17">
      <c r="A25" s="456" t="s">
        <v>111</v>
      </c>
      <c r="B25" s="457">
        <f t="shared" ca="1" si="2"/>
        <v>592.98472952905092</v>
      </c>
      <c r="C25" s="457">
        <f t="shared" ca="1" si="3"/>
        <v>0</v>
      </c>
      <c r="D25" s="457">
        <f t="shared" si="4"/>
        <v>1.8920063360000003</v>
      </c>
      <c r="E25" s="457">
        <f t="shared" si="5"/>
        <v>6.9183713546408105</v>
      </c>
      <c r="F25" s="457">
        <f t="shared" si="6"/>
        <v>3326.3774332719636</v>
      </c>
      <c r="G25" s="457">
        <f t="shared" si="7"/>
        <v>0</v>
      </c>
      <c r="H25" s="457">
        <f t="shared" si="8"/>
        <v>0</v>
      </c>
      <c r="I25" s="457">
        <f t="shared" si="9"/>
        <v>0</v>
      </c>
      <c r="J25" s="457">
        <f t="shared" si="10"/>
        <v>92.010567683326329</v>
      </c>
      <c r="K25" s="457">
        <f t="shared" si="11"/>
        <v>0</v>
      </c>
      <c r="L25" s="457">
        <f t="shared" si="12"/>
        <v>0</v>
      </c>
      <c r="M25" s="457">
        <f t="shared" si="13"/>
        <v>0</v>
      </c>
      <c r="N25" s="457">
        <f t="shared" si="14"/>
        <v>0</v>
      </c>
      <c r="O25" s="457">
        <f t="shared" si="15"/>
        <v>0</v>
      </c>
      <c r="P25" s="458">
        <f t="shared" si="16"/>
        <v>0</v>
      </c>
      <c r="Q25" s="456">
        <f t="shared" ca="1" si="17"/>
        <v>4020.1831081749815</v>
      </c>
    </row>
    <row r="26" spans="1:17">
      <c r="A26" s="456" t="s">
        <v>654</v>
      </c>
      <c r="B26" s="457">
        <f t="shared" ca="1" si="2"/>
        <v>89.635039765310324</v>
      </c>
      <c r="C26" s="457">
        <f t="shared" ca="1" si="3"/>
        <v>0</v>
      </c>
      <c r="D26" s="457">
        <f t="shared" si="4"/>
        <v>7.751322568</v>
      </c>
      <c r="E26" s="457">
        <f t="shared" si="5"/>
        <v>1.3100611805870412</v>
      </c>
      <c r="F26" s="457">
        <f t="shared" si="6"/>
        <v>59.482965256333593</v>
      </c>
      <c r="G26" s="457">
        <f t="shared" si="7"/>
        <v>0</v>
      </c>
      <c r="H26" s="457">
        <f t="shared" si="8"/>
        <v>0</v>
      </c>
      <c r="I26" s="457">
        <f t="shared" si="9"/>
        <v>0</v>
      </c>
      <c r="J26" s="457">
        <f t="shared" si="10"/>
        <v>0.50359934607684687</v>
      </c>
      <c r="K26" s="457">
        <f t="shared" si="11"/>
        <v>0</v>
      </c>
      <c r="L26" s="457">
        <f t="shared" si="12"/>
        <v>0</v>
      </c>
      <c r="M26" s="457">
        <f t="shared" si="13"/>
        <v>0</v>
      </c>
      <c r="N26" s="457">
        <f t="shared" si="14"/>
        <v>0</v>
      </c>
      <c r="O26" s="457">
        <f t="shared" si="15"/>
        <v>0</v>
      </c>
      <c r="P26" s="458">
        <f t="shared" si="16"/>
        <v>0</v>
      </c>
      <c r="Q26" s="456">
        <f t="shared" ca="1" si="17"/>
        <v>158.6829881163078</v>
      </c>
    </row>
    <row r="27" spans="1:17" s="462" customFormat="1">
      <c r="A27" s="460" t="s">
        <v>572</v>
      </c>
      <c r="B27" s="768">
        <f t="shared" ca="1" si="2"/>
        <v>4.2596979892359832E-2</v>
      </c>
      <c r="C27" s="461">
        <f t="shared" ca="1" si="3"/>
        <v>0</v>
      </c>
      <c r="D27" s="461">
        <f t="shared" si="4"/>
        <v>0.30380449703490464</v>
      </c>
      <c r="E27" s="461">
        <f t="shared" si="5"/>
        <v>33.472717429681381</v>
      </c>
      <c r="F27" s="461">
        <f t="shared" si="6"/>
        <v>0</v>
      </c>
      <c r="G27" s="461">
        <f t="shared" si="7"/>
        <v>6149.5006239303184</v>
      </c>
      <c r="H27" s="461">
        <f t="shared" si="8"/>
        <v>1249.5822202788258</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7432.9019631157526</v>
      </c>
    </row>
    <row r="28" spans="1:17">
      <c r="A28" s="456" t="s">
        <v>562</v>
      </c>
      <c r="B28" s="457">
        <f t="shared" ca="1" si="2"/>
        <v>0</v>
      </c>
      <c r="C28" s="457">
        <f t="shared" ca="1" si="3"/>
        <v>0</v>
      </c>
      <c r="D28" s="457">
        <f t="shared" si="4"/>
        <v>0</v>
      </c>
      <c r="E28" s="457">
        <f t="shared" si="5"/>
        <v>0</v>
      </c>
      <c r="F28" s="457">
        <f t="shared" si="6"/>
        <v>0</v>
      </c>
      <c r="G28" s="457">
        <f t="shared" si="7"/>
        <v>156.23055166080692</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156.23055166080692</v>
      </c>
    </row>
    <row r="29" spans="1:17">
      <c r="A29" s="456" t="s">
        <v>563</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564</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565</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916</v>
      </c>
      <c r="B32" s="457">
        <f t="shared" ca="1" si="2"/>
        <v>183.69335439483487</v>
      </c>
      <c r="C32" s="457">
        <f t="shared" ca="1" si="3"/>
        <v>0</v>
      </c>
      <c r="D32" s="457">
        <f t="shared" si="4"/>
        <v>21.991336</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ref="Q32" ca="1" si="18">SUM(B32:P32)</f>
        <v>205.68469039483486</v>
      </c>
    </row>
    <row r="33" spans="1:17" s="469" customFormat="1">
      <c r="A33" s="466" t="s">
        <v>566</v>
      </c>
      <c r="B33" s="467">
        <f ca="1">SUM(B22:B32)</f>
        <v>4108.2214780369322</v>
      </c>
      <c r="C33" s="467">
        <f t="shared" ref="C33:Q33" ca="1" si="19">SUM(C22:C32)</f>
        <v>0</v>
      </c>
      <c r="D33" s="467">
        <f t="shared" ca="1" si="19"/>
        <v>1163.0310199450348</v>
      </c>
      <c r="E33" s="467">
        <f t="shared" si="19"/>
        <v>1827.3859328288056</v>
      </c>
      <c r="F33" s="467">
        <f t="shared" ca="1" si="19"/>
        <v>13927.926783844154</v>
      </c>
      <c r="G33" s="467">
        <f t="shared" si="19"/>
        <v>6305.7311755911251</v>
      </c>
      <c r="H33" s="467">
        <f t="shared" si="19"/>
        <v>1249.5822202788258</v>
      </c>
      <c r="I33" s="467">
        <f t="shared" si="19"/>
        <v>0</v>
      </c>
      <c r="J33" s="467">
        <f t="shared" si="19"/>
        <v>701.42493760344132</v>
      </c>
      <c r="K33" s="467">
        <f t="shared" si="19"/>
        <v>0</v>
      </c>
      <c r="L33" s="467">
        <f t="shared" ca="1" si="19"/>
        <v>0</v>
      </c>
      <c r="M33" s="467">
        <f t="shared" si="19"/>
        <v>0</v>
      </c>
      <c r="N33" s="467">
        <f t="shared" ca="1" si="19"/>
        <v>0</v>
      </c>
      <c r="O33" s="467">
        <f t="shared" si="19"/>
        <v>0</v>
      </c>
      <c r="P33" s="467">
        <f t="shared" si="19"/>
        <v>0</v>
      </c>
      <c r="Q33" s="467">
        <f t="shared" ca="1" si="19"/>
        <v>29283.303548128319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09" customFormat="1" ht="21">
      <c r="A1" s="1162" t="s">
        <v>561</v>
      </c>
      <c r="B1" s="1163" t="s">
        <v>870</v>
      </c>
      <c r="C1" s="1163"/>
      <c r="D1" s="1163"/>
      <c r="E1" s="1163"/>
      <c r="F1" s="1163"/>
      <c r="G1" s="1163"/>
      <c r="H1" s="1163"/>
      <c r="I1" s="1163"/>
      <c r="J1" s="1163"/>
      <c r="K1" s="1163"/>
      <c r="L1" s="1163"/>
      <c r="M1" s="1163"/>
      <c r="N1" s="1163"/>
      <c r="O1" s="1163"/>
      <c r="P1" s="1164"/>
      <c r="Q1" s="939"/>
    </row>
    <row r="2" spans="1:17" s="909" customFormat="1" ht="21">
      <c r="A2" s="1162"/>
      <c r="B2" s="1165" t="s">
        <v>20</v>
      </c>
      <c r="C2" s="1167" t="s">
        <v>195</v>
      </c>
      <c r="D2" s="1169" t="s">
        <v>196</v>
      </c>
      <c r="E2" s="1170"/>
      <c r="F2" s="1170"/>
      <c r="G2" s="1170"/>
      <c r="H2" s="1170"/>
      <c r="I2" s="1170"/>
      <c r="J2" s="1170"/>
      <c r="K2" s="1166"/>
      <c r="L2" s="1169" t="s">
        <v>197</v>
      </c>
      <c r="M2" s="1170"/>
      <c r="N2" s="1170"/>
      <c r="O2" s="1170"/>
      <c r="P2" s="1166"/>
      <c r="Q2" s="939"/>
    </row>
    <row r="3" spans="1:17" s="909" customFormat="1" ht="42">
      <c r="A3" s="1162"/>
      <c r="B3" s="1166"/>
      <c r="C3" s="1168"/>
      <c r="D3" s="922" t="s">
        <v>198</v>
      </c>
      <c r="E3" s="922" t="s">
        <v>199</v>
      </c>
      <c r="F3" s="922" t="s">
        <v>200</v>
      </c>
      <c r="G3" s="922" t="s">
        <v>201</v>
      </c>
      <c r="H3" s="922" t="s">
        <v>119</v>
      </c>
      <c r="I3" s="922" t="s">
        <v>202</v>
      </c>
      <c r="J3" s="922" t="s">
        <v>203</v>
      </c>
      <c r="K3" s="922" t="s">
        <v>204</v>
      </c>
      <c r="L3" s="922" t="s">
        <v>205</v>
      </c>
      <c r="M3" s="922" t="s">
        <v>206</v>
      </c>
      <c r="N3" s="922" t="s">
        <v>207</v>
      </c>
      <c r="O3" s="922" t="s">
        <v>208</v>
      </c>
      <c r="P3" s="922" t="s">
        <v>209</v>
      </c>
      <c r="Q3" s="939" t="s">
        <v>115</v>
      </c>
    </row>
    <row r="4" spans="1:17" ht="124.35" customHeight="1">
      <c r="A4" s="926" t="s">
        <v>154</v>
      </c>
      <c r="B4" s="945" t="s">
        <v>871</v>
      </c>
      <c r="C4" s="946" t="s">
        <v>872</v>
      </c>
      <c r="D4" s="947" t="s">
        <v>873</v>
      </c>
      <c r="E4" s="948" t="s">
        <v>874</v>
      </c>
      <c r="F4" s="948" t="s">
        <v>875</v>
      </c>
      <c r="G4" s="949" t="s">
        <v>878</v>
      </c>
      <c r="H4" s="949" t="s">
        <v>878</v>
      </c>
      <c r="I4" s="949" t="s">
        <v>878</v>
      </c>
      <c r="J4" s="948" t="s">
        <v>877</v>
      </c>
      <c r="K4" s="949" t="s">
        <v>878</v>
      </c>
      <c r="L4" s="949" t="s">
        <v>878</v>
      </c>
      <c r="M4" s="949" t="s">
        <v>878</v>
      </c>
      <c r="N4" s="948" t="s">
        <v>879</v>
      </c>
      <c r="O4" s="950" t="s">
        <v>880</v>
      </c>
      <c r="P4" s="951" t="s">
        <v>881</v>
      </c>
      <c r="Q4" s="952"/>
    </row>
    <row r="5" spans="1:17" ht="124.35" customHeight="1">
      <c r="A5" s="927" t="s">
        <v>155</v>
      </c>
      <c r="B5" s="928" t="s">
        <v>882</v>
      </c>
      <c r="C5" s="929" t="s">
        <v>883</v>
      </c>
      <c r="D5" s="929" t="s">
        <v>884</v>
      </c>
      <c r="E5" s="930" t="s">
        <v>885</v>
      </c>
      <c r="F5" s="930" t="s">
        <v>886</v>
      </c>
      <c r="G5" s="931" t="s">
        <v>878</v>
      </c>
      <c r="H5" s="931" t="s">
        <v>878</v>
      </c>
      <c r="I5" s="931" t="s">
        <v>878</v>
      </c>
      <c r="J5" s="930" t="s">
        <v>887</v>
      </c>
      <c r="K5" s="928" t="s">
        <v>888</v>
      </c>
      <c r="L5" s="931" t="s">
        <v>878</v>
      </c>
      <c r="M5" s="931" t="s">
        <v>878</v>
      </c>
      <c r="N5" s="930" t="s">
        <v>889</v>
      </c>
      <c r="O5" s="932" t="s">
        <v>880</v>
      </c>
      <c r="P5" s="940" t="s">
        <v>881</v>
      </c>
      <c r="Q5" s="923"/>
    </row>
    <row r="6" spans="1:17" ht="124.35" customHeight="1">
      <c r="A6" s="927" t="s">
        <v>193</v>
      </c>
      <c r="B6" s="933" t="s">
        <v>890</v>
      </c>
      <c r="C6" s="934" t="s">
        <v>876</v>
      </c>
      <c r="D6" s="931" t="s">
        <v>876</v>
      </c>
      <c r="E6" s="931" t="s">
        <v>876</v>
      </c>
      <c r="F6" s="931" t="s">
        <v>876</v>
      </c>
      <c r="G6" s="931" t="s">
        <v>876</v>
      </c>
      <c r="H6" s="931" t="s">
        <v>876</v>
      </c>
      <c r="I6" s="931" t="s">
        <v>876</v>
      </c>
      <c r="J6" s="931" t="s">
        <v>876</v>
      </c>
      <c r="K6" s="931" t="s">
        <v>876</v>
      </c>
      <c r="L6" s="931" t="s">
        <v>876</v>
      </c>
      <c r="M6" s="931" t="s">
        <v>876</v>
      </c>
      <c r="N6" s="931" t="s">
        <v>876</v>
      </c>
      <c r="O6" s="935" t="s">
        <v>876</v>
      </c>
      <c r="P6" s="941" t="s">
        <v>876</v>
      </c>
      <c r="Q6" s="924"/>
    </row>
    <row r="7" spans="1:17" ht="124.35" customHeight="1">
      <c r="A7" s="927" t="s">
        <v>111</v>
      </c>
      <c r="B7" s="933" t="s">
        <v>890</v>
      </c>
      <c r="C7" s="929" t="s">
        <v>883</v>
      </c>
      <c r="D7" s="929" t="s">
        <v>884</v>
      </c>
      <c r="E7" s="930" t="s">
        <v>885</v>
      </c>
      <c r="F7" s="930" t="s">
        <v>886</v>
      </c>
      <c r="G7" s="931" t="s">
        <v>878</v>
      </c>
      <c r="H7" s="931" t="s">
        <v>878</v>
      </c>
      <c r="I7" s="931" t="s">
        <v>878</v>
      </c>
      <c r="J7" s="930" t="s">
        <v>887</v>
      </c>
      <c r="K7" s="931" t="s">
        <v>878</v>
      </c>
      <c r="L7" s="931" t="s">
        <v>878</v>
      </c>
      <c r="M7" s="931" t="s">
        <v>878</v>
      </c>
      <c r="N7" s="936" t="s">
        <v>878</v>
      </c>
      <c r="O7" s="934" t="s">
        <v>878</v>
      </c>
      <c r="P7" s="942" t="s">
        <v>878</v>
      </c>
      <c r="Q7" s="923"/>
    </row>
    <row r="8" spans="1:17" ht="124.35" customHeight="1">
      <c r="A8" s="927" t="s">
        <v>654</v>
      </c>
      <c r="B8" s="928" t="s">
        <v>891</v>
      </c>
      <c r="C8" s="929" t="s">
        <v>883</v>
      </c>
      <c r="D8" s="929" t="s">
        <v>884</v>
      </c>
      <c r="E8" s="930" t="s">
        <v>885</v>
      </c>
      <c r="F8" s="930" t="s">
        <v>886</v>
      </c>
      <c r="G8" s="931" t="s">
        <v>878</v>
      </c>
      <c r="H8" s="931" t="s">
        <v>878</v>
      </c>
      <c r="I8" s="931" t="s">
        <v>878</v>
      </c>
      <c r="J8" s="930" t="s">
        <v>887</v>
      </c>
      <c r="K8" s="928" t="s">
        <v>888</v>
      </c>
      <c r="L8" s="931" t="s">
        <v>878</v>
      </c>
      <c r="M8" s="931" t="s">
        <v>878</v>
      </c>
      <c r="N8" s="930" t="s">
        <v>889</v>
      </c>
      <c r="O8" s="932" t="s">
        <v>880</v>
      </c>
      <c r="P8" s="940" t="s">
        <v>881</v>
      </c>
      <c r="Q8" s="923"/>
    </row>
    <row r="9" spans="1:17" s="462" customFormat="1" ht="124.35" customHeight="1">
      <c r="A9" s="937" t="s">
        <v>572</v>
      </c>
      <c r="B9" s="930" t="s">
        <v>892</v>
      </c>
      <c r="C9" s="935" t="s">
        <v>876</v>
      </c>
      <c r="D9" s="930" t="s">
        <v>893</v>
      </c>
      <c r="E9" s="930" t="s">
        <v>894</v>
      </c>
      <c r="F9" s="931" t="s">
        <v>876</v>
      </c>
      <c r="G9" s="930" t="s">
        <v>895</v>
      </c>
      <c r="H9" s="930" t="s">
        <v>896</v>
      </c>
      <c r="I9" s="931" t="s">
        <v>876</v>
      </c>
      <c r="J9" s="931" t="s">
        <v>876</v>
      </c>
      <c r="K9" s="931" t="s">
        <v>876</v>
      </c>
      <c r="L9" s="931" t="s">
        <v>876</v>
      </c>
      <c r="M9" s="930" t="s">
        <v>892</v>
      </c>
      <c r="N9" s="931" t="s">
        <v>876</v>
      </c>
      <c r="O9" s="931" t="s">
        <v>876</v>
      </c>
      <c r="P9" s="943" t="s">
        <v>876</v>
      </c>
      <c r="Q9" s="925"/>
    </row>
    <row r="10" spans="1:17" ht="124.35" customHeight="1">
      <c r="A10" s="927" t="s">
        <v>562</v>
      </c>
      <c r="B10" s="928" t="s">
        <v>906</v>
      </c>
      <c r="C10" s="935" t="s">
        <v>876</v>
      </c>
      <c r="D10" s="935" t="s">
        <v>876</v>
      </c>
      <c r="E10" s="935" t="s">
        <v>876</v>
      </c>
      <c r="F10" s="931" t="s">
        <v>876</v>
      </c>
      <c r="G10" s="928" t="s">
        <v>897</v>
      </c>
      <c r="H10" s="931" t="s">
        <v>876</v>
      </c>
      <c r="I10" s="931" t="s">
        <v>876</v>
      </c>
      <c r="J10" s="931" t="s">
        <v>876</v>
      </c>
      <c r="K10" s="931" t="s">
        <v>876</v>
      </c>
      <c r="L10" s="931" t="s">
        <v>876</v>
      </c>
      <c r="M10" s="928" t="s">
        <v>898</v>
      </c>
      <c r="N10" s="931" t="s">
        <v>876</v>
      </c>
      <c r="O10" s="931" t="s">
        <v>876</v>
      </c>
      <c r="P10" s="943" t="s">
        <v>876</v>
      </c>
      <c r="Q10" s="923"/>
    </row>
    <row r="11" spans="1:17" ht="21">
      <c r="A11" s="927" t="s">
        <v>563</v>
      </c>
      <c r="B11" s="938" t="s">
        <v>899</v>
      </c>
      <c r="C11" s="938" t="s">
        <v>899</v>
      </c>
      <c r="D11" s="938" t="s">
        <v>899</v>
      </c>
      <c r="E11" s="938" t="s">
        <v>899</v>
      </c>
      <c r="F11" s="938" t="s">
        <v>899</v>
      </c>
      <c r="G11" s="938" t="s">
        <v>899</v>
      </c>
      <c r="H11" s="938" t="s">
        <v>899</v>
      </c>
      <c r="I11" s="938" t="s">
        <v>899</v>
      </c>
      <c r="J11" s="938" t="s">
        <v>899</v>
      </c>
      <c r="K11" s="938" t="s">
        <v>899</v>
      </c>
      <c r="L11" s="938" t="s">
        <v>899</v>
      </c>
      <c r="M11" s="938" t="s">
        <v>899</v>
      </c>
      <c r="N11" s="938" t="s">
        <v>899</v>
      </c>
      <c r="O11" s="938" t="s">
        <v>899</v>
      </c>
      <c r="P11" s="953" t="s">
        <v>899</v>
      </c>
      <c r="Q11" s="954"/>
    </row>
    <row r="12" spans="1:17" ht="21">
      <c r="A12" s="927" t="s">
        <v>564</v>
      </c>
      <c r="B12" s="938" t="s">
        <v>899</v>
      </c>
      <c r="C12" s="938" t="s">
        <v>876</v>
      </c>
      <c r="D12" s="938" t="s">
        <v>876</v>
      </c>
      <c r="E12" s="938" t="s">
        <v>876</v>
      </c>
      <c r="F12" s="938" t="s">
        <v>876</v>
      </c>
      <c r="G12" s="938" t="s">
        <v>876</v>
      </c>
      <c r="H12" s="938" t="s">
        <v>876</v>
      </c>
      <c r="I12" s="938" t="s">
        <v>876</v>
      </c>
      <c r="J12" s="938" t="s">
        <v>876</v>
      </c>
      <c r="K12" s="938" t="s">
        <v>876</v>
      </c>
      <c r="L12" s="938" t="s">
        <v>876</v>
      </c>
      <c r="M12" s="938" t="s">
        <v>876</v>
      </c>
      <c r="N12" s="938" t="s">
        <v>876</v>
      </c>
      <c r="O12" s="938" t="s">
        <v>876</v>
      </c>
      <c r="P12" s="944" t="s">
        <v>876</v>
      </c>
      <c r="Q12" s="458"/>
    </row>
    <row r="13" spans="1:17" ht="21">
      <c r="A13" s="927" t="s">
        <v>565</v>
      </c>
      <c r="B13" s="938" t="s">
        <v>899</v>
      </c>
      <c r="C13" s="938" t="s">
        <v>876</v>
      </c>
      <c r="D13" s="938" t="s">
        <v>899</v>
      </c>
      <c r="E13" s="938" t="s">
        <v>899</v>
      </c>
      <c r="F13" s="938" t="s">
        <v>876</v>
      </c>
      <c r="G13" s="938" t="s">
        <v>899</v>
      </c>
      <c r="H13" s="938" t="s">
        <v>899</v>
      </c>
      <c r="I13" s="938" t="s">
        <v>876</v>
      </c>
      <c r="J13" s="938" t="s">
        <v>876</v>
      </c>
      <c r="K13" s="938" t="s">
        <v>876</v>
      </c>
      <c r="L13" s="938" t="s">
        <v>876</v>
      </c>
      <c r="M13" s="938" t="s">
        <v>899</v>
      </c>
      <c r="N13" s="938" t="s">
        <v>876</v>
      </c>
      <c r="O13" s="938" t="s">
        <v>876</v>
      </c>
      <c r="P13" s="953" t="s">
        <v>876</v>
      </c>
      <c r="Q13" s="954"/>
    </row>
    <row r="14" spans="1:17" ht="30">
      <c r="A14" s="910" t="s">
        <v>916</v>
      </c>
      <c r="B14" s="933" t="s">
        <v>915</v>
      </c>
      <c r="C14" s="938" t="s">
        <v>876</v>
      </c>
      <c r="D14" s="933" t="s">
        <v>915</v>
      </c>
      <c r="E14" s="938" t="s">
        <v>876</v>
      </c>
      <c r="F14" s="938" t="s">
        <v>876</v>
      </c>
      <c r="G14" s="938" t="s">
        <v>876</v>
      </c>
      <c r="H14" s="938" t="s">
        <v>876</v>
      </c>
      <c r="I14" s="938" t="s">
        <v>876</v>
      </c>
      <c r="J14" s="938" t="s">
        <v>876</v>
      </c>
      <c r="K14" s="938" t="s">
        <v>876</v>
      </c>
      <c r="L14" s="938" t="s">
        <v>876</v>
      </c>
      <c r="M14" s="938" t="s">
        <v>876</v>
      </c>
      <c r="N14" s="938" t="s">
        <v>876</v>
      </c>
      <c r="O14" s="938" t="s">
        <v>876</v>
      </c>
      <c r="P14" s="953" t="s">
        <v>876</v>
      </c>
      <c r="Q14" s="1015"/>
    </row>
    <row r="15" spans="1:17" s="469" customFormat="1" ht="21">
      <c r="A15" s="911" t="s">
        <v>566</v>
      </c>
      <c r="B15" s="467"/>
      <c r="C15" s="467"/>
      <c r="D15" s="467"/>
      <c r="E15" s="467"/>
      <c r="F15" s="467"/>
      <c r="G15" s="467"/>
      <c r="H15" s="467"/>
      <c r="I15" s="467"/>
      <c r="J15" s="467"/>
      <c r="K15" s="467"/>
      <c r="L15" s="467"/>
      <c r="M15" s="912"/>
      <c r="N15" s="467"/>
      <c r="O15" s="467"/>
      <c r="P15" s="468"/>
      <c r="Q15" s="913"/>
    </row>
    <row r="16" spans="1:17">
      <c r="M16" s="914"/>
    </row>
    <row r="17" spans="1:4">
      <c r="B17" s="915">
        <v>1</v>
      </c>
      <c r="C17" s="916">
        <v>2</v>
      </c>
      <c r="D17" s="917">
        <v>3</v>
      </c>
    </row>
    <row r="18" spans="1:4" ht="252">
      <c r="A18" s="918" t="s">
        <v>900</v>
      </c>
      <c r="B18" s="919" t="s">
        <v>901</v>
      </c>
      <c r="C18" s="920" t="s">
        <v>902</v>
      </c>
      <c r="D18" s="921" t="s">
        <v>903</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60">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c r="A4" s="1017" t="s">
        <v>248</v>
      </c>
      <c r="B4" s="1018">
        <f>'SEAP template'!B72</f>
        <v>0</v>
      </c>
      <c r="C4" s="1018"/>
      <c r="D4" s="1018"/>
      <c r="E4" s="1018"/>
      <c r="F4" s="1018"/>
      <c r="G4" s="1018"/>
      <c r="H4" s="1018"/>
      <c r="I4" s="1018"/>
      <c r="J4" s="1018"/>
      <c r="K4" s="1018"/>
      <c r="L4" s="1018"/>
      <c r="M4" s="1018"/>
      <c r="N4" s="1018"/>
      <c r="O4" s="1018"/>
      <c r="P4" s="1019">
        <f>'SEAP template'!Q72</f>
        <v>0</v>
      </c>
    </row>
    <row r="5" spans="1:16">
      <c r="A5" s="1020" t="s">
        <v>249</v>
      </c>
      <c r="B5" s="1018">
        <f>'SEAP template'!B73</f>
        <v>0</v>
      </c>
      <c r="C5" s="1018"/>
      <c r="D5" s="1018"/>
      <c r="E5" s="1018"/>
      <c r="F5" s="1018"/>
      <c r="G5" s="1018"/>
      <c r="H5" s="1018"/>
      <c r="I5" s="1018"/>
      <c r="J5" s="1018"/>
      <c r="K5" s="1018"/>
      <c r="L5" s="1018"/>
      <c r="M5" s="1018"/>
      <c r="N5" s="1018"/>
      <c r="O5" s="1018"/>
      <c r="P5" s="1019">
        <f>'SEAP template'!Q73</f>
        <v>0</v>
      </c>
    </row>
    <row r="6" spans="1:16">
      <c r="A6" s="1020" t="s">
        <v>250</v>
      </c>
      <c r="B6" s="1018">
        <f>'SEAP template'!B74</f>
        <v>1573.5113668282725</v>
      </c>
      <c r="C6" s="1018"/>
      <c r="D6" s="1018"/>
      <c r="E6" s="1018"/>
      <c r="F6" s="1018"/>
      <c r="G6" s="1018"/>
      <c r="H6" s="1018"/>
      <c r="I6" s="1018"/>
      <c r="J6" s="1018"/>
      <c r="K6" s="1018"/>
      <c r="L6" s="1018"/>
      <c r="M6" s="1018"/>
      <c r="N6" s="1018"/>
      <c r="O6" s="1018"/>
      <c r="P6" s="1019">
        <f>'SEAP template'!Q74</f>
        <v>0</v>
      </c>
    </row>
    <row r="7" spans="1:16">
      <c r="A7" s="1020" t="s">
        <v>907</v>
      </c>
      <c r="B7" s="1018">
        <f>'SEAP template'!B75</f>
        <v>0</v>
      </c>
      <c r="C7" s="1018"/>
      <c r="D7" s="1018"/>
      <c r="E7" s="1018"/>
      <c r="F7" s="1018"/>
      <c r="G7" s="1018"/>
      <c r="H7" s="1018"/>
      <c r="I7" s="1018"/>
      <c r="J7" s="1018"/>
      <c r="K7" s="1018"/>
      <c r="L7" s="1018"/>
      <c r="M7" s="1018"/>
      <c r="N7" s="1018"/>
      <c r="O7" s="1018"/>
      <c r="P7" s="1019">
        <f>'SEAP template'!Q75</f>
        <v>0</v>
      </c>
    </row>
    <row r="8" spans="1:16">
      <c r="A8" s="1017" t="s">
        <v>251</v>
      </c>
      <c r="B8" s="1018">
        <f>'SEAP template'!B76</f>
        <v>0</v>
      </c>
      <c r="C8" s="1018">
        <f>'SEAP template'!C76</f>
        <v>0</v>
      </c>
      <c r="D8" s="1018">
        <f>'SEAP template'!D76</f>
        <v>0</v>
      </c>
      <c r="E8" s="1018">
        <f>'SEAP template'!E76</f>
        <v>0</v>
      </c>
      <c r="F8" s="1018">
        <f>'SEAP template'!F76</f>
        <v>0</v>
      </c>
      <c r="G8" s="1018">
        <f>'SEAP template'!G76</f>
        <v>0</v>
      </c>
      <c r="H8" s="1018">
        <f>'SEAP template'!H76</f>
        <v>0</v>
      </c>
      <c r="I8" s="1018">
        <f>'SEAP template'!I76</f>
        <v>0</v>
      </c>
      <c r="J8" s="1018">
        <f>'SEAP template'!J76</f>
        <v>0</v>
      </c>
      <c r="K8" s="1018">
        <f>'SEAP template'!K76</f>
        <v>0</v>
      </c>
      <c r="L8" s="1018">
        <f>'SEAP template'!L76</f>
        <v>0</v>
      </c>
      <c r="M8" s="1018">
        <f>'SEAP template'!M76</f>
        <v>0</v>
      </c>
      <c r="N8" s="1018">
        <f>'SEAP template'!N76</f>
        <v>0</v>
      </c>
      <c r="O8" s="1018">
        <f>'SEAP template'!O76</f>
        <v>0</v>
      </c>
      <c r="P8" s="1019">
        <f>'SEAP template'!Q76</f>
        <v>0</v>
      </c>
    </row>
    <row r="9" spans="1:16">
      <c r="A9" s="1021" t="s">
        <v>925</v>
      </c>
      <c r="B9" s="1018">
        <f>'SEAP template'!B77</f>
        <v>0</v>
      </c>
      <c r="C9" s="1018">
        <f>'SEAP template'!C77</f>
        <v>0</v>
      </c>
      <c r="D9" s="1018">
        <f>'SEAP template'!D77</f>
        <v>0</v>
      </c>
      <c r="E9" s="1018">
        <f>'SEAP template'!E77</f>
        <v>0</v>
      </c>
      <c r="F9" s="1018">
        <f>'SEAP template'!F77</f>
        <v>0</v>
      </c>
      <c r="G9" s="1018">
        <f>'SEAP template'!G77</f>
        <v>0</v>
      </c>
      <c r="H9" s="1018">
        <f>'SEAP template'!H77</f>
        <v>0</v>
      </c>
      <c r="I9" s="1018">
        <f>'SEAP template'!I77</f>
        <v>0</v>
      </c>
      <c r="J9" s="1018">
        <f>'SEAP template'!J77</f>
        <v>0</v>
      </c>
      <c r="K9" s="1018">
        <f>'SEAP template'!K77</f>
        <v>0</v>
      </c>
      <c r="L9" s="1018">
        <f>'SEAP template'!L77</f>
        <v>0</v>
      </c>
      <c r="M9" s="1018">
        <f>'SEAP template'!M77</f>
        <v>0</v>
      </c>
      <c r="N9" s="1018">
        <f>'SEAP template'!N77</f>
        <v>0</v>
      </c>
      <c r="O9" s="1018">
        <f>'SEAP template'!O77</f>
        <v>0</v>
      </c>
      <c r="P9" s="1019">
        <f>'SEAP template'!Q77</f>
        <v>0</v>
      </c>
    </row>
    <row r="10" spans="1:16">
      <c r="A10" s="1020" t="s">
        <v>115</v>
      </c>
      <c r="B10" s="1022">
        <f>SUM(B4:B9)</f>
        <v>1573.5113668282725</v>
      </c>
      <c r="C10" s="1022">
        <f>SUM(C4:C9)</f>
        <v>0</v>
      </c>
      <c r="D10" s="1022">
        <f t="shared" ref="D10:H10" si="0">SUM(D8:D9)</f>
        <v>0</v>
      </c>
      <c r="E10" s="1022">
        <f t="shared" si="0"/>
        <v>0</v>
      </c>
      <c r="F10" s="1022">
        <f t="shared" si="0"/>
        <v>0</v>
      </c>
      <c r="G10" s="1022">
        <f t="shared" si="0"/>
        <v>0</v>
      </c>
      <c r="H10" s="1022">
        <f t="shared" si="0"/>
        <v>0</v>
      </c>
      <c r="I10" s="1022">
        <f>SUM(I8:I9)</f>
        <v>0</v>
      </c>
      <c r="J10" s="1022">
        <f>SUM(J8:J9)</f>
        <v>0</v>
      </c>
      <c r="K10" s="1022">
        <f t="shared" ref="K10:L10" si="1">SUM(K8:K9)</f>
        <v>0</v>
      </c>
      <c r="L10" s="1022">
        <f t="shared" si="1"/>
        <v>0</v>
      </c>
      <c r="M10" s="1022">
        <f>SUM(M8:M9)</f>
        <v>0</v>
      </c>
      <c r="N10" s="1022">
        <f>SUM(N8:N9)</f>
        <v>0</v>
      </c>
      <c r="O10" s="1022">
        <f>SUM(O8:O9)</f>
        <v>0</v>
      </c>
      <c r="P10" s="1022">
        <f>SUM(P8:P9)</f>
        <v>0</v>
      </c>
    </row>
    <row r="11" spans="1:16">
      <c r="A11" s="1023"/>
      <c r="B11" s="1023"/>
      <c r="C11" s="1023"/>
      <c r="D11" s="1023"/>
      <c r="E11" s="1023"/>
      <c r="F11" s="1023"/>
      <c r="G11" s="1023"/>
      <c r="H11" s="1023"/>
      <c r="I11" s="1023"/>
      <c r="J11" s="1023"/>
      <c r="K11" s="1023"/>
      <c r="L11" s="1023"/>
      <c r="M11" s="1023"/>
      <c r="N11" s="1023"/>
      <c r="O11" s="1023"/>
      <c r="P11" s="1023"/>
    </row>
    <row r="12" spans="1:16">
      <c r="A12" s="470" t="s">
        <v>926</v>
      </c>
      <c r="B12" s="774" t="s">
        <v>927</v>
      </c>
      <c r="C12" s="774">
        <f ca="1">'EF ele_warmte'!B12</f>
        <v>0.20375304547488254</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c r="A17" s="1024" t="s">
        <v>251</v>
      </c>
      <c r="B17" s="1025">
        <f>'SEAP template'!B87</f>
        <v>0</v>
      </c>
      <c r="C17" s="1025">
        <f>'SEAP template'!C87</f>
        <v>0</v>
      </c>
      <c r="D17" s="1019">
        <f>'SEAP template'!D87</f>
        <v>0</v>
      </c>
      <c r="E17" s="1019">
        <f>'SEAP template'!E87</f>
        <v>0</v>
      </c>
      <c r="F17" s="1019">
        <f>'SEAP template'!F87</f>
        <v>0</v>
      </c>
      <c r="G17" s="1019">
        <f>'SEAP template'!G87</f>
        <v>0</v>
      </c>
      <c r="H17" s="1019">
        <f>'SEAP template'!H87</f>
        <v>0</v>
      </c>
      <c r="I17" s="1019">
        <f>'SEAP template'!I87</f>
        <v>0</v>
      </c>
      <c r="J17" s="1019">
        <f>'SEAP template'!J87</f>
        <v>0</v>
      </c>
      <c r="K17" s="1019">
        <f>'SEAP template'!K87</f>
        <v>0</v>
      </c>
      <c r="L17" s="1019">
        <f>'SEAP template'!L87</f>
        <v>0</v>
      </c>
      <c r="M17" s="1019">
        <f>'SEAP template'!M87</f>
        <v>0</v>
      </c>
      <c r="N17" s="1019">
        <f>'SEAP template'!N87</f>
        <v>0</v>
      </c>
      <c r="O17" s="1019">
        <f>'SEAP template'!O87</f>
        <v>0</v>
      </c>
      <c r="P17" s="1019">
        <f>'SEAP template'!Q87</f>
        <v>0</v>
      </c>
    </row>
    <row r="18" spans="1:16">
      <c r="A18" s="1026" t="s">
        <v>257</v>
      </c>
      <c r="B18" s="1025">
        <f>'SEAP template'!B88</f>
        <v>0</v>
      </c>
      <c r="C18" s="1025">
        <f>'SEAP template'!C88</f>
        <v>0</v>
      </c>
      <c r="D18" s="1019">
        <f>'SEAP template'!D88</f>
        <v>0</v>
      </c>
      <c r="E18" s="1019">
        <f>'SEAP template'!E88</f>
        <v>0</v>
      </c>
      <c r="F18" s="1019">
        <f>'SEAP template'!F88</f>
        <v>0</v>
      </c>
      <c r="G18" s="1019">
        <f>'SEAP template'!G88</f>
        <v>0</v>
      </c>
      <c r="H18" s="1019">
        <f>'SEAP template'!H88</f>
        <v>0</v>
      </c>
      <c r="I18" s="1019">
        <f>'SEAP template'!I88</f>
        <v>0</v>
      </c>
      <c r="J18" s="1019">
        <f>'SEAP template'!J88</f>
        <v>0</v>
      </c>
      <c r="K18" s="1019">
        <f>'SEAP template'!K88</f>
        <v>0</v>
      </c>
      <c r="L18" s="1019">
        <f>'SEAP template'!L88</f>
        <v>0</v>
      </c>
      <c r="M18" s="1019">
        <f>'SEAP template'!M88</f>
        <v>0</v>
      </c>
      <c r="N18" s="1019">
        <f>'SEAP template'!N88</f>
        <v>0</v>
      </c>
      <c r="O18" s="1019">
        <f>'SEAP template'!O88</f>
        <v>0</v>
      </c>
      <c r="P18" s="1019">
        <f>'SEAP template'!Q88</f>
        <v>0</v>
      </c>
    </row>
    <row r="19" spans="1:16">
      <c r="A19" s="1021" t="s">
        <v>932</v>
      </c>
      <c r="B19" s="1025">
        <f>'SEAP template'!B89</f>
        <v>0</v>
      </c>
      <c r="C19" s="1025">
        <f>'SEAP template'!C89</f>
        <v>0</v>
      </c>
      <c r="D19" s="1019">
        <f>'SEAP template'!D89</f>
        <v>0</v>
      </c>
      <c r="E19" s="1019">
        <f>'SEAP template'!E89</f>
        <v>0</v>
      </c>
      <c r="F19" s="1019">
        <f>'SEAP template'!F89</f>
        <v>0</v>
      </c>
      <c r="G19" s="1019">
        <f>'SEAP template'!G89</f>
        <v>0</v>
      </c>
      <c r="H19" s="1019">
        <f>'SEAP template'!H89</f>
        <v>0</v>
      </c>
      <c r="I19" s="1019">
        <f>'SEAP template'!I89</f>
        <v>0</v>
      </c>
      <c r="J19" s="1019">
        <f>'SEAP template'!J89</f>
        <v>0</v>
      </c>
      <c r="K19" s="1019">
        <f>'SEAP template'!K89</f>
        <v>0</v>
      </c>
      <c r="L19" s="1019">
        <f>'SEAP template'!L89</f>
        <v>0</v>
      </c>
      <c r="M19" s="1019">
        <f>'SEAP template'!M89</f>
        <v>0</v>
      </c>
      <c r="N19" s="1019">
        <f>'SEAP template'!N89</f>
        <v>0</v>
      </c>
      <c r="O19" s="1019">
        <f>'SEAP template'!O89</f>
        <v>0</v>
      </c>
      <c r="P19" s="1019">
        <f>'SEAP template'!Q89</f>
        <v>0</v>
      </c>
    </row>
    <row r="20" spans="1:16">
      <c r="A20" s="1027" t="s">
        <v>115</v>
      </c>
      <c r="B20" s="1022">
        <f>SUM(B17:B19)</f>
        <v>0</v>
      </c>
      <c r="C20" s="1022">
        <f>SUM(C17:C19)</f>
        <v>0</v>
      </c>
      <c r="D20" s="1022">
        <f t="shared" ref="D20:H20" si="2">SUM(D17:D19)</f>
        <v>0</v>
      </c>
      <c r="E20" s="1022">
        <f t="shared" si="2"/>
        <v>0</v>
      </c>
      <c r="F20" s="1022">
        <f t="shared" si="2"/>
        <v>0</v>
      </c>
      <c r="G20" s="1022">
        <f t="shared" si="2"/>
        <v>0</v>
      </c>
      <c r="H20" s="1022">
        <f t="shared" si="2"/>
        <v>0</v>
      </c>
      <c r="I20" s="1022">
        <f>SUM(I17:I19)</f>
        <v>0</v>
      </c>
      <c r="J20" s="1022">
        <f>SUM(J17:J19)</f>
        <v>0</v>
      </c>
      <c r="K20" s="1022">
        <f t="shared" ref="K20:L20" si="3">SUM(K17:K19)</f>
        <v>0</v>
      </c>
      <c r="L20" s="1022">
        <f t="shared" si="3"/>
        <v>0</v>
      </c>
      <c r="M20" s="1022">
        <f>SUM(M17:M19)</f>
        <v>0</v>
      </c>
      <c r="N20" s="1022">
        <f>SUM(N17:N19)</f>
        <v>0</v>
      </c>
      <c r="O20" s="1022">
        <f>SUM(O17:O19)</f>
        <v>0</v>
      </c>
      <c r="P20" s="1022">
        <f>SUM(P17:P19)</f>
        <v>0</v>
      </c>
    </row>
    <row r="22" spans="1:16">
      <c r="A22" s="470" t="s">
        <v>933</v>
      </c>
      <c r="B22" s="774" t="s">
        <v>927</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15.75">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ht="135">
      <c r="A4" s="1028" t="s">
        <v>248</v>
      </c>
      <c r="B4" s="1029" t="s">
        <v>934</v>
      </c>
      <c r="C4" s="1030" t="s">
        <v>876</v>
      </c>
      <c r="D4" s="1030" t="s">
        <v>876</v>
      </c>
      <c r="E4" s="1030" t="s">
        <v>876</v>
      </c>
      <c r="F4" s="1030" t="s">
        <v>876</v>
      </c>
      <c r="G4" s="1030" t="s">
        <v>876</v>
      </c>
      <c r="H4" s="1030" t="s">
        <v>876</v>
      </c>
      <c r="I4" s="1030" t="s">
        <v>876</v>
      </c>
      <c r="J4" s="1030" t="s">
        <v>876</v>
      </c>
      <c r="K4" s="1030" t="s">
        <v>876</v>
      </c>
      <c r="L4" s="1030" t="s">
        <v>876</v>
      </c>
      <c r="M4" s="1030" t="s">
        <v>876</v>
      </c>
      <c r="N4" s="1030" t="s">
        <v>876</v>
      </c>
      <c r="O4" s="1030" t="s">
        <v>876</v>
      </c>
      <c r="P4" s="1031" t="s">
        <v>935</v>
      </c>
    </row>
    <row r="5" spans="1:16" ht="135">
      <c r="A5" s="1032" t="s">
        <v>249</v>
      </c>
      <c r="B5" s="1029" t="s">
        <v>934</v>
      </c>
      <c r="C5" s="1030" t="s">
        <v>876</v>
      </c>
      <c r="D5" s="1030" t="s">
        <v>876</v>
      </c>
      <c r="E5" s="1030" t="s">
        <v>876</v>
      </c>
      <c r="F5" s="1030" t="s">
        <v>876</v>
      </c>
      <c r="G5" s="1030" t="s">
        <v>876</v>
      </c>
      <c r="H5" s="1030" t="s">
        <v>876</v>
      </c>
      <c r="I5" s="1030" t="s">
        <v>876</v>
      </c>
      <c r="J5" s="1030" t="s">
        <v>876</v>
      </c>
      <c r="K5" s="1030" t="s">
        <v>876</v>
      </c>
      <c r="L5" s="1030" t="s">
        <v>876</v>
      </c>
      <c r="M5" s="1030" t="s">
        <v>876</v>
      </c>
      <c r="N5" s="1030" t="s">
        <v>876</v>
      </c>
      <c r="O5" s="1030" t="s">
        <v>876</v>
      </c>
      <c r="P5" s="1031" t="s">
        <v>935</v>
      </c>
    </row>
    <row r="6" spans="1:16" ht="135">
      <c r="A6" s="1032" t="s">
        <v>250</v>
      </c>
      <c r="B6" s="1029" t="s">
        <v>934</v>
      </c>
      <c r="C6" s="1030" t="s">
        <v>876</v>
      </c>
      <c r="D6" s="1030" t="s">
        <v>876</v>
      </c>
      <c r="E6" s="1030" t="s">
        <v>876</v>
      </c>
      <c r="F6" s="1030" t="s">
        <v>876</v>
      </c>
      <c r="G6" s="1030" t="s">
        <v>876</v>
      </c>
      <c r="H6" s="1030" t="s">
        <v>876</v>
      </c>
      <c r="I6" s="1030" t="s">
        <v>876</v>
      </c>
      <c r="J6" s="1030" t="s">
        <v>876</v>
      </c>
      <c r="K6" s="1030" t="s">
        <v>876</v>
      </c>
      <c r="L6" s="1030" t="s">
        <v>876</v>
      </c>
      <c r="M6" s="1030" t="s">
        <v>876</v>
      </c>
      <c r="N6" s="1030" t="s">
        <v>876</v>
      </c>
      <c r="O6" s="1030" t="s">
        <v>876</v>
      </c>
      <c r="P6" s="1031" t="s">
        <v>935</v>
      </c>
    </row>
    <row r="7" spans="1:16" ht="135">
      <c r="A7" s="1032" t="s">
        <v>907</v>
      </c>
      <c r="B7" s="1030" t="s">
        <v>876</v>
      </c>
      <c r="C7" s="1030" t="s">
        <v>876</v>
      </c>
      <c r="D7" s="1030" t="s">
        <v>876</v>
      </c>
      <c r="E7" s="1030" t="s">
        <v>876</v>
      </c>
      <c r="F7" s="1030" t="s">
        <v>876</v>
      </c>
      <c r="G7" s="1030" t="s">
        <v>876</v>
      </c>
      <c r="H7" s="1030" t="s">
        <v>876</v>
      </c>
      <c r="I7" s="1030" t="s">
        <v>876</v>
      </c>
      <c r="J7" s="1030" t="s">
        <v>876</v>
      </c>
      <c r="K7" s="1030" t="s">
        <v>876</v>
      </c>
      <c r="L7" s="1030" t="s">
        <v>876</v>
      </c>
      <c r="M7" s="1030" t="s">
        <v>876</v>
      </c>
      <c r="N7" s="1030" t="s">
        <v>876</v>
      </c>
      <c r="O7" s="1030" t="s">
        <v>876</v>
      </c>
      <c r="P7" s="1031" t="s">
        <v>935</v>
      </c>
    </row>
    <row r="8" spans="1:16" ht="210">
      <c r="A8" s="1028" t="s">
        <v>251</v>
      </c>
      <c r="B8" s="1029" t="s">
        <v>936</v>
      </c>
      <c r="C8" s="1029" t="s">
        <v>936</v>
      </c>
      <c r="D8" s="1029" t="s">
        <v>936</v>
      </c>
      <c r="E8" s="1029" t="s">
        <v>936</v>
      </c>
      <c r="F8" s="1029" t="s">
        <v>936</v>
      </c>
      <c r="G8" s="1029" t="s">
        <v>936</v>
      </c>
      <c r="H8" s="1029" t="s">
        <v>936</v>
      </c>
      <c r="I8" s="1029" t="s">
        <v>936</v>
      </c>
      <c r="J8" s="1029" t="s">
        <v>936</v>
      </c>
      <c r="K8" s="1030" t="s">
        <v>876</v>
      </c>
      <c r="L8" s="1030" t="s">
        <v>876</v>
      </c>
      <c r="M8" s="1030" t="s">
        <v>876</v>
      </c>
      <c r="N8" s="1029" t="s">
        <v>937</v>
      </c>
      <c r="O8" s="1029" t="s">
        <v>937</v>
      </c>
      <c r="P8" s="1033"/>
    </row>
    <row r="9" spans="1:16" ht="210">
      <c r="A9" s="1034" t="s">
        <v>925</v>
      </c>
      <c r="B9" s="1029" t="s">
        <v>937</v>
      </c>
      <c r="C9" s="1029" t="s">
        <v>937</v>
      </c>
      <c r="D9" s="1029" t="s">
        <v>937</v>
      </c>
      <c r="E9" s="1029" t="s">
        <v>937</v>
      </c>
      <c r="F9" s="1029" t="s">
        <v>937</v>
      </c>
      <c r="G9" s="1029" t="s">
        <v>937</v>
      </c>
      <c r="H9" s="1029" t="s">
        <v>937</v>
      </c>
      <c r="I9" s="1029" t="s">
        <v>937</v>
      </c>
      <c r="J9" s="1029" t="s">
        <v>937</v>
      </c>
      <c r="K9" s="1030" t="s">
        <v>876</v>
      </c>
      <c r="L9" s="1029" t="s">
        <v>937</v>
      </c>
      <c r="M9" s="1029" t="s">
        <v>937</v>
      </c>
      <c r="N9" s="1029" t="s">
        <v>937</v>
      </c>
      <c r="O9" s="1029" t="s">
        <v>937</v>
      </c>
      <c r="P9" s="1033"/>
    </row>
    <row r="10" spans="1:16">
      <c r="A10" s="1032" t="s">
        <v>115</v>
      </c>
      <c r="B10" s="1035"/>
      <c r="C10" s="1035"/>
      <c r="D10" s="1035"/>
      <c r="E10" s="1035"/>
      <c r="F10" s="1035"/>
      <c r="G10" s="1035"/>
      <c r="H10" s="1035"/>
      <c r="I10" s="1035"/>
      <c r="J10" s="1035"/>
      <c r="K10" s="1035"/>
      <c r="L10" s="1035"/>
      <c r="M10" s="1035"/>
      <c r="N10" s="1035"/>
      <c r="O10" s="1035"/>
      <c r="P10" s="1035"/>
    </row>
    <row r="11" spans="1:16">
      <c r="A11" s="1023"/>
      <c r="B11" s="1023"/>
      <c r="C11" s="1023"/>
      <c r="D11" s="1023"/>
      <c r="E11" s="1023"/>
      <c r="F11" s="1023"/>
      <c r="G11" s="1023"/>
      <c r="H11" s="1023"/>
      <c r="I11" s="1023"/>
      <c r="J11" s="1023"/>
      <c r="K11" s="1023"/>
      <c r="L11" s="1023"/>
      <c r="M11" s="1023"/>
      <c r="N11" s="1023"/>
      <c r="O11" s="1023"/>
      <c r="P11" s="1023"/>
    </row>
    <row r="12" spans="1:16" ht="150">
      <c r="A12" s="470" t="s">
        <v>926</v>
      </c>
      <c r="B12" s="774" t="s">
        <v>927</v>
      </c>
      <c r="C12" s="1036" t="s">
        <v>938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ht="210">
      <c r="A17" s="1024" t="s">
        <v>251</v>
      </c>
      <c r="B17" s="1029" t="s">
        <v>937</v>
      </c>
      <c r="C17" s="1029" t="s">
        <v>937</v>
      </c>
      <c r="D17" s="1029" t="s">
        <v>937</v>
      </c>
      <c r="E17" s="1029" t="s">
        <v>937</v>
      </c>
      <c r="F17" s="1029" t="s">
        <v>937</v>
      </c>
      <c r="G17" s="1029" t="s">
        <v>937</v>
      </c>
      <c r="H17" s="1029" t="s">
        <v>937</v>
      </c>
      <c r="I17" s="1029" t="s">
        <v>937</v>
      </c>
      <c r="J17" s="1029" t="s">
        <v>937</v>
      </c>
      <c r="K17" s="1030" t="s">
        <v>876</v>
      </c>
      <c r="L17" s="1030" t="s">
        <v>876</v>
      </c>
      <c r="M17" s="1030" t="s">
        <v>876</v>
      </c>
      <c r="N17" s="1029" t="s">
        <v>937</v>
      </c>
      <c r="O17" s="1029" t="s">
        <v>937</v>
      </c>
      <c r="P17" s="1037"/>
    </row>
    <row r="18" spans="1:16" ht="45">
      <c r="A18" s="1026" t="s">
        <v>257</v>
      </c>
      <c r="B18" s="1031" t="s">
        <v>899</v>
      </c>
      <c r="C18" s="1031" t="s">
        <v>899</v>
      </c>
      <c r="D18" s="1031" t="s">
        <v>899</v>
      </c>
      <c r="E18" s="1031" t="s">
        <v>899</v>
      </c>
      <c r="F18" s="1031" t="s">
        <v>899</v>
      </c>
      <c r="G18" s="1031" t="s">
        <v>899</v>
      </c>
      <c r="H18" s="1031" t="s">
        <v>899</v>
      </c>
      <c r="I18" s="1031" t="s">
        <v>899</v>
      </c>
      <c r="J18" s="1031" t="s">
        <v>899</v>
      </c>
      <c r="K18" s="1031" t="s">
        <v>899</v>
      </c>
      <c r="L18" s="1031" t="s">
        <v>899</v>
      </c>
      <c r="M18" s="1031" t="s">
        <v>899</v>
      </c>
      <c r="N18" s="1031" t="s">
        <v>899</v>
      </c>
      <c r="O18" s="1031" t="s">
        <v>899</v>
      </c>
      <c r="P18" s="1031" t="s">
        <v>899</v>
      </c>
    </row>
    <row r="19" spans="1:16" ht="45">
      <c r="A19" s="1021" t="s">
        <v>932</v>
      </c>
      <c r="B19" s="1031" t="s">
        <v>899</v>
      </c>
      <c r="C19" s="1031" t="s">
        <v>899</v>
      </c>
      <c r="D19" s="1031" t="s">
        <v>899</v>
      </c>
      <c r="E19" s="1031" t="s">
        <v>899</v>
      </c>
      <c r="F19" s="1031" t="s">
        <v>899</v>
      </c>
      <c r="G19" s="1031" t="s">
        <v>899</v>
      </c>
      <c r="H19" s="1031" t="s">
        <v>899</v>
      </c>
      <c r="I19" s="1031" t="s">
        <v>899</v>
      </c>
      <c r="J19" s="1031" t="s">
        <v>899</v>
      </c>
      <c r="K19" s="1031" t="s">
        <v>899</v>
      </c>
      <c r="L19" s="1031" t="s">
        <v>899</v>
      </c>
      <c r="M19" s="1031" t="s">
        <v>899</v>
      </c>
      <c r="N19" s="1031" t="s">
        <v>899</v>
      </c>
      <c r="O19" s="1031" t="s">
        <v>899</v>
      </c>
      <c r="P19" s="1031" t="s">
        <v>899</v>
      </c>
    </row>
    <row r="20" spans="1:16">
      <c r="A20" s="1027" t="s">
        <v>115</v>
      </c>
      <c r="B20" s="1022"/>
      <c r="C20" s="1022"/>
      <c r="D20" s="1022"/>
      <c r="E20" s="1022"/>
      <c r="F20" s="1022"/>
      <c r="G20" s="1022"/>
      <c r="H20" s="1022"/>
      <c r="I20" s="1022"/>
      <c r="J20" s="1022"/>
      <c r="K20" s="1022"/>
      <c r="L20" s="1022"/>
      <c r="M20" s="1022"/>
      <c r="N20" s="1022"/>
      <c r="O20" s="1022"/>
      <c r="P20" s="1022"/>
    </row>
    <row r="22" spans="1:16" ht="90">
      <c r="A22" s="470" t="s">
        <v>933</v>
      </c>
      <c r="B22" s="774" t="s">
        <v>927</v>
      </c>
      <c r="C22" s="1036" t="s">
        <v>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40" t="s">
        <v>750</v>
      </c>
    </row>
    <row r="7" spans="1:3">
      <c r="A7" s="125"/>
      <c r="B7" s="129"/>
      <c r="C7" s="122"/>
    </row>
    <row r="8" spans="1:3">
      <c r="A8" s="113" t="s">
        <v>591</v>
      </c>
      <c r="B8" s="75" t="s">
        <v>590</v>
      </c>
      <c r="C8" s="440" t="s">
        <v>388</v>
      </c>
    </row>
    <row r="9" spans="1:3">
      <c r="A9" s="125"/>
      <c r="B9" s="129"/>
      <c r="C9" s="122"/>
    </row>
    <row r="10" spans="1:3">
      <c r="A10" s="113" t="s">
        <v>327</v>
      </c>
      <c r="B10" s="75" t="s">
        <v>386</v>
      </c>
      <c r="C10" s="114" t="s">
        <v>388</v>
      </c>
    </row>
    <row r="11" spans="1:3">
      <c r="A11" s="125"/>
      <c r="B11" s="129"/>
      <c r="C11" s="122"/>
    </row>
    <row r="12" spans="1:3" ht="30">
      <c r="A12" s="113" t="s">
        <v>414</v>
      </c>
      <c r="B12" s="75" t="s">
        <v>532</v>
      </c>
      <c r="C12" s="313" t="s">
        <v>625</v>
      </c>
    </row>
    <row r="13" spans="1:3">
      <c r="A13" s="141"/>
      <c r="B13" s="124"/>
      <c r="C13" s="301"/>
    </row>
    <row r="14" spans="1:3" s="11" customFormat="1">
      <c r="A14" s="113" t="s">
        <v>608</v>
      </c>
      <c r="B14" s="130" t="s">
        <v>609</v>
      </c>
      <c r="C14" s="131" t="s">
        <v>610</v>
      </c>
    </row>
    <row r="15" spans="1:3" s="11" customFormat="1">
      <c r="A15" s="141"/>
      <c r="B15" s="159"/>
      <c r="C15" s="160"/>
    </row>
    <row r="16" spans="1:3" ht="21">
      <c r="A16" s="126" t="s">
        <v>477</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620</v>
      </c>
      <c r="B4" s="472"/>
      <c r="C4" s="472"/>
      <c r="D4" s="472"/>
      <c r="E4" s="472"/>
      <c r="F4" s="472"/>
      <c r="G4" s="504"/>
      <c r="H4" s="504"/>
      <c r="I4" s="472"/>
      <c r="J4" s="472"/>
      <c r="K4" s="472"/>
      <c r="L4" s="472"/>
      <c r="M4" s="472"/>
      <c r="N4" s="472"/>
      <c r="O4" s="472"/>
      <c r="P4" s="472"/>
    </row>
    <row r="5" spans="1:16" outlineLevel="1">
      <c r="A5" s="679" t="s">
        <v>621</v>
      </c>
      <c r="B5" s="472"/>
      <c r="C5" s="472"/>
      <c r="D5" s="472"/>
      <c r="E5" s="472"/>
      <c r="F5" s="472"/>
      <c r="G5" s="504"/>
      <c r="H5" s="504"/>
      <c r="I5" s="472"/>
      <c r="J5" s="472"/>
      <c r="K5" s="472"/>
      <c r="L5" s="472"/>
      <c r="M5" s="472"/>
      <c r="N5" s="472"/>
      <c r="O5" s="472"/>
      <c r="P5" s="472"/>
    </row>
    <row r="6" spans="1:16" outlineLevel="1">
      <c r="A6" s="679" t="s">
        <v>622</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623</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624</v>
      </c>
      <c r="B10" s="472"/>
      <c r="C10" s="472"/>
      <c r="D10" s="472"/>
      <c r="E10" s="472"/>
      <c r="F10" s="472"/>
      <c r="G10" s="504"/>
      <c r="H10" s="504"/>
      <c r="I10" s="472"/>
      <c r="J10" s="472"/>
      <c r="K10" s="472"/>
      <c r="L10" s="472"/>
      <c r="M10" s="472"/>
      <c r="N10" s="472"/>
      <c r="O10" s="883" t="s">
        <v>643</v>
      </c>
      <c r="P10" s="883" t="s">
        <v>642</v>
      </c>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586</v>
      </c>
      <c r="B13" s="457"/>
      <c r="C13" s="476"/>
      <c r="D13" s="476"/>
      <c r="E13" s="476"/>
      <c r="F13" s="476"/>
      <c r="G13" s="476"/>
      <c r="H13" s="476"/>
      <c r="I13" s="476"/>
      <c r="J13" s="476"/>
      <c r="K13" s="476"/>
      <c r="L13" s="476"/>
      <c r="M13" s="476"/>
      <c r="N13" s="476"/>
      <c r="O13" s="775"/>
      <c r="P13" s="775"/>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 t="shared" si="0"/>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0.20375304547488254</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O15*O17</f>
        <v>0</v>
      </c>
      <c r="P19" s="483">
        <f t="shared" si="1"/>
        <v>0</v>
      </c>
    </row>
    <row r="22" spans="1:16" s="457" customFormat="1" ht="15" customHeight="1" outlineLevel="1">
      <c r="A22" s="484" t="s">
        <v>490</v>
      </c>
      <c r="B22" s="485"/>
      <c r="C22" s="486"/>
      <c r="D22" s="487"/>
      <c r="E22" s="488"/>
    </row>
    <row r="23" spans="1:16" s="48" customFormat="1" ht="15" customHeight="1" outlineLevel="1">
      <c r="A23" s="489"/>
      <c r="B23" s="490"/>
      <c r="C23" s="491" t="s">
        <v>378</v>
      </c>
      <c r="D23" s="491" t="s">
        <v>181</v>
      </c>
      <c r="E23" s="492"/>
    </row>
    <row r="24" spans="1:16" s="457" customFormat="1" ht="15" customHeight="1" outlineLevel="1">
      <c r="A24" s="493" t="s">
        <v>265</v>
      </c>
      <c r="B24" s="47">
        <f>EigenZB</f>
        <v>0</v>
      </c>
      <c r="C24" s="494"/>
      <c r="D24" s="882" t="s">
        <v>410</v>
      </c>
      <c r="E24" s="458"/>
    </row>
    <row r="25" spans="1:16" s="457" customFormat="1" outlineLevel="1">
      <c r="A25" s="493" t="s">
        <v>457</v>
      </c>
      <c r="B25" s="48">
        <v>4.2</v>
      </c>
      <c r="C25" s="494"/>
      <c r="D25" s="495" t="s">
        <v>518</v>
      </c>
      <c r="E25" s="471"/>
    </row>
    <row r="26" spans="1:16" s="457" customFormat="1" outlineLevel="1">
      <c r="A26" s="780" t="s">
        <v>458</v>
      </c>
      <c r="B26" s="781">
        <f>1.34/3.6</f>
        <v>0.37222222222222223</v>
      </c>
      <c r="C26" s="494" t="s">
        <v>217</v>
      </c>
      <c r="D26" s="495" t="s">
        <v>518</v>
      </c>
      <c r="E26" s="471"/>
    </row>
    <row r="27" spans="1:16" s="457" customFormat="1" outlineLevel="1">
      <c r="A27" s="496" t="s">
        <v>632</v>
      </c>
      <c r="B27" s="783">
        <f>B24*B25*B26</f>
        <v>0</v>
      </c>
      <c r="C27" s="497" t="s">
        <v>633</v>
      </c>
      <c r="D27" s="498"/>
      <c r="E27" s="499"/>
    </row>
    <row r="28" spans="1:16" s="457" customFormat="1" outlineLevel="1">
      <c r="A28" s="48"/>
      <c r="B28" s="48"/>
      <c r="C28" s="500"/>
      <c r="D28" s="494"/>
    </row>
    <row r="29" spans="1:16" s="457" customFormat="1" outlineLevel="1">
      <c r="A29" s="501" t="s">
        <v>491</v>
      </c>
      <c r="B29" s="485"/>
      <c r="C29" s="486"/>
      <c r="D29" s="487"/>
      <c r="E29" s="488"/>
    </row>
    <row r="30" spans="1:16" s="48" customFormat="1" outlineLevel="1">
      <c r="A30" s="502"/>
      <c r="B30" s="490"/>
      <c r="C30" s="491" t="s">
        <v>378</v>
      </c>
      <c r="D30" s="491" t="s">
        <v>181</v>
      </c>
      <c r="E30" s="492"/>
    </row>
    <row r="31" spans="1:16" s="457" customFormat="1" outlineLevel="1">
      <c r="A31" s="493" t="s">
        <v>456</v>
      </c>
      <c r="B31" s="47">
        <f>EigenWP</f>
        <v>0</v>
      </c>
      <c r="C31" s="494"/>
      <c r="D31" s="882" t="s">
        <v>410</v>
      </c>
      <c r="E31" s="458"/>
    </row>
    <row r="32" spans="1:16" s="457" customFormat="1" outlineLevel="1">
      <c r="A32" s="493" t="s">
        <v>454</v>
      </c>
      <c r="B32" s="48">
        <v>13</v>
      </c>
      <c r="C32" s="500" t="s">
        <v>262</v>
      </c>
      <c r="D32" s="495" t="s">
        <v>518</v>
      </c>
      <c r="E32" s="458"/>
    </row>
    <row r="33" spans="1:5" s="457" customFormat="1" outlineLevel="1">
      <c r="A33" s="493" t="s">
        <v>455</v>
      </c>
      <c r="B33" s="48">
        <v>2000</v>
      </c>
      <c r="C33" s="500" t="s">
        <v>264</v>
      </c>
      <c r="D33" s="495" t="s">
        <v>518</v>
      </c>
      <c r="E33" s="458"/>
    </row>
    <row r="34" spans="1:5" s="457" customFormat="1" outlineLevel="1">
      <c r="A34" s="780" t="s">
        <v>383</v>
      </c>
      <c r="B34" s="48">
        <v>3.75</v>
      </c>
      <c r="C34" s="500"/>
      <c r="D34" s="495" t="s">
        <v>518</v>
      </c>
      <c r="E34" s="458"/>
    </row>
    <row r="35" spans="1:5" s="457" customFormat="1" outlineLevel="1">
      <c r="A35" s="496" t="s">
        <v>632</v>
      </c>
      <c r="B35" s="782">
        <f>B31*B32*B33/1000-B31*B32*B33/1000/B34</f>
        <v>0</v>
      </c>
      <c r="C35" s="503" t="s">
        <v>633</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2020-06-20T16:38:58Z</dcterms:modified>
</cp:coreProperties>
</file>