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11" i="16"/>
  <c r="C18" i="16"/>
  <c r="C24" i="14"/>
  <c r="C26" i="14" s="1"/>
  <c r="B7" i="48"/>
  <c r="O4" i="48"/>
  <c r="O22" i="48" s="1"/>
  <c r="P11" i="14"/>
  <c r="D4" i="48"/>
  <c r="D22" i="48" s="1"/>
  <c r="E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<sst xmlns="http://schemas.openxmlformats.org/spreadsheetml/2006/main" count="2513" uniqueCount="971">
  <si>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</si>
  <si>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</si>
  <si>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</si>
  <si>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</si>
  <si>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</si>
  <si>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</si>
  <si>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</si>
  <si>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</si>
  <si>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</si>
  <si>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</si>
  <si>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</si>
  <si>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</si>
  <si>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</si>
  <si>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</si>
  <si>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</si>
  <si>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</si>
  <si>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</si>
  <si>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</si>
  <si>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</si>
  <si>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</si>
  <si>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</si>
  <si>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</si>
  <si>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</si>
  <si>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</si>
  <si>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</si>
  <si>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</si>
  <si>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</si>
  <si>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</si>
  <si>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</si>
  <si>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</si>
  <si>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</si>
  <si>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</si>
  <si>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</si>
  <si>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</si>
  <si>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</si>
  <si>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</si>
  <si>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</si>
  <si>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</si>
  <si>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</si>
  <si>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</si>
  <si>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</si>
  <si>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</si>
  <si>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</si>
  <si>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</si>
  <si>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</si>
  <si>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</si>
  <si>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</si>
  <si>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</si>
  <si>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</si>
  <si>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</si>
  <si>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</si>
  <si>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</si>
  <si>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</si>
  <si>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</si>
  <si>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</si>
  <si>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</si>
  <si>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</si>
  <si>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</si>
  <si>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</si>
  <si>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</si>
  <si>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</si>
  <si>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</si>
  <si>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</si>
  <si>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</si>
  <si>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</si>
  <si>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</si>
  <si>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</si>
  <si>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</si>
  <si>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</si>
  <si>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</si>
  <si>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</si>
  <si>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</si>
  <si>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</si>
  <si>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</si>
  <si>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</si>
  <si>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</si>
  <si>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</si>
  <si>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</si>
  <si>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</si>
  <si>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</si>
  <si>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</si>
  <si>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</si>
  <si>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</si>
  <si>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</si>
  <si>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</si>
  <si>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</si>
  <si>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</si>
  <si>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</si>
  <si>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</si>
  <si>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</si>
  <si>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</si>
  <si>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</si>
  <si>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</si>
  <si>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</si>
  <si>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</si>
  <si>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</si>
  <si>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</si>
  <si>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</si>
  <si>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</si>
  <si>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</si>
  <si>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</si>
  <si>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</si>
  <si>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</si>
  <si>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</si>
  <si>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</si>
  <si>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</si>
  <si>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</si>
  <si>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</si>
  <si>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</si>
  <si>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</si>
  <si>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</si>
  <si>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</si>
  <si>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</si>
  <si>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</si>
  <si>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</si>
  <si>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</si>
  <si>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</si>
  <si>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</si>
  <si>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</si>
  <si>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</si>
  <si>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</si>
  <si>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</si>
  <si>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</si>
  <si>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</si>
  <si>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</si>
  <si>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</si>
  <si>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</si>
  <si>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</si>
  <si>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</si>
  <si>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</si>
  <si>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</si>
  <si>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</si>
  <si>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</si>
  <si>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</si>
  <si>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</si>
  <si>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</si>
  <si>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</si>
  <si>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</si>
  <si>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</si>
  <si>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</si>
  <si>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</si>
  <si>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</si>
  <si>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</si>
  <si>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</si>
  <si>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</si>
  <si>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</si>
  <si>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</si>
  <si>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</si>
  <si>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</si>
  <si>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</si>
  <si>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</si>
  <si>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</si>
  <si>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</si>
  <si>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</si>
  <si>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</si>
  <si>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</si>
  <si>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</si>
  <si>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</si>
  <si>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</si>
  <si>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</si>
  <si>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</si>
  <si>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</si>
  <si>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</si>
  <si>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</si>
  <si>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</si>
  <si>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</si>
  <si>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</si>
  <si>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</si>
  <si>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</si>
  <si>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</si>
  <si>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</si>
  <si>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</si>
  <si>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</si>
  <si>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</si>
  <si>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</si>
  <si>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</si>
  <si>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</si>
  <si>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</si>
  <si>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</si>
  <si>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</si>
  <si>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</si>
  <si>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</si>
  <si>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</si>
  <si>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</si>
  <si>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</si>
  <si>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</si>
  <si>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</si>
  <si>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</si>
  <si>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</si>
  <si>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</si>
  <si>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</si>
  <si>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</si>
  <si>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</si>
  <si>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</si>
  <si>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</si>
  <si>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</si>
  <si>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</si>
  <si>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</si>
  <si>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</si>
  <si>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</si>
  <si>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</si>
  <si>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</si>
  <si>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</si>
  <si>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</si>
  <si>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</si>
  <si>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</si>
  <si>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</si>
  <si>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</si>
  <si>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</si>
  <si>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</si>
  <si>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</si>
  <si>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</si>
  <si>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</si>
  <si>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</si>
  <si>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</si>
  <si>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</si>
  <si>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</si>
  <si>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</si>
  <si>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</si>
  <si>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</si>
  <si>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</si>
  <si>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</si>
  <si>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</si>
  <si>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</si>
  <si>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</si>
  <si>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</si>
  <si>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</si>
  <si>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</si>
  <si>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</si>
  <si>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</si>
  <si>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</si>
  <si>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</si>
  <si>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</si>
  <si>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</si>
  <si>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</si>
  <si>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</si>
  <si>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</si>
  <si>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</si>
  <si>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</si>
  <si>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</si>
  <si>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</si>
  <si>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</si>
  <si>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</si>
  <si>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</si>
  <si>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</si>
  <si>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</si>
  <si>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</si>
  <si>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</si>
  <si>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</si>
  <si>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</si>
  <si>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</si>
  <si>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</si>
  <si>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</si>
  <si>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</si>
  <si>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</si>
  <si>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</si>
  <si>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</si>
  <si>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</si>
  <si>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</si>
  <si>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</si>
  <si>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</si>
  <si>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</si>
  <si>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</si>
  <si>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</si>
  <si>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</si>
  <si>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</si>
  <si>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</si>
  <si>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</si>
  <si>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</si>
  <si>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</si>
  <si>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</si>
  <si>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</si>
  <si>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</si>
  <si>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</si>
  <si>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</si>
  <si>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</si>
  <si>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</si>
  <si>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</si>
  <si>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</si>
  <si>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</si>
  <si>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</si>
  <si>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</si>
  <si>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</si>
  <si>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</si>
  <si>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</si>
  <si>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</si>
  <si>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</si>
  <si>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</si>
  <si>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</si>
  <si>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</si>
  <si>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</si>
  <si>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</si>
  <si>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</si>
  <si>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</si>
  <si>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</si>
  <si>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</si>
  <si>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</si>
  <si>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</si>
  <si>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</si>
  <si>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</si>
  <si>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</si>
  <si>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</si>
  <si>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</si>
  <si>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</si>
  <si>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</si>
  <si>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</si>
  <si>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</si>
  <si>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</si>
  <si>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</si>
  <si>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</si>
  <si>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</si>
  <si>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</si>
  <si>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</si>
  <si>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</si>
  <si>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</si>
  <si>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</si>
  <si>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</si>
  <si>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</si>
  <si>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</si>
  <si>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</si>
  <si>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</si>
  <si>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</si>
  <si>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</si>
  <si>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</si>
  <si>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</si>
  <si>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</si>
  <si>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</si>
  <si>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</si>
  <si>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</si>
  <si>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</si>
  <si>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</si>
  <si>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</si>
  <si>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</si>
  <si>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</si>
  <si>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</si>
  <si>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</si>
  <si>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</si>
  <si>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</si>
  <si>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</si>
  <si>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</si>
  <si>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</si>
  <si>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</si>
  <si>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</si>
  <si>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</si>
  <si>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</si>
  <si>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</si>
  <si>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</si>
  <si>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</si>
  <si>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</si>
  <si>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</si>
  <si>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</si>
  <si>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</si>
  <si>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</si>
  <si>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</si>
  <si>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</si>
  <si>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</si>
  <si>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</si>
  <si>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</si>
  <si>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</si>
  <si>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</si>
  <si>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</si>
  <si>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</si>
  <si>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</si>
  <si>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</si>
  <si>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</si>
  <si>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</si>
  <si>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</si>
  <si>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</si>
  <si>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</si>
  <si>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</si>
  <si>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</si>
  <si>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</si>
  <si>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</si>
  <si>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</si>
  <si>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</si>
  <si>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</si>
  <si>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</si>
  <si>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</si>
  <si>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</si>
  <si>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</si>
  <si>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</si>
  <si>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</si>
  <si>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</si>
  <si>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</si>
  <si>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</si>
  <si>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</si>
  <si>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</si>
  <si>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</si>
  <si>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</si>
  <si>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</si>
  <si>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</si>
  <si>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</si>
  <si>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</si>
  <si>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</si>
  <si>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</si>
  <si>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</si>
  <si>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</si>
  <si>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</si>
  <si>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</si>
  <si>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</si>
  <si>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</si>
  <si>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</si>
  <si>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</si>
  <si>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</si>
  <si>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</si>
  <si>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</si>
  <si>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</si>
  <si>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</si>
  <si>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</si>
  <si>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</si>
  <si>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</si>
  <si>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</si>
  <si>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</si>
  <si>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</si>
  <si>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</si>
  <si>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</si>
  <si>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</si>
  <si>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</si>
  <si>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</si>
  <si>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</si>
  <si>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</si>
  <si>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</si>
  <si>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</si>
  <si>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</si>
  <si>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</si>
  <si>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</si>
  <si>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</si>
  <si>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</si>
  <si>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</si>
  <si>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</si>
  <si>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</si>
  <si>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</si>
  <si>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</si>
  <si>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</si>
  <si>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</si>
  <si>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</si>
  <si>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</si>
  <si>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</si>
  <si>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</si>
  <si>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</si>
  <si>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</si>
  <si>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</si>
  <si>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</si>
  <si>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</si>
  <si>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</si>
  <si>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</si>
  <si>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</si>
  <si>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</si>
  <si>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</si>
  <si>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</si>
  <si>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</si>
  <si>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</si>
  <si>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</si>
  <si>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</si>
  <si>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</si>
  <si>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</si>
  <si>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</si>
  <si>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</si>
  <si>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</si>
  <si>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</si>
  <si>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</si>
  <si>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</si>
  <si>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</si>
  <si>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</si>
  <si>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</si>
  <si>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</si>
  <si>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</si>
  <si>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</si>
  <si>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</si>
  <si>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</si>
  <si>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</si>
  <si>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</si>
  <si>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</si>
  <si>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</si>
  <si>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</si>
  <si>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</si>
  <si>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</si>
  <si>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</si>
  <si>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</si>
  <si>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</si>
  <si>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</si>
  <si>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</si>
  <si>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</si>
  <si>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</si>
  <si>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</si>
  <si>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</si>
  <si>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</si>
  <si>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</si>
  <si>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</si>
  <si>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</si>
  <si>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</si>
  <si>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</si>
  <si>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</si>
  <si>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</si>
  <si>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</si>
  <si>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</si>
  <si>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</si>
  <si>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</si>
  <si>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</si>
  <si>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</si>
  <si>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</si>
  <si>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</si>
  <si>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</si>
  <si>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</si>
  <si>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</si>
  <si>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</si>
  <si>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</si>
  <si>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</si>
  <si>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</si>
  <si>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</si>
  <si>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</si>
  <si>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</si>
  <si>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</si>
  <si>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</si>
  <si>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</si>
  <si>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</si>
  <si>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</si>
  <si>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</si>
  <si>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</si>
  <si>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</si>
  <si>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</si>
  <si>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</si>
  <si>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</si>
  <si>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</si>
  <si>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</si>
  <si>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</si>
  <si>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</si>
  <si>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</si>
  <si>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</si>
  <si>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</si>
  <si>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</si>
  <si>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</si>
  <si>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</si>
  <si>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</si>
  <si>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</si>
  <si>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</si>
  <si>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</si>
  <si>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</si>
  <si>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</si>
  <si>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</si>
  <si>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</si>
  <si>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</si>
  <si>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</si>
  <si>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</si>
  <si>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</si>
  <si>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</si>
  <si>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</si>
  <si>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</si>
  <si>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</si>
  <si>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</si>
  <si>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</si>
  <si>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</si>
  <si>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</si>
  <si>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</si>
  <si>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</si>
  <si>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</si>
  <si>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</si>
  <si>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</si>
  <si>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</si>
  <si>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</si>
  <si>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</si>
  <si>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</si>
  <si>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</si>
  <si>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</si>
  <si>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</si>
  <si>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</si>
  <si>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</si>
  <si>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</si>
  <si>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</si>
  <si>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</si>
  <si>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</si>
  <si>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</si>
  <si>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</si>
  <si>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</si>
  <si>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</si>
  <si>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</si>
  <si>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</si>
  <si>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</si>
  <si>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</si>
  <si>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</si>
  <si>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</si>
  <si>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</si>
  <si>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</si>
  <si>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</si>
  <si>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</si>
  <si>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</si>
  <si>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</si>
  <si>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</si>
  <si>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</si>
  <si>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</si>
  <si>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</si>
  <si>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</si>
  <si>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</si>
  <si>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</si>
  <si>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</si>
  <si>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</si>
  <si>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</si>
  <si>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</si>
  <si>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</si>
  <si>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</si>
  <si>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</si>
  <si>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</si>
  <si>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</si>
  <si>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</si>
  <si>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</si>
  <si>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</si>
  <si>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</si>
  <si>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</si>
  <si>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</si>
  <si>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</si>
  <si>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</si>
  <si>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</si>
  <si>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</si>
  <si>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</si>
  <si>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</si>
  <si>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</si>
  <si>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</si>
  <si>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</si>
  <si>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</si>
  <si>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</si>
  <si>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</si>
  <si>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</si>
  <si>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</si>
  <si>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</si>
  <si>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</si>
  <si>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</si>
  <si>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</si>
  <si>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</si>
  <si>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</si>
  <si>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</si>
  <si>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</si>
  <si>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</si>
  <si>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</si>
  <si>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</si>
  <si>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</si>
  <si>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</si>
  <si>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</si>
  <si>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</si>
  <si>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</si>
  <si>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</si>
  <si>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</si>
  <si>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</si>
  <si>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</si>
  <si>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</si>
  <si>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</si>
  <si>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</si>
  <si>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</si>
  <si>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</si>
  <si>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</si>
  <si>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</si>
  <si>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</si>
  <si>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</si>
  <si>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</si>
  <si>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</si>
  <si>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</si>
  <si>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</si>
  <si>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</si>
  <si>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</si>
  <si>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</si>
  <si>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</si>
  <si>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</si>
  <si>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</si>
  <si>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</si>
  <si>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</si>
  <si>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</si>
  <si>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</si>
  <si>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</si>
  <si>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</si>
  <si>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</si>
  <si>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</si>
  <si>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</si>
  <si>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</si>
  <si>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</si>
  <si>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</si>
  <si>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</si>
  <si>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</si>
  <si>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</si>
  <si>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</si>
  <si>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</si>
  <si>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</si>
  <si>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</si>
  <si>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</si>
  <si>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</si>
  <si>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</si>
  <si>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</si>
  <si>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</si>
  <si>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</si>
  <si>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</si>
  <si>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</si>
  <si>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</si>
  <si>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</si>
  <si>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</si>
  <si>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</si>
  <si>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</si>
  <si>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</si>
  <si>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</si>
  <si>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</si>
  <si>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</si>
  <si>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</si>
  <si>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</si>
  <si>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</si>
  <si>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</si>
  <si>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</si>
  <si>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</si>
  <si>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</si>
  <si>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</si>
  <si>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</si>
  <si>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</si>
  <si>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</si>
  <si>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</si>
  <si>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</si>
  <si>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</si>
  <si>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</si>
  <si>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</si>
  <si>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</si>
  <si>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</si>
  <si>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</si>
  <si>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</si>
  <si>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</si>
  <si>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</si>
  <si>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</si>
  <si>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</si>
  <si>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</si>
  <si>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</si>
  <si>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</si>
  <si>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</si>
  <si>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</si>
  <si>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</si>
  <si>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</si>
  <si>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</si>
  <si>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</si>
  <si>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</si>
  <si>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</si>
  <si>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</si>
  <si>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</si>
  <si>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</si>
  <si>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</si>
  <si>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</si>
  <si>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</si>
  <si>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</si>
  <si>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</si>
  <si>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</si>
  <si>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</si>
  <si>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</si>
  <si>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</si>
  <si>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</si>
  <si>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</si>
  <si>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</si>
  <si>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</si>
  <si>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</si>
  <si>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</si>
  <si>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</si>
  <si>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</si>
  <si>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</si>
  <si>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</si>
  <si>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</si>
  <si>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</si>
  <si>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</si>
  <si>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</si>
  <si>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</si>
  <si>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</si>
  <si>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</si>
  <si>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</si>
  <si>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</si>
  <si>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</si>
  <si>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</si>
  <si>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</si>
  <si>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</si>
  <si>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</si>
  <si>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</si>
  <si>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</si>
  <si>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</si>
  <si>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</si>
  <si>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</si>
  <si>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</si>
  <si>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</si>
  <si>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</si>
  <si>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</si>
  <si>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</si>
  <si>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</si>
  <si>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</si>
  <si>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</si>
  <si>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</si>
  <si>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</si>
  <si>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</si>
  <si>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</si>
  <si>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</si>
  <si>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</si>
  <si>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</si>
  <si>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</si>
  <si>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</si>
  <si>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</si>
  <si>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</si>
  <si>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</si>
  <si>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</si>
  <si>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</si>
  <si>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</si>
  <si>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</si>
  <si>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</si>
  <si>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</si>
  <si>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</si>
  <si>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</si>
  <si>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</si>
  <si>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</si>
  <si>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</si>
  <si>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</si>
  <si>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</si>
  <si>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</si>
  <si>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</si>
  <si>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</si>
  <si>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</si>
  <si>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</si>
  <si>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</si>
  <si>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</si>
  <si>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</si>
  <si>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</si>
  <si>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</si>
  <si>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</si>
  <si>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</si>
  <si>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</si>
  <si>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</si>
  <si>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</si>
  <si>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</si>
  <si>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</si>
  <si>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</si>
  <si>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</si>
  <si>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</si>
  <si>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</si>
  <si>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</si>
  <si>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</si>
  <si>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</si>
  <si>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</si>
  <si>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</si>
  <si>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</si>
  <si>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</si>
  <si>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</si>
  <si>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</si>
  <si>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</si>
  <si>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</si>
  <si>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</si>
  <si>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</si>
  <si>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</si>
  <si>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</si>
  <si>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</si>
  <si>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</si>
  <si>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</si>
  <si>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</si>
  <si>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</si>
  <si>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</si>
  <si>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</si>
  <si>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</si>
  <si>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</si>
  <si>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</si>
  <si>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</si>
  <si>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</si>
  <si>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</si>
  <si>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</si>
  <si>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</si>
  <si>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</si>
  <si>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</si>
  <si>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</si>
  <si>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</si>
  <si>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</si>
  <si>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</si>
  <si>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</si>
  <si>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</si>
  <si>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</si>
  <si>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</si>
  <si>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</si>
  <si>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</si>
  <si>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</si>
  <si>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</si>
  <si>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</si>
  <si>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</si>
  <si>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</si>
  <si>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</si>
  <si>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</si>
  <si>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</si>
  <si>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</si>
  <si>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</si>
  <si>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</si>
  <si>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</si>
  <si>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</si>
  <si>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</si>
  <si>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</si>
  <si>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</si>
  <si>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</si>
  <si>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</si>
  <si>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</si>
  <si>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</si>
  <si>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</si>
  <si>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</si>
  <si>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</si>
  <si>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</si>
  <si>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</si>
  <si>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</si>
  <si>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</si>
  <si>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</si>
  <si>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</si>
  <si>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</si>
  <si>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</si>
  <si>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</si>
  <si>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</si>
  <si>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</si>
  <si>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</si>
  <si>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</si>
  <si>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</si>
  <si>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</si>
  <si>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</si>
  <si>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</si>
  <si>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</si>
  <si>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</si>
  <si>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</si>
  <si>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</si>
  <si>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</si>
  <si>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</si>
  <si>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</si>
  <si>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</si>
  <si>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</si>
  <si>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</si>
  <si>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</si>
  <si>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</si>
  <si>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</si>
  <si>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</si>
  <si>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</si>
  <si>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</si>
  <si>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</si>
  <si>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</si>
  <si>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</si>
  <si>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</si>
  <si>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</si>
  <si>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</si>
  <si>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</si>
  <si>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</si>
  <si>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</si>
  <si>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</si>
  <si>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</si>
  <si>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</si>
  <si>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</si>
  <si>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</si>
  <si>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</si>
  <si>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</si>
  <si>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</si>
  <si>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</si>
  <si>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</si>
  <si>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</si>
  <si>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</si>
  <si>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</si>
  <si>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</si>
  <si>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</si>
  <si>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</si>
  <si>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</si>
  <si>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</si>
  <si>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</si>
  <si>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</si>
  <si>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</si>
  <si>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</si>
  <si>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</si>
  <si>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</si>
  <si>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</si>
  <si>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</si>
  <si>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</si>
  <si>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</si>
  <si>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</si>
  <si>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23096</t>
  </si>
  <si>
    <t>ZEMST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</si>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</sst>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23096</v>
      </c>
      <c r="B6" s="394"/>
      <c r="C6" s="395"/>
    </row>
    <row r="7" spans="1:7" s="392" customFormat="1" ht="15.75" customHeight="1">
      <c r="A7" s="396" t="str">
        <f>txtMunicipality</f>
        <v>ZEMST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0.20792152965343635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0.20792152965343635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8615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1745</v>
      </c>
      <c r="C14" s="331"/>
      <c r="D14" s="331"/>
      <c r="E14" s="331"/>
      <c r="F14" s="331"/>
    </row>
    <row r="15" spans="1:6">
      <c r="A15" s="1290" t="s">
        <v>183</v>
      </c>
      <c r="B15" s="1291">
        <v>6</v>
      </c>
      <c r="C15" s="331"/>
      <c r="D15" s="331"/>
      <c r="E15" s="331"/>
      <c r="F15" s="331"/>
    </row>
    <row r="16" spans="1:6">
      <c r="A16" s="1290" t="s">
        <v>6</v>
      </c>
      <c r="B16" s="1291">
        <v>165</v>
      </c>
      <c r="C16" s="331"/>
      <c r="D16" s="331"/>
      <c r="E16" s="331"/>
      <c r="F16" s="331"/>
    </row>
    <row r="17" spans="1:6">
      <c r="A17" s="1290" t="s">
        <v>7</v>
      </c>
      <c r="B17" s="1291">
        <v>264</v>
      </c>
      <c r="C17" s="331"/>
      <c r="D17" s="331"/>
      <c r="E17" s="331"/>
      <c r="F17" s="331"/>
    </row>
    <row r="18" spans="1:6">
      <c r="A18" s="1290" t="s">
        <v>8</v>
      </c>
      <c r="B18" s="1291">
        <v>349</v>
      </c>
      <c r="C18" s="331"/>
      <c r="D18" s="331"/>
      <c r="E18" s="331"/>
      <c r="F18" s="331"/>
    </row>
    <row r="19" spans="1:6">
      <c r="A19" s="1290" t="s">
        <v>9</v>
      </c>
      <c r="B19" s="1291">
        <v>375</v>
      </c>
      <c r="C19" s="331"/>
      <c r="D19" s="331"/>
      <c r="E19" s="331"/>
      <c r="F19" s="331"/>
    </row>
    <row r="20" spans="1:6">
      <c r="A20" s="1290" t="s">
        <v>10</v>
      </c>
      <c r="B20" s="1291">
        <v>334</v>
      </c>
      <c r="C20" s="331"/>
      <c r="D20" s="331"/>
      <c r="E20" s="331"/>
      <c r="F20" s="331"/>
    </row>
    <row r="21" spans="1:6">
      <c r="A21" s="1290" t="s">
        <v>11</v>
      </c>
      <c r="B21" s="1291">
        <v>0</v>
      </c>
      <c r="C21" s="331"/>
      <c r="D21" s="331"/>
      <c r="E21" s="331"/>
      <c r="F21" s="331"/>
    </row>
    <row r="22" spans="1:6">
      <c r="A22" s="1290" t="s">
        <v>12</v>
      </c>
      <c r="B22" s="1291">
        <v>163</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119</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232</v>
      </c>
      <c r="C29" s="337"/>
      <c r="D29" s="337"/>
      <c r="E29" s="337"/>
      <c r="F29" s="337"/>
    </row>
    <row r="30" spans="1:6">
      <c r="A30" s="1285" t="s">
        <v>967</v>
      </c>
      <c r="B30" s="1294">
        <v>36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4</v>
      </c>
      <c r="F35" s="1291">
        <v>16160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211626.80546218</v>
      </c>
      <c r="E38" s="1291">
        <v>1</v>
      </c>
      <c r="F38" s="1291">
        <v>9918</v>
      </c>
    </row>
    <row r="39" spans="1:6">
      <c r="A39" s="1290" t="s">
        <v>29</v>
      </c>
      <c r="B39" s="1290" t="s">
        <v>30</v>
      </c>
      <c r="C39" s="1291">
        <v>5007</v>
      </c>
      <c r="D39" s="1291">
        <v>92914974.622211203</v>
      </c>
      <c r="E39" s="1291">
        <v>8551</v>
      </c>
      <c r="F39" s="1291">
        <v>41978062.102345899</v>
      </c>
    </row>
    <row r="40" spans="1:6">
      <c r="A40" s="1290" t="s">
        <v>29</v>
      </c>
      <c r="B40" s="1290" t="s">
        <v>28</v>
      </c>
      <c r="C40" s="1291">
        <v>0</v>
      </c>
      <c r="D40" s="1291">
        <v>0</v>
      </c>
      <c r="E40" s="1291">
        <v>0</v>
      </c>
      <c r="F40" s="1291">
        <v>0</v>
      </c>
    </row>
    <row r="41" spans="1:6">
      <c r="A41" s="1290" t="s">
        <v>31</v>
      </c>
      <c r="B41" s="1290" t="s">
        <v>32</v>
      </c>
      <c r="C41" s="1291">
        <v>21</v>
      </c>
      <c r="D41" s="1291">
        <v>506064.00328607601</v>
      </c>
      <c r="E41" s="1291">
        <v>72</v>
      </c>
      <c r="F41" s="1291">
        <v>646721.46299171797</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727457.31415049604</v>
      </c>
      <c r="E48" s="1291">
        <v>58</v>
      </c>
      <c r="F48" s="1291">
        <v>844309.85568901896</v>
      </c>
    </row>
    <row r="49" spans="1:6">
      <c r="A49" s="1290" t="s">
        <v>31</v>
      </c>
      <c r="B49" s="1290" t="s">
        <v>39</v>
      </c>
      <c r="C49" s="1291">
        <v>0</v>
      </c>
      <c r="D49" s="1291">
        <v>0</v>
      </c>
      <c r="E49" s="1291">
        <v>0</v>
      </c>
      <c r="F49" s="1291">
        <v>0</v>
      </c>
    </row>
    <row r="50" spans="1:6">
      <c r="A50" s="1290" t="s">
        <v>31</v>
      </c>
      <c r="B50" s="1290" t="s">
        <v>40</v>
      </c>
      <c r="C50" s="1291">
        <v>7</v>
      </c>
      <c r="D50" s="1291">
        <v>334436.39495839598</v>
      </c>
      <c r="E50" s="1291">
        <v>7</v>
      </c>
      <c r="F50" s="1291">
        <v>538030.297573813</v>
      </c>
    </row>
    <row r="51" spans="1:6">
      <c r="A51" s="1290" t="s">
        <v>41</v>
      </c>
      <c r="B51" s="1290" t="s">
        <v>42</v>
      </c>
      <c r="C51" s="1291">
        <v>0</v>
      </c>
      <c r="D51" s="1291">
        <v>0</v>
      </c>
      <c r="E51" s="1291">
        <v>28</v>
      </c>
      <c r="F51" s="1291">
        <v>256874.25397670199</v>
      </c>
    </row>
    <row r="52" spans="1:6">
      <c r="A52" s="1290" t="s">
        <v>41</v>
      </c>
      <c r="B52" s="1290" t="s">
        <v>28</v>
      </c>
      <c r="C52" s="1291">
        <v>8</v>
      </c>
      <c r="D52" s="1291">
        <v>207720.39937773201</v>
      </c>
      <c r="E52" s="1291">
        <v>11</v>
      </c>
      <c r="F52" s="1291">
        <v>79977.450223330001</v>
      </c>
    </row>
    <row r="53" spans="1:6">
      <c r="A53" s="1290" t="s">
        <v>43</v>
      </c>
      <c r="B53" s="1290" t="s">
        <v>44</v>
      </c>
      <c r="C53" s="1291">
        <v>176</v>
      </c>
      <c r="D53" s="1291">
        <v>4044787.9379248298</v>
      </c>
      <c r="E53" s="1291">
        <v>304</v>
      </c>
      <c r="F53" s="1291">
        <v>1730527.4697567001</v>
      </c>
    </row>
    <row r="54" spans="1:6">
      <c r="A54" s="1290" t="s">
        <v>45</v>
      </c>
      <c r="B54" s="1290" t="s">
        <v>46</v>
      </c>
      <c r="C54" s="1291">
        <v>0</v>
      </c>
      <c r="D54" s="1291">
        <v>0</v>
      </c>
      <c r="E54" s="1291">
        <v>1</v>
      </c>
      <c r="F54" s="1291">
        <v>1704252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26</v>
      </c>
      <c r="D57" s="1291">
        <v>731417.63571777695</v>
      </c>
      <c r="E57" s="1291">
        <v>109</v>
      </c>
      <c r="F57" s="1291">
        <v>1925544.89607891</v>
      </c>
    </row>
    <row r="58" spans="1:6">
      <c r="A58" s="1290" t="s">
        <v>48</v>
      </c>
      <c r="B58" s="1290" t="s">
        <v>50</v>
      </c>
      <c r="C58" s="1291">
        <v>0</v>
      </c>
      <c r="D58" s="1291">
        <v>0</v>
      </c>
      <c r="E58" s="1291">
        <v>9</v>
      </c>
      <c r="F58" s="1291">
        <v>74869.999674727194</v>
      </c>
    </row>
    <row r="59" spans="1:6">
      <c r="A59" s="1290" t="s">
        <v>48</v>
      </c>
      <c r="B59" s="1290" t="s">
        <v>51</v>
      </c>
      <c r="C59" s="1291">
        <v>13</v>
      </c>
      <c r="D59" s="1291">
        <v>383820.83361865301</v>
      </c>
      <c r="E59" s="1291">
        <v>73</v>
      </c>
      <c r="F59" s="1291">
        <v>3913642.63365957</v>
      </c>
    </row>
    <row r="60" spans="1:6">
      <c r="A60" s="1290" t="s">
        <v>48</v>
      </c>
      <c r="B60" s="1290" t="s">
        <v>52</v>
      </c>
      <c r="C60" s="1291">
        <v>42</v>
      </c>
      <c r="D60" s="1291">
        <v>1955501.6238933301</v>
      </c>
      <c r="E60" s="1291">
        <v>55</v>
      </c>
      <c r="F60" s="1291">
        <v>1326667.2070941499</v>
      </c>
    </row>
    <row r="61" spans="1:6">
      <c r="A61" s="1290" t="s">
        <v>48</v>
      </c>
      <c r="B61" s="1290" t="s">
        <v>53</v>
      </c>
      <c r="C61" s="1291">
        <v>98</v>
      </c>
      <c r="D61" s="1291">
        <v>7126919.6295857104</v>
      </c>
      <c r="E61" s="1291">
        <v>193</v>
      </c>
      <c r="F61" s="1291">
        <v>8087602.0788581902</v>
      </c>
    </row>
    <row r="62" spans="1:6">
      <c r="A62" s="1290" t="s">
        <v>48</v>
      </c>
      <c r="B62" s="1290" t="s">
        <v>54</v>
      </c>
      <c r="C62" s="1291">
        <v>4</v>
      </c>
      <c r="D62" s="1291">
        <v>422492.07630822202</v>
      </c>
      <c r="E62" s="1291">
        <v>0</v>
      </c>
      <c r="F62" s="1291">
        <v>0</v>
      </c>
    </row>
    <row r="63" spans="1:6">
      <c r="A63" s="1290" t="s">
        <v>48</v>
      </c>
      <c r="B63" s="1290" t="s">
        <v>28</v>
      </c>
      <c r="C63" s="1291">
        <v>170</v>
      </c>
      <c r="D63" s="1291">
        <v>8700999.61792708</v>
      </c>
      <c r="E63" s="1291">
        <v>231</v>
      </c>
      <c r="F63" s="1291">
        <v>4729157.2539792797</v>
      </c>
    </row>
    <row r="64" spans="1:6">
      <c r="A64" s="1290" t="s">
        <v>55</v>
      </c>
      <c r="B64" s="1290" t="s">
        <v>56</v>
      </c>
      <c r="C64" s="1291">
        <v>0</v>
      </c>
      <c r="D64" s="1291">
        <v>0</v>
      </c>
      <c r="E64" s="1291">
        <v>0</v>
      </c>
      <c r="F64" s="1291">
        <v>0</v>
      </c>
    </row>
    <row r="65" spans="1:6">
      <c r="A65" s="1290" t="s">
        <v>55</v>
      </c>
      <c r="B65" s="1290" t="s">
        <v>28</v>
      </c>
      <c r="C65" s="1291">
        <v>5</v>
      </c>
      <c r="D65" s="1291">
        <v>328176.50110874802</v>
      </c>
      <c r="E65" s="1291">
        <v>4</v>
      </c>
      <c r="F65" s="1291">
        <v>75027.3217358236</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18</v>
      </c>
      <c r="F68" s="1294">
        <v>453650.339621155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46123873</v>
      </c>
      <c r="E73" s="455"/>
      <c r="F73" s="331"/>
    </row>
    <row r="74" spans="1:6">
      <c r="A74" s="1290" t="s">
        <v>63</v>
      </c>
      <c r="B74" s="1290" t="s">
        <v>773</v>
      </c>
      <c r="C74" s="1304" t="s">
        <v>774</v>
      </c>
      <c r="D74" s="1305">
        <v>2896940.7360879746</v>
      </c>
      <c r="E74" s="455"/>
      <c r="F74" s="331"/>
    </row>
    <row r="75" spans="1:6">
      <c r="A75" s="1290" t="s">
        <v>64</v>
      </c>
      <c r="B75" s="1290" t="s">
        <v>771</v>
      </c>
      <c r="C75" s="1304" t="s">
        <v>775</v>
      </c>
      <c r="D75" s="1305">
        <v>15605372</v>
      </c>
      <c r="E75" s="455"/>
      <c r="F75" s="331"/>
    </row>
    <row r="76" spans="1:6">
      <c r="A76" s="1290" t="s">
        <v>64</v>
      </c>
      <c r="B76" s="1290" t="s">
        <v>773</v>
      </c>
      <c r="C76" s="1304" t="s">
        <v>776</v>
      </c>
      <c r="D76" s="1305">
        <v>499716.73608797457</v>
      </c>
      <c r="E76" s="455"/>
      <c r="F76" s="331"/>
    </row>
    <row r="77" spans="1:6">
      <c r="A77" s="1290" t="s">
        <v>65</v>
      </c>
      <c r="B77" s="1290" t="s">
        <v>771</v>
      </c>
      <c r="C77" s="1304" t="s">
        <v>777</v>
      </c>
      <c r="D77" s="1305">
        <v>164359093</v>
      </c>
      <c r="E77" s="455"/>
      <c r="F77" s="331"/>
    </row>
    <row r="78" spans="1:6">
      <c r="A78" s="1285" t="s">
        <v>65</v>
      </c>
      <c r="B78" s="1285" t="s">
        <v>773</v>
      </c>
      <c r="C78" s="1285" t="s">
        <v>778</v>
      </c>
      <c r="D78" s="1306">
        <v>21100855</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719546.52782405086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2091.9518469712411</v>
      </c>
      <c r="C91" s="331"/>
      <c r="D91" s="331"/>
      <c r="E91" s="331"/>
      <c r="F91" s="331"/>
    </row>
    <row r="92" spans="1:6">
      <c r="A92" s="1285" t="s">
        <v>68</v>
      </c>
      <c r="B92" s="1286">
        <v>2046.3942075654229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3060</v>
      </c>
      <c r="C97" s="331"/>
      <c r="D97" s="331"/>
      <c r="E97" s="331"/>
      <c r="F97" s="331"/>
    </row>
    <row r="98" spans="1:6">
      <c r="A98" s="1290" t="s">
        <v>71</v>
      </c>
      <c r="B98" s="1291">
        <v>13</v>
      </c>
      <c r="C98" s="331"/>
      <c r="D98" s="331"/>
      <c r="E98" s="331"/>
      <c r="F98" s="331"/>
    </row>
    <row r="99" spans="1:6">
      <c r="A99" s="1290" t="s">
        <v>72</v>
      </c>
      <c r="B99" s="1291">
        <v>123</v>
      </c>
      <c r="C99" s="331"/>
      <c r="D99" s="331"/>
      <c r="E99" s="331"/>
      <c r="F99" s="331"/>
    </row>
    <row r="100" spans="1:6">
      <c r="A100" s="1290" t="s">
        <v>73</v>
      </c>
      <c r="B100" s="1291">
        <v>729</v>
      </c>
      <c r="C100" s="331"/>
      <c r="D100" s="331"/>
      <c r="E100" s="331"/>
      <c r="F100" s="331"/>
    </row>
    <row r="101" spans="1:6">
      <c r="A101" s="1290" t="s">
        <v>74</v>
      </c>
      <c r="B101" s="1291">
        <v>87</v>
      </c>
      <c r="C101" s="331"/>
      <c r="D101" s="331"/>
      <c r="E101" s="331"/>
      <c r="F101" s="331"/>
    </row>
    <row r="102" spans="1:6">
      <c r="A102" s="1290" t="s">
        <v>75</v>
      </c>
      <c r="B102" s="1291">
        <v>90</v>
      </c>
      <c r="C102" s="331"/>
      <c r="D102" s="331"/>
      <c r="E102" s="331"/>
      <c r="F102" s="331"/>
    </row>
    <row r="103" spans="1:6">
      <c r="A103" s="1290" t="s">
        <v>76</v>
      </c>
      <c r="B103" s="1291">
        <v>198</v>
      </c>
      <c r="C103" s="331"/>
      <c r="D103" s="331"/>
      <c r="E103" s="331"/>
      <c r="F103" s="331"/>
    </row>
    <row r="104" spans="1:6">
      <c r="A104" s="1290" t="s">
        <v>77</v>
      </c>
      <c r="B104" s="1291">
        <v>3490</v>
      </c>
      <c r="C104" s="331"/>
      <c r="D104" s="331"/>
      <c r="E104" s="331"/>
      <c r="F104" s="331"/>
    </row>
    <row r="105" spans="1:6">
      <c r="A105" s="1285" t="s">
        <v>78</v>
      </c>
      <c r="B105" s="1294">
        <v>6</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3</v>
      </c>
      <c r="C123" s="1291">
        <v>35</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82</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8</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69929.774187461284</v>
      </c>
      <c r="C3" s="43" t="s">
        <v>169</v>
      </c>
      <c r="D3" s="43"/>
      <c r="E3" s="156"/>
      <c r="F3" s="43"/>
      <c r="G3" s="43"/>
      <c r="H3" s="43"/>
      <c r="I3" s="43"/>
      <c r="J3" s="43"/>
      <c r="K3" s="96"/>
    </row>
    <row r="4" spans="1:11">
      <c r="A4" s="362" t="s">
        <v>170</v>
      </c>
      <c r="B4" s="49">
        <f>IF(ISERROR('SEAP template'!B78+'SEAP template'!C78),0,'SEAP template'!B78+'SEAP template'!C78)</f>
        <v>4138.3460545366643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0.20792152965343635</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1704.252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1704.252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0.20792152965343635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354.35068275492819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41978.062102345895</v>
      </c>
      <c r="C5" s="17">
        <f>IF(ISERROR('Eigen informatie GS &amp; warmtenet'!B57),0,'Eigen informatie GS &amp; warmtenet'!B57)</f>
        <v>0</v>
      </c>
      <c r="D5" s="30">
        <f>(SUM(HH_hh_gas_kWh,HH_rest_gas_kWh)/1000)*0.902</f>
        <v>83809.307109234505</v>
      </c>
      <c r="E5" s="17">
        <f>B46*B57</f>
        <v>16552.358151687302</v>
      </c>
      <c r="F5" s="17">
        <f>B51*B62</f>
        <v>39321.855957002306</v>
      </c>
      <c r="G5" s="18"/>
      <c r="H5" s="17"/>
      <c r="I5" s="17"/>
      <c r="J5" s="17">
        <f>B50*B61+C50*C61</f>
        <v>95.239712153258807</v>
      </c>
      <c r="K5" s="17"/>
      <c r="L5" s="17"/>
      <c r="M5" s="17"/>
      <c r="N5" s="17">
        <f>B48*B59+C48*C59</f>
        <v>10408.610820327001</v>
      </c>
      <c r="O5" s="17">
        <f>B69*B70*B71</f>
        <v>184.47333333333336</v>
      </c>
      <c r="P5" s="17">
        <f>B77*B78*B79/1000-B77*B78*B79/1000/B80</f>
        <v>209.73333333333335</v>
      </c>
    </row>
    <row r="6" spans="1:16">
      <c r="A6" s="16" t="s">
        <v>631</v>
      </c>
      <c r="B6" s="776">
        <f>kWh_PV_kleiner_dan_10kW</f>
        <v>2091.9518469712411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44070.013949317137</v>
      </c>
      <c r="C8" s="21">
        <f>C5</f>
        <v>0</v>
      </c>
      <c r="D8" s="21">
        <f>D5</f>
        <v>83809.307109234505</v>
      </c>
      <c r="E8" s="21">
        <f>E5</f>
        <v>16552.358151687302</v>
      </c>
      <c r="F8" s="21">
        <f>F5</f>
        <v>39321.855957002306</v>
      </c>
      <c r="G8" s="21"/>
      <c r="H8" s="21"/>
      <c r="I8" s="21"/>
      <c r="J8" s="21">
        <f>J5</f>
        <v>95.239712153258807</v>
      </c>
      <c r="K8" s="21"/>
      <c r="L8" s="21">
        <f>L5</f>
        <v>0</v>
      </c>
      <c r="M8" s="21">
        <f>M5</f>
        <v>0</v>
      </c>
      <c r="N8" s="21">
        <f>N5</f>
        <v>10408.610820327001</v>
      </c>
      <c r="O8" s="21">
        <f>O5</f>
        <v>184.47333333333336</v>
      </c>
      <c r="P8" s="21">
        <f>P5</f>
        <v>209.73333333333335</v>
      </c>
    </row>
    <row r="9" spans="1:16">
      <c r="B9" s="19"/>
      <c r="C9" s="19"/>
      <c r="D9" s="260"/>
      <c r="E9" s="19"/>
      <c r="F9" s="19"/>
      <c r="G9" s="19"/>
      <c r="H9" s="19"/>
      <c r="I9" s="19"/>
      <c r="J9" s="19"/>
      <c r="K9" s="19"/>
      <c r="L9" s="19"/>
      <c r="M9" s="19"/>
      <c r="N9" s="19"/>
      <c r="O9" s="19"/>
      <c r="P9" s="19"/>
    </row>
    <row r="10" spans="1:16">
      <c r="A10" s="24" t="s">
        <v>213</v>
      </c>
      <c r="B10" s="25">
        <f ca="1">'EF ele_warmte'!B12</f>
        <v>0.20792152965343635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9163.1047121902975</v>
      </c>
      <c r="C12" s="23">
        <f ca="1">C10*C8</f>
        <v>0</v>
      </c>
      <c r="D12" s="23">
        <f>D8*D10</f>
        <v>16929.480036065372</v>
      </c>
      <c r="E12" s="23">
        <f>E10*E8</f>
        <v>3757.3853004330176</v>
      </c>
      <c r="F12" s="23">
        <f>F10*F8</f>
        <v>10498.935540519617</v>
      </c>
      <c r="G12" s="23"/>
      <c r="H12" s="23"/>
      <c r="I12" s="23"/>
      <c r="J12" s="23">
        <f>J10*J8</f>
        <v>33.714858102253615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3060</v>
      </c>
      <c r="C18" s="167" t="s">
        <v>110</v>
      </c>
      <c r="D18" s="229"/>
      <c r="E18" s="15"/>
    </row>
    <row r="19" spans="1:7">
      <c r="A19" s="172" t="s">
        <v>71</v>
      </c>
      <c r="B19" s="37">
        <f>aantalw2001_ander</f>
        <v>13</v>
      </c>
      <c r="C19" s="167" t="s">
        <v>110</v>
      </c>
      <c r="D19" s="230"/>
      <c r="E19" s="15"/>
    </row>
    <row r="20" spans="1:7">
      <c r="A20" s="172" t="s">
        <v>72</v>
      </c>
      <c r="B20" s="37">
        <f>aantalw2001_propaan</f>
        <v>123</v>
      </c>
      <c r="C20" s="168">
        <f>IF(ISERROR(B20/SUM($B$20,$B$21,$B$22)*100),0,B20/SUM($B$20,$B$21,$B$22)*100)</f>
        <v>13.099041533546327</v>
      </c>
      <c r="D20" s="230"/>
      <c r="E20" s="15"/>
    </row>
    <row r="21" spans="1:7">
      <c r="A21" s="172" t="s">
        <v>73</v>
      </c>
      <c r="B21" s="37">
        <f>aantalw2001_elektriciteit</f>
        <v>729</v>
      </c>
      <c r="C21" s="168">
        <f>IF(ISERROR(B21/SUM($B$20,$B$21,$B$22)*100),0,B21/SUM($B$20,$B$21,$B$22)*100)</f>
        <v>77.635782747603827</v>
      </c>
      <c r="D21" s="230"/>
      <c r="E21" s="15"/>
    </row>
    <row r="22" spans="1:7">
      <c r="A22" s="172" t="s">
        <v>74</v>
      </c>
      <c r="B22" s="37">
        <f>aantalw2001_hout</f>
        <v>87</v>
      </c>
      <c r="C22" s="168">
        <f>IF(ISERROR(B22/SUM($B$20,$B$21,$B$22)*100),0,B22/SUM($B$20,$B$21,$B$22)*100)</f>
        <v>9.2651757188498394</v>
      </c>
      <c r="D22" s="230"/>
      <c r="E22" s="15"/>
    </row>
    <row r="23" spans="1:7">
      <c r="A23" s="172" t="s">
        <v>75</v>
      </c>
      <c r="B23" s="37">
        <f>aantalw2001_niet_gespec</f>
        <v>90</v>
      </c>
      <c r="C23" s="167" t="s">
        <v>110</v>
      </c>
      <c r="D23" s="229"/>
      <c r="E23" s="15"/>
    </row>
    <row r="24" spans="1:7">
      <c r="A24" s="172" t="s">
        <v>76</v>
      </c>
      <c r="B24" s="37">
        <f>aantalw2001_steenkool</f>
        <v>198</v>
      </c>
      <c r="C24" s="167" t="s">
        <v>110</v>
      </c>
      <c r="D24" s="230"/>
      <c r="E24" s="15"/>
    </row>
    <row r="25" spans="1:7">
      <c r="A25" s="172" t="s">
        <v>77</v>
      </c>
      <c r="B25" s="37">
        <f>aantalw2001_stookolie</f>
        <v>3490</v>
      </c>
      <c r="C25" s="167" t="s">
        <v>110</v>
      </c>
      <c r="D25" s="229"/>
      <c r="E25" s="52"/>
    </row>
    <row r="26" spans="1:7">
      <c r="A26" s="172" t="s">
        <v>78</v>
      </c>
      <c r="B26" s="37">
        <f>aantalw2001_WP</f>
        <v>6</v>
      </c>
      <c r="C26" s="167" t="s">
        <v>110</v>
      </c>
      <c r="D26" s="229"/>
      <c r="E26" s="15"/>
    </row>
    <row r="27" spans="1:7" s="15" customFormat="1">
      <c r="A27" s="172"/>
      <c r="B27" s="29"/>
      <c r="C27" s="36"/>
      <c r="D27" s="229"/>
    </row>
    <row r="28" spans="1:7" s="15" customFormat="1">
      <c r="A28" s="231" t="s">
        <v>711</v>
      </c>
      <c r="B28" s="37">
        <f>aantalHuishoudens</f>
        <v>8615</v>
      </c>
      <c r="C28" s="36"/>
      <c r="D28" s="229"/>
    </row>
    <row r="29" spans="1:7" s="15" customFormat="1">
      <c r="A29" s="231" t="s">
        <v>712</v>
      </c>
      <c r="B29" s="37">
        <f>SUM(HH_hh_gas_aantal,HH_rest_gas_aantal)</f>
        <v>5007</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5007</v>
      </c>
      <c r="C32" s="168">
        <f>IF(ISERROR(B32/SUM($B$32,$B$34,$B$35,$B$36,$B$38,$B$39)*100),0,B32/SUM($B$32,$B$34,$B$35,$B$36,$B$38,$B$39)*100)</f>
        <v>58.193863319386331</v>
      </c>
      <c r="D32" s="234"/>
      <c r="G32" s="15"/>
    </row>
    <row r="33" spans="1:7">
      <c r="A33" s="172" t="s">
        <v>71</v>
      </c>
      <c r="B33" s="34" t="s">
        <v>110</v>
      </c>
      <c r="C33" s="168"/>
      <c r="D33" s="234"/>
      <c r="G33" s="15"/>
    </row>
    <row r="34" spans="1:7">
      <c r="A34" s="172" t="s">
        <v>72</v>
      </c>
      <c r="B34" s="33">
        <f>IF((($B$28-$B$32-$B$39-$B$77-$B$38)*C20/100)&lt;0,0,($B$28-$B$32-$B$39-$B$77-$B$38)*C20/100)</f>
        <v>243.1182108626198</v>
      </c>
      <c r="C34" s="168">
        <f>IF(ISERROR(B34/SUM($B$32,$B$34,$B$35,$B$36,$B$38,$B$39)*100),0,B34/SUM($B$32,$B$34,$B$35,$B$36,$B$38,$B$39)*100)</f>
        <v>2.8256416883149673</v>
      </c>
      <c r="D34" s="234"/>
      <c r="G34" s="15"/>
    </row>
    <row r="35" spans="1:7">
      <c r="A35" s="172" t="s">
        <v>73</v>
      </c>
      <c r="B35" s="33">
        <f>IF((($B$28-$B$32-$B$39-$B$77-$B$38)*C21/100)&lt;0,0,($B$28-$B$32-$B$39-$B$77-$B$38)*C21/100)</f>
        <v>1440.9201277955269</v>
      </c>
      <c r="C35" s="168">
        <f>IF(ISERROR(B35/SUM($B$32,$B$34,$B$35,$B$36,$B$38,$B$39)*100),0,B35/SUM($B$32,$B$34,$B$35,$B$36,$B$38,$B$39)*100)</f>
        <v>16.747095860013097</v>
      </c>
      <c r="D35" s="234"/>
      <c r="G35" s="15"/>
    </row>
    <row r="36" spans="1:7">
      <c r="A36" s="172" t="s">
        <v>74</v>
      </c>
      <c r="B36" s="33">
        <f>IF((($B$28-$B$32-$B$39-$B$77-$B$38)*C22/100)&lt;0,0,($B$28-$B$32-$B$39-$B$77-$B$38)*C22/100)</f>
        <v>171.96166134185304</v>
      </c>
      <c r="C36" s="168">
        <f>IF(ISERROR(B36/SUM($B$32,$B$34,$B$35,$B$36,$B$38,$B$39)*100),0,B36/SUM($B$32,$B$34,$B$35,$B$36,$B$38,$B$39)*100)</f>
        <v>1.9986246088081479</v>
      </c>
      <c r="D36" s="234"/>
      <c r="G36" s="15"/>
    </row>
    <row r="37" spans="1:7">
      <c r="A37" s="172" t="s">
        <v>75</v>
      </c>
      <c r="B37" s="34" t="s">
        <v>110</v>
      </c>
      <c r="C37" s="168"/>
      <c r="D37" s="174"/>
      <c r="G37" s="15"/>
    </row>
    <row r="38" spans="1:7">
      <c r="A38" s="172" t="s">
        <v>76</v>
      </c>
      <c r="B38" s="33">
        <f>IF((B24-(B29-B18)*0.1)&lt;0,0,B24-(B29-B18)*0.1)</f>
        <v>3.2999999999999829</v>
      </c>
      <c r="C38" s="168">
        <f>IF(ISERROR(B38/SUM($B$32,$B$34,$B$35,$B$36,$B$38,$B$39)*100),0,B38/SUM($B$32,$B$34,$B$35,$B$36,$B$38,$B$39)*100)</f>
        <v>3.8354253835425185E-2</v>
      </c>
      <c r="D38" s="235"/>
      <c r="G38" s="15"/>
    </row>
    <row r="39" spans="1:7">
      <c r="A39" s="172" t="s">
        <v>77</v>
      </c>
      <c r="B39" s="33">
        <f>IF((B25-(B29-B18))&lt;0,0,B25-(B29-B18)*0.9)</f>
        <v>1737.7</v>
      </c>
      <c r="C39" s="168">
        <f>IF(ISERROR(B39/SUM($B$32,$B$34,$B$35,$B$36,$B$38,$B$39)*100),0,B39/SUM($B$32,$B$34,$B$35,$B$36,$B$38,$B$39)*100)</f>
        <v>20.196420269642026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5007</v>
      </c>
      <c r="C44" s="34" t="s">
        <v>110</v>
      </c>
      <c r="D44" s="175"/>
    </row>
    <row r="45" spans="1:7">
      <c r="A45" s="172" t="s">
        <v>71</v>
      </c>
      <c r="B45" s="33" t="str">
        <f t="shared" si="0"/>
        <v>-</v>
      </c>
      <c r="C45" s="34" t="s">
        <v>110</v>
      </c>
      <c r="D45" s="175"/>
    </row>
    <row r="46" spans="1:7">
      <c r="A46" s="172" t="s">
        <v>72</v>
      </c>
      <c r="B46" s="33">
        <f t="shared" si="0"/>
        <v>243.1182108626198</v>
      </c>
      <c r="C46" s="34" t="s">
        <v>110</v>
      </c>
      <c r="D46" s="175"/>
    </row>
    <row r="47" spans="1:7">
      <c r="A47" s="172" t="s">
        <v>73</v>
      </c>
      <c r="B47" s="33">
        <f t="shared" si="0"/>
        <v>1440.9201277955269</v>
      </c>
      <c r="C47" s="34" t="s">
        <v>110</v>
      </c>
      <c r="D47" s="175"/>
    </row>
    <row r="48" spans="1:7">
      <c r="A48" s="172" t="s">
        <v>74</v>
      </c>
      <c r="B48" s="33">
        <f t="shared" si="0"/>
        <v>171.96166134185304</v>
      </c>
      <c r="C48" s="33">
        <f>B48*10</f>
        <v>1719.6166134185305</v>
      </c>
      <c r="D48" s="235"/>
    </row>
    <row r="49" spans="1:6">
      <c r="A49" s="172" t="s">
        <v>75</v>
      </c>
      <c r="B49" s="33" t="str">
        <f t="shared" si="0"/>
        <v>-</v>
      </c>
      <c r="C49" s="34" t="s">
        <v>110</v>
      </c>
      <c r="D49" s="235"/>
    </row>
    <row r="50" spans="1:6">
      <c r="A50" s="172" t="s">
        <v>76</v>
      </c>
      <c r="B50" s="33">
        <f t="shared" si="0"/>
        <v>3.2999999999999829</v>
      </c>
      <c r="C50" s="33">
        <f>B50*2</f>
        <v>6.5999999999999659</v>
      </c>
      <c r="D50" s="235"/>
    </row>
    <row r="51" spans="1:6">
      <c r="A51" s="172" t="s">
        <v>77</v>
      </c>
      <c r="B51" s="33">
        <f t="shared" si="0"/>
        <v>1737.7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118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20057.484069344828</v>
      </c>
      <c r="C5" s="17">
        <f>IF(ISERROR('Eigen informatie GS &amp; warmtenet'!B58),0,'Eigen informatie GS &amp; warmtenet'!B58)</f>
        <v>0</v>
      </c>
      <c r="D5" s="30">
        <f>SUM(D6:D12)</f>
        <v>17427.678578179795</v>
      </c>
      <c r="E5" s="17">
        <f>SUM(E6:E12)</f>
        <v>491.22749361891431</v>
      </c>
      <c r="F5" s="17">
        <f>SUM(F6:F12)</f>
        <v>3522.8645310440188</v>
      </c>
      <c r="G5" s="18"/>
      <c r="H5" s="17"/>
      <c r="I5" s="17"/>
      <c r="J5" s="17">
        <f>SUM(J6:J12)</f>
        <v>0</v>
      </c>
      <c r="K5" s="17"/>
      <c r="L5" s="17"/>
      <c r="M5" s="17"/>
      <c r="N5" s="17">
        <f>SUM(N6:N12)</f>
        <v>642.92042822570397</v>
      </c>
      <c r="O5" s="17">
        <f>B38*B39*B40</f>
        <v>1.5633333333333335</v>
      </c>
      <c r="P5" s="17">
        <f>B46*B47*B48/1000-B46*B47*B48/1000/B49</f>
        <v>19.066666666666666</v>
      </c>
      <c r="R5" s="32"/>
    </row>
    <row r="6" spans="1:18">
      <c r="A6" s="32" t="s">
        <v>53</v>
      </c>
      <c r="B6" s="37">
        <f>B26</f>
        <v>8087.60207885819</v>
      </c>
      <c r="C6" s="33"/>
      <c r="D6" s="37">
        <f>IF(ISERROR(TER_kantoor_gas_kWh/1000),0,TER_kantoor_gas_kWh/1000)*0.902</f>
        <v>6428.4815058863105</v>
      </c>
      <c r="E6" s="33">
        <f>$C$26*'E Balans VL '!I12/100/3.6*1000000</f>
        <v>283.09788733750156</v>
      </c>
      <c r="F6" s="33">
        <f>$C$26*('E Balans VL '!L12+'E Balans VL '!N12)/100/3.6*1000000</f>
        <v>1226.2541142700272</v>
      </c>
      <c r="G6" s="34"/>
      <c r="H6" s="33"/>
      <c r="I6" s="33"/>
      <c r="J6" s="33">
        <f>$C$26*('E Balans VL '!D12+'E Balans VL '!E12)/100/3.6*1000000</f>
        <v>0</v>
      </c>
      <c r="K6" s="33"/>
      <c r="L6" s="33"/>
      <c r="M6" s="33"/>
      <c r="N6" s="33">
        <f>$C$26*'E Balans VL '!Y12/100/3.6*1000000</f>
        <v>62.514632719788999</v>
      </c>
      <c r="O6" s="33"/>
      <c r="P6" s="33"/>
      <c r="R6" s="32"/>
    </row>
    <row r="7" spans="1:18">
      <c r="A7" s="32" t="s">
        <v>52</v>
      </c>
      <c r="B7" s="37">
        <f t="shared" ref="B7:B12" si="0">B27</f>
        <v>1326.6672070941499</v>
      </c>
      <c r="C7" s="33"/>
      <c r="D7" s="37">
        <f>IF(ISERROR(TER_horeca_gas_kWh/1000),0,TER_horeca_gas_kWh/1000)*0.902</f>
        <v>1763.8624647517838</v>
      </c>
      <c r="E7" s="33">
        <f>$C$27*'E Balans VL '!I9/100/3.6*1000000</f>
        <v>74.841670857804488</v>
      </c>
      <c r="F7" s="33">
        <f>$C$27*('E Balans VL '!L9+'E Balans VL '!N9)/100/3.6*1000000</f>
        <v>231.11276934639017</v>
      </c>
      <c r="G7" s="34"/>
      <c r="H7" s="33"/>
      <c r="I7" s="33"/>
      <c r="J7" s="33">
        <f>$C$27*('E Balans VL '!D9+'E Balans VL '!E9)/100/3.6*1000000</f>
        <v>0</v>
      </c>
      <c r="K7" s="33"/>
      <c r="L7" s="33"/>
      <c r="M7" s="33"/>
      <c r="N7" s="33">
        <f>$C$27*'E Balans VL '!Y9/100/3.6*1000000</f>
        <v>0</v>
      </c>
      <c r="O7" s="33"/>
      <c r="P7" s="33"/>
      <c r="R7" s="32"/>
    </row>
    <row r="8" spans="1:18">
      <c r="A8" s="6" t="s">
        <v>51</v>
      </c>
      <c r="B8" s="37">
        <f t="shared" si="0"/>
        <v>3913.64263365957</v>
      </c>
      <c r="C8" s="33"/>
      <c r="D8" s="37">
        <f>IF(ISERROR(TER_handel_gas_kWh/1000),0,TER_handel_gas_kWh/1000)*0.902</f>
        <v>346.20639192402501</v>
      </c>
      <c r="E8" s="33">
        <f>$C$28*'E Balans VL '!I13/100/3.6*1000000</f>
        <v>20.092243660883486</v>
      </c>
      <c r="F8" s="33">
        <f>$C$28*('E Balans VL '!L13+'E Balans VL '!N13)/100/3.6*1000000</f>
        <v>603.42322212389524</v>
      </c>
      <c r="G8" s="34"/>
      <c r="H8" s="33"/>
      <c r="I8" s="33"/>
      <c r="J8" s="33">
        <f>$C$28*('E Balans VL '!D13+'E Balans VL '!E13)/100/3.6*1000000</f>
        <v>0</v>
      </c>
      <c r="K8" s="33"/>
      <c r="L8" s="33"/>
      <c r="M8" s="33"/>
      <c r="N8" s="33">
        <f>$C$28*'E Balans VL '!Y13/100/3.6*1000000</f>
        <v>1.830458432201274</v>
      </c>
      <c r="O8" s="33"/>
      <c r="P8" s="33"/>
      <c r="R8" s="32"/>
    </row>
    <row r="9" spans="1:18">
      <c r="A9" s="32" t="s">
        <v>50</v>
      </c>
      <c r="B9" s="37">
        <f t="shared" si="0"/>
        <v>74.869999674727197</v>
      </c>
      <c r="C9" s="33"/>
      <c r="D9" s="37">
        <f>IF(ISERROR(TER_gezond_gas_kWh/1000),0,TER_gezond_gas_kWh/1000)*0.902</f>
        <v>0</v>
      </c>
      <c r="E9" s="33">
        <f>$C$29*'E Balans VL '!I10/100/3.6*1000000</f>
        <v>3.1033081660146688E-2</v>
      </c>
      <c r="F9" s="33">
        <f>$C$29*('E Balans VL '!L10+'E Balans VL '!N10)/100/3.6*1000000</f>
        <v>18.439407140855874</v>
      </c>
      <c r="G9" s="34"/>
      <c r="H9" s="33"/>
      <c r="I9" s="33"/>
      <c r="J9" s="33">
        <f>$C$29*('E Balans VL '!D10+'E Balans VL '!E10)/100/3.6*1000000</f>
        <v>0</v>
      </c>
      <c r="K9" s="33"/>
      <c r="L9" s="33"/>
      <c r="M9" s="33"/>
      <c r="N9" s="33">
        <f>$C$29*'E Balans VL '!Y10/100/3.6*1000000</f>
        <v>0.6470621098064111</v>
      </c>
      <c r="O9" s="33"/>
      <c r="P9" s="33"/>
      <c r="R9" s="32"/>
    </row>
    <row r="10" spans="1:18">
      <c r="A10" s="32" t="s">
        <v>49</v>
      </c>
      <c r="B10" s="37">
        <f t="shared" si="0"/>
        <v>1925.5448960789099</v>
      </c>
      <c r="C10" s="33"/>
      <c r="D10" s="37">
        <f>IF(ISERROR(TER_ander_gas_kWh/1000),0,TER_ander_gas_kWh/1000)*0.902</f>
        <v>659.73870741743485</v>
      </c>
      <c r="E10" s="33">
        <f>$C$30*'E Balans VL '!I14/100/3.6*1000000</f>
        <v>11.738169194883685</v>
      </c>
      <c r="F10" s="33">
        <f>$C$30*('E Balans VL '!L14+'E Balans VL '!N14)/100/3.6*1000000</f>
        <v>510.48832892352516</v>
      </c>
      <c r="G10" s="34"/>
      <c r="H10" s="33"/>
      <c r="I10" s="33"/>
      <c r="J10" s="33">
        <f>$C$30*('E Balans VL '!D14+'E Balans VL '!E14)/100/3.6*1000000</f>
        <v>0</v>
      </c>
      <c r="K10" s="33"/>
      <c r="L10" s="33"/>
      <c r="M10" s="33"/>
      <c r="N10" s="33">
        <f>$C$30*'E Balans VL '!Y14/100/3.6*1000000</f>
        <v>443.796490583506</v>
      </c>
      <c r="O10" s="33"/>
      <c r="P10" s="33"/>
      <c r="R10" s="32"/>
    </row>
    <row r="11" spans="1:18">
      <c r="A11" s="32" t="s">
        <v>54</v>
      </c>
      <c r="B11" s="37">
        <f t="shared" si="0"/>
        <v>0</v>
      </c>
      <c r="C11" s="33"/>
      <c r="D11" s="37">
        <f>IF(ISERROR(TER_onderwijs_gas_kWh/1000),0,TER_onderwijs_gas_kWh/1000)*0.902</f>
        <v>381.08785283001629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4729.1572539792796</v>
      </c>
      <c r="C12" s="33"/>
      <c r="D12" s="37">
        <f>IF(ISERROR(TER_rest_gas_kWh/1000),0,TER_rest_gas_kWh/1000)*0.902</f>
        <v>7848.3016553702264</v>
      </c>
      <c r="E12" s="33">
        <f>$C$32*'E Balans VL '!I8/100/3.6*1000000</f>
        <v>101.42648948618094</v>
      </c>
      <c r="F12" s="33">
        <f>$C$32*('E Balans VL '!L8+'E Balans VL '!N8)/100/3.6*1000000</f>
        <v>933.1466892393247</v>
      </c>
      <c r="G12" s="34"/>
      <c r="H12" s="33"/>
      <c r="I12" s="33"/>
      <c r="J12" s="33">
        <f>$C$32*('E Balans VL '!D8+'E Balans VL '!E8)/100/3.6*1000000</f>
        <v>0</v>
      </c>
      <c r="K12" s="33"/>
      <c r="L12" s="33"/>
      <c r="M12" s="33"/>
      <c r="N12" s="33">
        <f>$C$32*'E Balans VL '!Y8/100/3.6*1000000</f>
        <v>134.13178438040131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20057.484069344828</v>
      </c>
      <c r="C16" s="21">
        <f ca="1">C5+C13+C14</f>
        <v>0</v>
      </c>
      <c r="D16" s="21">
        <f t="shared" ref="D16:N16" ca="1" si="1">MAX((D5+D13+D14),0)</f>
        <v>17427.678578179795</v>
      </c>
      <c r="E16" s="21">
        <f t="shared" si="1"/>
        <v>491.22749361891431</v>
      </c>
      <c r="F16" s="21">
        <f t="shared" ca="1" si="1"/>
        <v>3522.8645310440188</v>
      </c>
      <c r="G16" s="21">
        <f t="shared" si="1"/>
        <v>0</v>
      </c>
      <c r="H16" s="21">
        <f t="shared" si="1"/>
        <v>0</v>
      </c>
      <c r="I16" s="21">
        <f t="shared" si="1"/>
        <v>0</v>
      </c>
      <c r="J16" s="21">
        <f t="shared" si="1"/>
        <v>0</v>
      </c>
      <c r="K16" s="21">
        <f t="shared" si="1"/>
        <v>0</v>
      </c>
      <c r="L16" s="21">
        <f t="shared" ca="1" si="1"/>
        <v>0</v>
      </c>
      <c r="M16" s="21">
        <f t="shared" si="1"/>
        <v>0</v>
      </c>
      <c r="N16" s="21">
        <f t="shared" ca="1" si="1"/>
        <v>642.92042822570397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0.20792152965343635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4170.3827686976083</v>
      </c>
      <c r="C20" s="23">
        <f t="shared" ref="C20:P20" ca="1" si="2">C16*C18</f>
        <v>0</v>
      </c>
      <c r="D20" s="23">
        <f t="shared" ca="1" si="2"/>
        <v>3520.3910727923189</v>
      </c>
      <c r="E20" s="23">
        <f t="shared" si="2"/>
        <v>111.50864105149356</v>
      </c>
      <c r="F20" s="23">
        <f t="shared" ca="1" si="2"/>
        <v>940.60482978875302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8087.60207885819</v>
      </c>
      <c r="C26" s="39">
        <f>IF(ISERROR(B26*3.6/1000000/'E Balans VL '!Z12*100),0,B26*3.6/1000000/'E Balans VL '!Z12*100)</f>
        <v>0.17019017347109741</v>
      </c>
      <c r="D26" s="238" t="s">
        <v>718</v>
      </c>
      <c r="F26" s="6"/>
    </row>
    <row r="27" spans="1:18">
      <c r="A27" s="232" t="s">
        <v>52</v>
      </c>
      <c r="B27" s="33">
        <f>IF(ISERROR(TER_horeca_ele_kWh/1000),0,TER_horeca_ele_kWh/1000)</f>
        <v>1326.6672070941499</v>
      </c>
      <c r="C27" s="39">
        <f>IF(ISERROR(B27*3.6/1000000/'E Balans VL '!Z9*100),0,B27*3.6/1000000/'E Balans VL '!Z9*100)</f>
        <v>0.11232518452433243</v>
      </c>
      <c r="D27" s="238" t="s">
        <v>718</v>
      </c>
      <c r="F27" s="6"/>
    </row>
    <row r="28" spans="1:18">
      <c r="A28" s="172" t="s">
        <v>51</v>
      </c>
      <c r="B28" s="33">
        <f>IF(ISERROR(TER_handel_ele_kWh/1000),0,TER_handel_ele_kWh/1000)</f>
        <v>3913.64263365957</v>
      </c>
      <c r="C28" s="39">
        <f>IF(ISERROR(B28*3.6/1000000/'E Balans VL '!Z13*100),0,B28*3.6/1000000/'E Balans VL '!Z13*100)</f>
        <v>0.10834865513809656</v>
      </c>
      <c r="D28" s="238" t="s">
        <v>718</v>
      </c>
      <c r="F28" s="6"/>
    </row>
    <row r="29" spans="1:18">
      <c r="A29" s="232" t="s">
        <v>50</v>
      </c>
      <c r="B29" s="33">
        <f>IF(ISERROR(TER_gezond_ele_kWh/1000),0,TER_gezond_ele_kWh/1000)</f>
        <v>74.869999674727197</v>
      </c>
      <c r="C29" s="39">
        <f>IF(ISERROR(B29*3.6/1000000/'E Balans VL '!Z10*100),0,B29*3.6/1000000/'E Balans VL '!Z10*100)</f>
        <v>9.7322699269950918E-3</v>
      </c>
      <c r="D29" s="238" t="s">
        <v>718</v>
      </c>
      <c r="F29" s="6"/>
    </row>
    <row r="30" spans="1:18">
      <c r="A30" s="232" t="s">
        <v>49</v>
      </c>
      <c r="B30" s="33">
        <f>IF(ISERROR(TER_ander_ele_kWh/1000),0,TER_ander_ele_kWh/1000)</f>
        <v>1925.5448960789099</v>
      </c>
      <c r="C30" s="39">
        <f>IF(ISERROR(B30*3.6/1000000/'E Balans VL '!Z14*100),0,B30*3.6/1000000/'E Balans VL '!Z14*100)</f>
        <v>0.14924738804177065</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4729.1572539792796</v>
      </c>
      <c r="C32" s="39">
        <f>IF(ISERROR(B32*3.6/1000000/'E Balans VL '!Z8*100),0,B32*3.6/1000000/'E Balans VL '!Z8*100)</f>
        <v>3.8995533152515527E-2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2029.0616162545498</v>
      </c>
      <c r="C5" s="17">
        <f>IF(ISERROR('Eigen informatie GS &amp; warmtenet'!B59),0,'Eigen informatie GS &amp; warmtenet'!B59)</f>
        <v>0</v>
      </c>
      <c r="D5" s="30">
        <f>SUM(D6:D15)</f>
        <v>1414.2978565802614</v>
      </c>
      <c r="E5" s="17">
        <f>SUM(E6:E15)</f>
        <v>23.390940856756465</v>
      </c>
      <c r="F5" s="17">
        <f>SUM(F6:F15)</f>
        <v>761.15544069826637</v>
      </c>
      <c r="G5" s="18"/>
      <c r="H5" s="17"/>
      <c r="I5" s="17"/>
      <c r="J5" s="17">
        <f>SUM(J6:J15)</f>
        <v>7.9593257258663357</v>
      </c>
      <c r="K5" s="17"/>
      <c r="L5" s="17"/>
      <c r="M5" s="17"/>
      <c r="N5" s="17">
        <f>SUM(N6:N15)</f>
        <v>70.997474509114355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646.721462991718</v>
      </c>
      <c r="C9" s="33"/>
      <c r="D9" s="37">
        <f>IF( ISERROR(IND_andere_gas_kWh/1000),0,IND_andere_gas_kWh/1000)*0.902</f>
        <v>456.46973096404059</v>
      </c>
      <c r="E9" s="33">
        <f>C31*'E Balans VL '!I19/100/3.6*1000000</f>
        <v>10.862479230033493</v>
      </c>
      <c r="F9" s="33">
        <f>C31*'E Balans VL '!L19/100/3.6*1000000+C31*'E Balans VL '!N19/100/3.6*1000000</f>
        <v>505.57000526273623</v>
      </c>
      <c r="G9" s="34"/>
      <c r="H9" s="33"/>
      <c r="I9" s="33"/>
      <c r="J9" s="40">
        <f>C31*'E Balans VL '!D19/100/3.6*1000000+C31*'E Balans VL '!E19/100/3.6*1000000</f>
        <v>5.8328567102567168E-2</v>
      </c>
      <c r="K9" s="33"/>
      <c r="L9" s="33"/>
      <c r="M9" s="33"/>
      <c r="N9" s="33">
        <f>C31*'E Balans VL '!Y19/100/3.6*1000000</f>
        <v>47.932436140108877</v>
      </c>
      <c r="O9" s="33"/>
      <c r="P9" s="33"/>
      <c r="R9" s="32"/>
    </row>
    <row r="10" spans="1:18">
      <c r="A10" s="6" t="s">
        <v>40</v>
      </c>
      <c r="B10" s="37">
        <f t="shared" si="0"/>
        <v>538.03029757381296</v>
      </c>
      <c r="C10" s="33"/>
      <c r="D10" s="37">
        <f>IF( ISERROR(IND_voed_gas_kWh/1000),0,IND_voed_gas_kWh/1000)*0.902</f>
        <v>301.66162825247318</v>
      </c>
      <c r="E10" s="33">
        <f>C32*'E Balans VL '!I20/100/3.6*1000000</f>
        <v>4.908764856584062</v>
      </c>
      <c r="F10" s="33">
        <f>C32*'E Balans VL '!L20/100/3.6*1000000+C32*'E Balans VL '!N20/100/3.6*1000000</f>
        <v>86.801115601520024</v>
      </c>
      <c r="G10" s="34"/>
      <c r="H10" s="33"/>
      <c r="I10" s="33"/>
      <c r="J10" s="40">
        <f>C32*'E Balans VL '!D20/100/3.6*1000000+C32*'E Balans VL '!E20/100/3.6*1000000</f>
        <v>2.215961515146931</v>
      </c>
      <c r="K10" s="33"/>
      <c r="L10" s="33"/>
      <c r="M10" s="33"/>
      <c r="N10" s="33">
        <f>C32*'E Balans VL '!Y20/100/3.6*1000000</f>
        <v>7.8709590047082507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844.30985568901895</v>
      </c>
      <c r="C15" s="33"/>
      <c r="D15" s="37">
        <f>IF( ISERROR(IND_rest_gas_kWh/1000),0,IND_rest_gas_kWh/1000)*0.902</f>
        <v>656.16649736374745</v>
      </c>
      <c r="E15" s="33">
        <f>C37*'E Balans VL '!I15/100/3.6*1000000</f>
        <v>7.6196967701389084</v>
      </c>
      <c r="F15" s="33">
        <f>C37*'E Balans VL '!L15/100/3.6*1000000+C37*'E Balans VL '!N15/100/3.6*1000000</f>
        <v>168.78431983401009</v>
      </c>
      <c r="G15" s="34"/>
      <c r="H15" s="33"/>
      <c r="I15" s="33"/>
      <c r="J15" s="40">
        <f>C37*'E Balans VL '!D15/100/3.6*1000000+C37*'E Balans VL '!E15/100/3.6*1000000</f>
        <v>5.6850356436168372</v>
      </c>
      <c r="K15" s="33"/>
      <c r="L15" s="33"/>
      <c r="M15" s="33"/>
      <c r="N15" s="33">
        <f>C37*'E Balans VL '!Y15/100/3.6*1000000</f>
        <v>15.194079364297226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2029.0616162545498</v>
      </c>
      <c r="C18" s="21">
        <f>C5+C16</f>
        <v>0</v>
      </c>
      <c r="D18" s="21">
        <f>MAX((D5+D16),0)</f>
        <v>1414.2978565802614</v>
      </c>
      <c r="E18" s="21">
        <f>MAX((E5+E16),0)</f>
        <v>23.390940856756465</v>
      </c>
      <c r="F18" s="21">
        <f>MAX((F5+F16),0)</f>
        <v>761.15544069826637</v>
      </c>
      <c r="G18" s="21"/>
      <c r="H18" s="21"/>
      <c r="I18" s="21"/>
      <c r="J18" s="21">
        <f>MAX((J5+J16),0)</f>
        <v>7.9593257258663357</v>
      </c>
      <c r="K18" s="21"/>
      <c r="L18" s="21">
        <f>MAX((L5+L16),0)</f>
        <v>0</v>
      </c>
      <c r="M18" s="21"/>
      <c r="N18" s="21">
        <f>MAX((N5+N16),0)</f>
        <v>70.997474509114355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0.20792152965343635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421.88559501271988</v>
      </c>
      <c r="C22" s="23">
        <f ca="1">C18*C20</f>
        <v>0</v>
      </c>
      <c r="D22" s="23">
        <f>D18*D20</f>
        <v>285.68816702921282</v>
      </c>
      <c r="E22" s="23">
        <f>E18*E20</f>
        <v>5.3097435744837176</v>
      </c>
      <c r="F22" s="23">
        <f>F18*F20</f>
        <v>203.22850266643712</v>
      </c>
      <c r="G22" s="23"/>
      <c r="H22" s="23"/>
      <c r="I22" s="23"/>
      <c r="J22" s="23">
        <f>J18*J20</f>
        <v>2.8176013069566825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646.721462991718</v>
      </c>
      <c r="C31" s="39">
        <f>IF(ISERROR(B31*3.6/1000000/'E Balans VL '!Z19*100),0,B31*3.6/1000000/'E Balans VL '!Z19*100)</f>
        <v>2.866659953163711E-2</v>
      </c>
      <c r="D31" s="238" t="s">
        <v>718</v>
      </c>
    </row>
    <row r="32" spans="1:18">
      <c r="A32" s="172" t="s">
        <v>40</v>
      </c>
      <c r="B32" s="37">
        <f>IF( ISERROR(IND_voed_ele_kWh/1000),0,IND_voed_ele_kWh/1000)</f>
        <v>538.03029757381296</v>
      </c>
      <c r="C32" s="39">
        <f>IF(ISERROR(B32*3.6/1000000/'E Balans VL '!Z20*100),0,B32*3.6/1000000/'E Balans VL '!Z20*100)</f>
        <v>1.7971755348132907E-2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844.30985568901895</v>
      </c>
      <c r="C37" s="39">
        <f>IF(ISERROR(B37*3.6/1000000/'E Balans VL '!Z15*100),0,B37*3.6/1000000/'E Balans VL '!Z15*100)</f>
        <v>6.2802898279122887E-3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336.85170420003197</v>
      </c>
      <c r="C5" s="17">
        <f>'Eigen informatie GS &amp; warmtenet'!B60</f>
        <v>0</v>
      </c>
      <c r="D5" s="30">
        <f>IF(ISERROR(SUM(LB_lb_gas_kWh,LB_rest_gas_kWh)/1000),0,SUM(LB_lb_gas_kWh,LB_rest_gas_kWh)/1000)*0.902</f>
        <v>187.36380023871428</v>
      </c>
      <c r="E5" s="17">
        <f>B17*'E Balans VL '!I25/3.6*1000000/100</f>
        <v>3.5275839718028128</v>
      </c>
      <c r="F5" s="17">
        <f>B17*('E Balans VL '!L25/3.6*1000000+'E Balans VL '!N25/3.6*1000000)/100</f>
        <v>1441.9812469122228</v>
      </c>
      <c r="G5" s="18"/>
      <c r="H5" s="17"/>
      <c r="I5" s="17"/>
      <c r="J5" s="17">
        <f>('E Balans VL '!D25+'E Balans VL '!E25)/3.6*1000000*landbouw!B17/100</f>
        <v>30.083876438395041</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336.85170420003197</v>
      </c>
      <c r="C8" s="21">
        <f>C5+C6</f>
        <v>0</v>
      </c>
      <c r="D8" s="21">
        <f>MAX((D5+D6),0)</f>
        <v>187.36380023871428</v>
      </c>
      <c r="E8" s="21">
        <f>MAX((E5+E6),0)</f>
        <v>3.5275839718028128</v>
      </c>
      <c r="F8" s="21">
        <f>MAX((F5+F6),0)</f>
        <v>1441.9812469122228</v>
      </c>
      <c r="G8" s="21"/>
      <c r="H8" s="21"/>
      <c r="I8" s="21"/>
      <c r="J8" s="21">
        <f>MAX((J5+J6),0)</f>
        <v>30.083876438395041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0.20792152965343635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70.038721603637526</v>
      </c>
      <c r="C12" s="23">
        <f ca="1">C8*C10</f>
        <v>0</v>
      </c>
      <c r="D12" s="23">
        <f>D8*D10</f>
        <v>37.847487648220287</v>
      </c>
      <c r="E12" s="23">
        <f>E8*E10</f>
        <v>0.8007615615992385</v>
      </c>
      <c r="F12" s="23">
        <f>F8*F10</f>
        <v>385.00899292556352</v>
      </c>
      <c r="G12" s="23"/>
      <c r="H12" s="23"/>
      <c r="I12" s="23"/>
      <c r="J12" s="23">
        <f>J8*J10</f>
        <v>10.649692259191845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5.1847979715916655E-2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98.620109350127848</v>
      </c>
      <c r="C26" s="248">
        <f>B26*'GWP N2O_CH4'!B5</f>
        <v>2071.0222963526849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13.264859424818102</v>
      </c>
      <c r="C27" s="248">
        <f>B27*'GWP N2O_CH4'!B5</f>
        <v>278.56204792118012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1.3940039405055309</v>
      </c>
      <c r="C28" s="248">
        <f>B28*'GWP N2O_CH4'!B4</f>
        <v>432.14122155671458</v>
      </c>
      <c r="D28" s="50"/>
    </row>
    <row r="29" spans="1:4">
      <c r="A29" s="41" t="s">
        <v>276</v>
      </c>
      <c r="B29" s="248">
        <f>B34*'ha_N2O bodem landbouw'!B4</f>
        <v>15.699873828336415</v>
      </c>
      <c r="C29" s="248">
        <f>B29*'GWP N2O_CH4'!B4</f>
        <v>4866.960886784289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2.5946103475142294E-3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5.7001629169314904E-6</v>
      </c>
      <c r="C5" s="443" t="s">
        <v>210</v>
      </c>
      <c r="D5" s="428">
        <f>SUM(D6:D11)</f>
        <v>2.8136032634284502E-5</v>
      </c>
      <c r="E5" s="428">
        <f>SUM(E6:E11)</f>
        <v>3.3941421027860914E-3</v>
      </c>
      <c r="F5" s="441" t="s">
        <v>210</v>
      </c>
      <c r="G5" s="428">
        <f>SUM(G6:G11)</f>
        <v>0.65516412143302438</v>
      </c>
      <c r="H5" s="428">
        <f>SUM(H6:H11)</f>
        <v>0.10190997066122506</v>
      </c>
      <c r="I5" s="443" t="s">
        <v>210</v>
      </c>
      <c r="J5" s="443" t="s">
        <v>210</v>
      </c>
      <c r="K5" s="443" t="s">
        <v>210</v>
      </c>
      <c r="L5" s="443" t="s">
        <v>210</v>
      </c>
      <c r="M5" s="428">
        <f>SUM(M6:M11)</f>
        <v>3.2914343434170296E-2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1.162879929082665E-6</v>
      </c>
      <c r="C6" s="429"/>
      <c r="D6" s="429">
        <f>vkm_GW_PW*SUMIFS(TableVerdeelsleutelVkm[CNG],TableVerdeelsleutelVkm[Voertuigtype],"Lichte voertuigen")*SUMIFS(TableECFTransport[EnergieConsumptieFactor (PJ per km)],TableECFTransport[Index],CONCATENATE($A6,"_CNG_CNG"))</f>
        <v>5.5158363216009459E-6</v>
      </c>
      <c r="E6" s="431">
        <f>vkm_GW_PW*SUMIFS(TableVerdeelsleutelVkm[LPG],TableVerdeelsleutelVkm[Voertuigtype],"Lichte voertuigen")*SUMIFS(TableECFTransport[EnergieConsumptieFactor (PJ per km)],TableECFTransport[Index],CONCATENATE($A6,"_LPG_LPG"))</f>
        <v>5.7077399769728395E-4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7.7309947150504585E-2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1.9249311971812861E-2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4.2163999305179761E-3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2.7214068286923739E-2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7.5579767070894609E-7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1.172394251871036E-3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3.9344427742805997E-7</v>
      </c>
      <c r="C8" s="429"/>
      <c r="D8" s="431">
        <f>vkm_NGW_PW*SUMIFS(TableVerdeelsleutelVkm[CNG],TableVerdeelsleutelVkm[Voertuigtype],"Lichte voertuigen")*SUMIFS(TableECFTransport[EnergieConsumptieFactor (PJ per km)],TableECFTransport[Index],CONCATENATE($A8,"_CNG_CNG"))</f>
        <v>3.1572719008593365E-6</v>
      </c>
      <c r="E8" s="431">
        <f>vkm_NGW_PW*SUMIFS(TableVerdeelsleutelVkm[LPG],TableVerdeelsleutelVkm[Voertuigtype],"Lichte voertuigen")*SUMIFS(TableECFTransport[EnergieConsumptieFactor (PJ per km)],TableECFTransport[Index],CONCATENATE($A8,"_LPG_LPG"))</f>
        <v>3.0611435560829153E-4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3.9740893167198942E-2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1.0437860178417949E-2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2.1924082876743078E-3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6.497612833366204E-3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2.1727643676184151E-7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2.7992176612256467E-4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4.1438387104207654E-6</v>
      </c>
      <c r="C10" s="429"/>
      <c r="D10" s="431">
        <f>vkm_SW_PW*SUMIFS(TableVerdeelsleutelVkm[CNG],TableVerdeelsleutelVkm[Voertuigtype],"Lichte voertuigen")*SUMIFS(TableECFTransport[EnergieConsumptieFactor (PJ per km)],TableECFTransport[Index],CONCATENATE($A10,"_CNG_CNG"))</f>
        <v>1.9462924411824219E-5</v>
      </c>
      <c r="E10" s="431">
        <f>vkm_SW_PW*SUMIFS(TableVerdeelsleutelVkm[LPG],TableVerdeelsleutelVkm[Voertuigtype],"Lichte voertuigen")*SUMIFS(TableECFTransport[EnergieConsumptieFactor (PJ per km)],TableECFTransport[Index],CONCATENATE($A10,"_LPG_LPG"))</f>
        <v>2.517253749480516E-3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0.31355580792631177</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7.2216257942529422E-2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1.6831484688701003E-2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0.19084579206871913</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5.5674943573634926E-6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8.2217345092834068E-3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1.583378588036525</v>
      </c>
      <c r="C14" s="21"/>
      <c r="D14" s="21">
        <f t="shared" ref="D14:M14" si="0">((D5)*10^9/3600)+D12</f>
        <v>7.8155646206345848</v>
      </c>
      <c r="E14" s="21">
        <f t="shared" si="0"/>
        <v>942.81725077391434</v>
      </c>
      <c r="F14" s="21"/>
      <c r="G14" s="21">
        <f t="shared" si="0"/>
        <v>181990.03373139567</v>
      </c>
      <c r="H14" s="21">
        <f t="shared" si="0"/>
        <v>28308.325183673631</v>
      </c>
      <c r="I14" s="21"/>
      <c r="J14" s="21"/>
      <c r="K14" s="21"/>
      <c r="L14" s="21"/>
      <c r="M14" s="21">
        <f t="shared" si="0"/>
        <v>9142.8731761584149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0.20792152965343635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0.32921849804505249</v>
      </c>
      <c r="C18" s="23"/>
      <c r="D18" s="23">
        <f t="shared" ref="D18:M18" si="1">D14*D16</f>
        <v>1.5787440533681862</v>
      </c>
      <c r="E18" s="23">
        <f t="shared" si="1"/>
        <v>214.01951592567858</v>
      </c>
      <c r="F18" s="23"/>
      <c r="G18" s="23">
        <f t="shared" si="1"/>
        <v>48591.339006282644</v>
      </c>
      <c r="H18" s="23">
        <f t="shared" si="1"/>
        <v>7048.7729707347344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9.4923713362590097E-3</v>
      </c>
      <c r="H50" s="320">
        <f t="shared" si="2"/>
        <v>0</v>
      </c>
      <c r="I50" s="320">
        <f t="shared" si="2"/>
        <v>0</v>
      </c>
      <c r="J50" s="320">
        <f t="shared" si="2"/>
        <v>0</v>
      </c>
      <c r="K50" s="320">
        <f t="shared" si="2"/>
        <v>0</v>
      </c>
      <c r="L50" s="320">
        <f t="shared" si="2"/>
        <v>0</v>
      </c>
      <c r="M50" s="320">
        <f t="shared" si="2"/>
        <v>4.0365053221463242E-4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9.4923713362590097E-3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4.0365053221463242E-4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2636.7698156275028</v>
      </c>
      <c r="H54" s="21">
        <f t="shared" si="3"/>
        <v>0</v>
      </c>
      <c r="I54" s="21">
        <f t="shared" si="3"/>
        <v>0</v>
      </c>
      <c r="J54" s="21">
        <f t="shared" si="3"/>
        <v>0</v>
      </c>
      <c r="K54" s="21">
        <f t="shared" si="3"/>
        <v>0</v>
      </c>
      <c r="L54" s="21">
        <f t="shared" si="3"/>
        <v>0</v>
      </c>
      <c r="M54" s="21">
        <f t="shared" si="3"/>
        <v>112.1251478373979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0.20792152965343635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704.01754077254327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21761.736069344828</v>
      </c>
      <c r="D10" s="684">
        <f ca="1">tertiair!C16</f>
        <v>0</v>
      </c>
      <c r="E10" s="684">
        <f ca="1">tertiair!D16</f>
        <v>17427.678578179795</v>
      </c>
      <c r="F10" s="684">
        <f>tertiair!E16</f>
        <v>491.22749361891431</v>
      </c>
      <c r="G10" s="684">
        <f ca="1">tertiair!F16</f>
        <v>3522.8645310440188</v>
      </c>
      <c r="H10" s="684">
        <f>tertiair!G16</f>
        <v>0</v>
      </c>
      <c r="I10" s="684">
        <f>tertiair!H16</f>
        <v>0</v>
      </c>
      <c r="J10" s="684">
        <f>tertiair!I16</f>
        <v>0</v>
      </c>
      <c r="K10" s="684">
        <f>tertiair!J16</f>
        <v>0</v>
      </c>
      <c r="L10" s="684">
        <f>tertiair!K16</f>
        <v>0</v>
      </c>
      <c r="M10" s="684">
        <f ca="1">tertiair!L16</f>
        <v>0</v>
      </c>
      <c r="N10" s="684">
        <f>tertiair!M16</f>
        <v>0</v>
      </c>
      <c r="O10" s="684">
        <f ca="1">tertiair!N16</f>
        <v>642.92042822570397</v>
      </c>
      <c r="P10" s="684">
        <f>tertiair!O16</f>
        <v>1.5633333333333335</v>
      </c>
      <c r="Q10" s="685">
        <f>tertiair!P16</f>
        <v>19.066666666666666</v>
      </c>
      <c r="R10" s="687">
        <f ca="1">SUM(C10:Q10)</f>
        <v>43867.057100413258</v>
      </c>
      <c r="S10" s="67"/>
    </row>
    <row r="11" spans="1:19" s="453" customFormat="1">
      <c r="A11" s="799" t="s">
        <v>224</v>
      </c>
      <c r="B11" s="804"/>
      <c r="C11" s="684">
        <f>huishoudens!B8</f>
        <v>44070.013949317137</v>
      </c>
      <c r="D11" s="684">
        <f>huishoudens!C8</f>
        <v>0</v>
      </c>
      <c r="E11" s="684">
        <f>huishoudens!D8</f>
        <v>83809.307109234505</v>
      </c>
      <c r="F11" s="684">
        <f>huishoudens!E8</f>
        <v>16552.358151687302</v>
      </c>
      <c r="G11" s="684">
        <f>huishoudens!F8</f>
        <v>39321.855957002306</v>
      </c>
      <c r="H11" s="684">
        <f>huishoudens!G8</f>
        <v>0</v>
      </c>
      <c r="I11" s="684">
        <f>huishoudens!H8</f>
        <v>0</v>
      </c>
      <c r="J11" s="684">
        <f>huishoudens!I8</f>
        <v>0</v>
      </c>
      <c r="K11" s="684">
        <f>huishoudens!J8</f>
        <v>95.239712153258807</v>
      </c>
      <c r="L11" s="684">
        <f>huishoudens!K8</f>
        <v>0</v>
      </c>
      <c r="M11" s="684">
        <f>huishoudens!L8</f>
        <v>0</v>
      </c>
      <c r="N11" s="684">
        <f>huishoudens!M8</f>
        <v>0</v>
      </c>
      <c r="O11" s="684">
        <f>huishoudens!N8</f>
        <v>10408.610820327001</v>
      </c>
      <c r="P11" s="684">
        <f>huishoudens!O8</f>
        <v>184.47333333333336</v>
      </c>
      <c r="Q11" s="685">
        <f>huishoudens!P8</f>
        <v>209.73333333333335</v>
      </c>
      <c r="R11" s="687">
        <f>SUM(C11:Q11)</f>
        <v>194651.59236638818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2029.0616162545498</v>
      </c>
      <c r="D13" s="684">
        <f>industrie!C18</f>
        <v>0</v>
      </c>
      <c r="E13" s="684">
        <f>industrie!D18</f>
        <v>1414.2978565802614</v>
      </c>
      <c r="F13" s="684">
        <f>industrie!E18</f>
        <v>23.390940856756465</v>
      </c>
      <c r="G13" s="684">
        <f>industrie!F18</f>
        <v>761.15544069826637</v>
      </c>
      <c r="H13" s="684">
        <f>industrie!G18</f>
        <v>0</v>
      </c>
      <c r="I13" s="684">
        <f>industrie!H18</f>
        <v>0</v>
      </c>
      <c r="J13" s="684">
        <f>industrie!I18</f>
        <v>0</v>
      </c>
      <c r="K13" s="684">
        <f>industrie!J18</f>
        <v>7.9593257258663357</v>
      </c>
      <c r="L13" s="684">
        <f>industrie!K18</f>
        <v>0</v>
      </c>
      <c r="M13" s="684">
        <f>industrie!L18</f>
        <v>0</v>
      </c>
      <c r="N13" s="684">
        <f>industrie!M18</f>
        <v>0</v>
      </c>
      <c r="O13" s="684">
        <f>industrie!N18</f>
        <v>70.997474509114355</v>
      </c>
      <c r="P13" s="684">
        <f>industrie!O18</f>
        <v>0</v>
      </c>
      <c r="Q13" s="685">
        <f>industrie!P18</f>
        <v>0</v>
      </c>
      <c r="R13" s="687">
        <f>SUM(C13:Q13)</f>
        <v>4306.8626546248142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67860.811634916507</v>
      </c>
      <c r="D16" s="717">
        <f t="shared" ref="D16:R16" ca="1" si="0">SUM(D9:D15)</f>
        <v>0</v>
      </c>
      <c r="E16" s="717">
        <f t="shared" ca="1" si="0"/>
        <v>102651.28354399456</v>
      </c>
      <c r="F16" s="717">
        <f t="shared" si="0"/>
        <v>17066.976586162971</v>
      </c>
      <c r="G16" s="717">
        <f t="shared" ca="1" si="0"/>
        <v>43605.875928744594</v>
      </c>
      <c r="H16" s="717">
        <f t="shared" si="0"/>
        <v>0</v>
      </c>
      <c r="I16" s="717">
        <f t="shared" si="0"/>
        <v>0</v>
      </c>
      <c r="J16" s="717">
        <f t="shared" si="0"/>
        <v>0</v>
      </c>
      <c r="K16" s="717">
        <f t="shared" si="0"/>
        <v>103.19903787912514</v>
      </c>
      <c r="L16" s="717">
        <f t="shared" si="0"/>
        <v>0</v>
      </c>
      <c r="M16" s="717">
        <f t="shared" ca="1" si="0"/>
        <v>0</v>
      </c>
      <c r="N16" s="717">
        <f t="shared" si="0"/>
        <v>0</v>
      </c>
      <c r="O16" s="717">
        <f t="shared" ca="1" si="0"/>
        <v>11122.52872306182</v>
      </c>
      <c r="P16" s="717">
        <f t="shared" si="0"/>
        <v>186.03666666666669</v>
      </c>
      <c r="Q16" s="717">
        <f t="shared" si="0"/>
        <v>228.8</v>
      </c>
      <c r="R16" s="717">
        <f t="shared" ca="1" si="0"/>
        <v>242825.51212142626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2636.7698156275028</v>
      </c>
      <c r="I19" s="684">
        <f>transport!H54</f>
        <v>0</v>
      </c>
      <c r="J19" s="684">
        <f>transport!I54</f>
        <v>0</v>
      </c>
      <c r="K19" s="684">
        <f>transport!J54</f>
        <v>0</v>
      </c>
      <c r="L19" s="684">
        <f>transport!K54</f>
        <v>0</v>
      </c>
      <c r="M19" s="684">
        <f>transport!L54</f>
        <v>0</v>
      </c>
      <c r="N19" s="684">
        <f>transport!M54</f>
        <v>112.1251478373979</v>
      </c>
      <c r="O19" s="684">
        <f>transport!N54</f>
        <v>0</v>
      </c>
      <c r="P19" s="684">
        <f>transport!O54</f>
        <v>0</v>
      </c>
      <c r="Q19" s="685">
        <f>transport!P54</f>
        <v>0</v>
      </c>
      <c r="R19" s="687">
        <f>SUM(C19:Q19)</f>
        <v>2748.8949634649007</v>
      </c>
      <c r="S19" s="67"/>
    </row>
    <row r="20" spans="1:19" s="453" customFormat="1">
      <c r="A20" s="799" t="s">
        <v>306</v>
      </c>
      <c r="B20" s="804"/>
      <c r="C20" s="684">
        <f>transport!B14</f>
        <v>1.583378588036525</v>
      </c>
      <c r="D20" s="684">
        <f>transport!C14</f>
        <v>0</v>
      </c>
      <c r="E20" s="684">
        <f>transport!D14</f>
        <v>7.8155646206345848</v>
      </c>
      <c r="F20" s="684">
        <f>transport!E14</f>
        <v>942.81725077391434</v>
      </c>
      <c r="G20" s="684">
        <f>transport!F14</f>
        <v>0</v>
      </c>
      <c r="H20" s="684">
        <f>transport!G14</f>
        <v>181990.03373139567</v>
      </c>
      <c r="I20" s="684">
        <f>transport!H14</f>
        <v>28308.325183673631</v>
      </c>
      <c r="J20" s="684">
        <f>transport!I14</f>
        <v>0</v>
      </c>
      <c r="K20" s="684">
        <f>transport!J14</f>
        <v>0</v>
      </c>
      <c r="L20" s="684">
        <f>transport!K14</f>
        <v>0</v>
      </c>
      <c r="M20" s="684">
        <f>transport!L14</f>
        <v>0</v>
      </c>
      <c r="N20" s="684">
        <f>transport!M14</f>
        <v>9142.8731761584149</v>
      </c>
      <c r="O20" s="684">
        <f>transport!N14</f>
        <v>0</v>
      </c>
      <c r="P20" s="684">
        <f>transport!O14</f>
        <v>0</v>
      </c>
      <c r="Q20" s="685">
        <f>transport!P14</f>
        <v>0</v>
      </c>
      <c r="R20" s="687">
        <f>SUM(C20:Q20)</f>
        <v>220393.4482852103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1.583378588036525</v>
      </c>
      <c r="D22" s="802">
        <f t="shared" ref="D22:R22" si="1">SUM(D18:D21)</f>
        <v>0</v>
      </c>
      <c r="E22" s="802">
        <f t="shared" si="1"/>
        <v>7.8155646206345848</v>
      </c>
      <c r="F22" s="802">
        <f t="shared" si="1"/>
        <v>942.81725077391434</v>
      </c>
      <c r="G22" s="802">
        <f t="shared" si="1"/>
        <v>0</v>
      </c>
      <c r="H22" s="802">
        <f t="shared" si="1"/>
        <v>184626.80354702318</v>
      </c>
      <c r="I22" s="802">
        <f t="shared" si="1"/>
        <v>28308.325183673631</v>
      </c>
      <c r="J22" s="802">
        <f t="shared" si="1"/>
        <v>0</v>
      </c>
      <c r="K22" s="802">
        <f t="shared" si="1"/>
        <v>0</v>
      </c>
      <c r="L22" s="802">
        <f t="shared" si="1"/>
        <v>0</v>
      </c>
      <c r="M22" s="802">
        <f t="shared" si="1"/>
        <v>0</v>
      </c>
      <c r="N22" s="802">
        <f t="shared" si="1"/>
        <v>9254.9983239958128</v>
      </c>
      <c r="O22" s="802">
        <f t="shared" si="1"/>
        <v>0</v>
      </c>
      <c r="P22" s="802">
        <f t="shared" si="1"/>
        <v>0</v>
      </c>
      <c r="Q22" s="802">
        <f t="shared" si="1"/>
        <v>0</v>
      </c>
      <c r="R22" s="802">
        <f t="shared" si="1"/>
        <v>223142.3432486752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336.85170420003197</v>
      </c>
      <c r="D24" s="684">
        <f>+landbouw!C8</f>
        <v>0</v>
      </c>
      <c r="E24" s="684">
        <f>+landbouw!D8</f>
        <v>187.36380023871428</v>
      </c>
      <c r="F24" s="684">
        <f>+landbouw!E8</f>
        <v>3.5275839718028128</v>
      </c>
      <c r="G24" s="684">
        <f>+landbouw!F8</f>
        <v>1441.9812469122228</v>
      </c>
      <c r="H24" s="684">
        <f>+landbouw!G8</f>
        <v>0</v>
      </c>
      <c r="I24" s="684">
        <f>+landbouw!H8</f>
        <v>0</v>
      </c>
      <c r="J24" s="684">
        <f>+landbouw!I8</f>
        <v>0</v>
      </c>
      <c r="K24" s="684">
        <f>+landbouw!J8</f>
        <v>30.083876438395041</v>
      </c>
      <c r="L24" s="684">
        <f>+landbouw!K8</f>
        <v>0</v>
      </c>
      <c r="M24" s="684">
        <f>+landbouw!L8</f>
        <v>0</v>
      </c>
      <c r="N24" s="684">
        <f>+landbouw!M8</f>
        <v>0</v>
      </c>
      <c r="O24" s="684">
        <f>+landbouw!N8</f>
        <v>0</v>
      </c>
      <c r="P24" s="684">
        <f>+landbouw!O8</f>
        <v>0</v>
      </c>
      <c r="Q24" s="685">
        <f>+landbouw!P8</f>
        <v>0</v>
      </c>
      <c r="R24" s="687">
        <f>SUM(C24:Q24)</f>
        <v>1999.8082117611668</v>
      </c>
      <c r="S24" s="67"/>
    </row>
    <row r="25" spans="1:19" s="453" customFormat="1" ht="15" thickBot="1">
      <c r="A25" s="821" t="s">
        <v>912</v>
      </c>
      <c r="B25" s="978"/>
      <c r="C25" s="979">
        <f>IF(Onbekend_ele_kWh="---",0,Onbekend_ele_kWh)/1000+IF(REST_rest_ele_kWh="---",0,REST_rest_ele_kWh)/1000</f>
        <v>1730.5274697567002</v>
      </c>
      <c r="D25" s="979"/>
      <c r="E25" s="979">
        <f>IF(onbekend_gas_kWh="---",0,onbekend_gas_kWh)/1000+IF(REST_rest_gas_kWh="---",0,REST_rest_gas_kWh)/1000</f>
        <v>4044.7879379248297</v>
      </c>
      <c r="F25" s="979"/>
      <c r="G25" s="979"/>
      <c r="H25" s="979"/>
      <c r="I25" s="979"/>
      <c r="J25" s="979"/>
      <c r="K25" s="979"/>
      <c r="L25" s="979"/>
      <c r="M25" s="979"/>
      <c r="N25" s="979"/>
      <c r="O25" s="979"/>
      <c r="P25" s="979"/>
      <c r="Q25" s="980"/>
      <c r="R25" s="687">
        <f>SUM(C25:Q25)</f>
        <v>5775.3154076815299</v>
      </c>
      <c r="S25" s="67"/>
    </row>
    <row r="26" spans="1:19" s="453" customFormat="1" ht="15.75" thickBot="1">
      <c r="A26" s="690" t="s">
        <v>913</v>
      </c>
      <c r="B26" s="807"/>
      <c r="C26" s="802">
        <f>SUM(C24:C25)</f>
        <v>2067.3791739567323</v>
      </c>
      <c r="D26" s="802">
        <f t="shared" ref="D26:R26" si="2">SUM(D24:D25)</f>
        <v>0</v>
      </c>
      <c r="E26" s="802">
        <f t="shared" si="2"/>
        <v>4232.151738163544</v>
      </c>
      <c r="F26" s="802">
        <f t="shared" si="2"/>
        <v>3.5275839718028128</v>
      </c>
      <c r="G26" s="802">
        <f t="shared" si="2"/>
        <v>1441.9812469122228</v>
      </c>
      <c r="H26" s="802">
        <f t="shared" si="2"/>
        <v>0</v>
      </c>
      <c r="I26" s="802">
        <f t="shared" si="2"/>
        <v>0</v>
      </c>
      <c r="J26" s="802">
        <f t="shared" si="2"/>
        <v>0</v>
      </c>
      <c r="K26" s="802">
        <f t="shared" si="2"/>
        <v>30.083876438395041</v>
      </c>
      <c r="L26" s="802">
        <f t="shared" si="2"/>
        <v>0</v>
      </c>
      <c r="M26" s="802">
        <f t="shared" si="2"/>
        <v>0</v>
      </c>
      <c r="N26" s="802">
        <f t="shared" si="2"/>
        <v>0</v>
      </c>
      <c r="O26" s="802">
        <f t="shared" si="2"/>
        <v>0</v>
      </c>
      <c r="P26" s="802">
        <f t="shared" si="2"/>
        <v>0</v>
      </c>
      <c r="Q26" s="802">
        <f t="shared" si="2"/>
        <v>0</v>
      </c>
      <c r="R26" s="802">
        <f t="shared" si="2"/>
        <v>7775.1236194426965</v>
      </c>
      <c r="S26" s="67"/>
    </row>
    <row r="27" spans="1:19" s="453" customFormat="1" ht="17.25" thickTop="1" thickBot="1">
      <c r="A27" s="691" t="s">
        <v>115</v>
      </c>
      <c r="B27" s="794"/>
      <c r="C27" s="692">
        <f ca="1">C22+C16+C26</f>
        <v>69929.774187461284</v>
      </c>
      <c r="D27" s="692">
        <f t="shared" ref="D27:R27" ca="1" si="3">D22+D16+D26</f>
        <v>0</v>
      </c>
      <c r="E27" s="692">
        <f t="shared" ca="1" si="3"/>
        <v>106891.25084677874</v>
      </c>
      <c r="F27" s="692">
        <f t="shared" si="3"/>
        <v>18013.321420908687</v>
      </c>
      <c r="G27" s="692">
        <f t="shared" ca="1" si="3"/>
        <v>45047.85717565682</v>
      </c>
      <c r="H27" s="692">
        <f t="shared" si="3"/>
        <v>184626.80354702318</v>
      </c>
      <c r="I27" s="692">
        <f t="shared" si="3"/>
        <v>28308.325183673631</v>
      </c>
      <c r="J27" s="692">
        <f t="shared" si="3"/>
        <v>0</v>
      </c>
      <c r="K27" s="692">
        <f t="shared" si="3"/>
        <v>133.28291431752018</v>
      </c>
      <c r="L27" s="692">
        <f t="shared" si="3"/>
        <v>0</v>
      </c>
      <c r="M27" s="692">
        <f t="shared" ca="1" si="3"/>
        <v>0</v>
      </c>
      <c r="N27" s="692">
        <f t="shared" si="3"/>
        <v>9254.9983239958128</v>
      </c>
      <c r="O27" s="692">
        <f t="shared" ca="1" si="3"/>
        <v>11122.52872306182</v>
      </c>
      <c r="P27" s="692">
        <f t="shared" si="3"/>
        <v>186.03666666666669</v>
      </c>
      <c r="Q27" s="692">
        <f t="shared" si="3"/>
        <v>228.8</v>
      </c>
      <c r="R27" s="692">
        <f t="shared" ca="1" si="3"/>
        <v>473742.97898954415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4524.7334514525364</v>
      </c>
      <c r="D40" s="684">
        <f ca="1">tertiair!C20</f>
        <v>0</v>
      </c>
      <c r="E40" s="684">
        <f ca="1">tertiair!D20</f>
        <v>3520.3910727923189</v>
      </c>
      <c r="F40" s="684">
        <f>tertiair!E20</f>
        <v>111.50864105149356</v>
      </c>
      <c r="G40" s="684">
        <f ca="1">tertiair!F20</f>
        <v>940.60482978875302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9097.2379950851009</v>
      </c>
    </row>
    <row r="41" spans="1:18">
      <c r="A41" s="812" t="s">
        <v>224</v>
      </c>
      <c r="B41" s="819"/>
      <c r="C41" s="684">
        <f ca="1">huishoudens!B12</f>
        <v>9163.1047121902975</v>
      </c>
      <c r="D41" s="684">
        <f ca="1">huishoudens!C12</f>
        <v>0</v>
      </c>
      <c r="E41" s="684">
        <f>huishoudens!D12</f>
        <v>16929.480036065372</v>
      </c>
      <c r="F41" s="684">
        <f>huishoudens!E12</f>
        <v>3757.3853004330176</v>
      </c>
      <c r="G41" s="684">
        <f>huishoudens!F12</f>
        <v>10498.935540519617</v>
      </c>
      <c r="H41" s="684">
        <f>huishoudens!G12</f>
        <v>0</v>
      </c>
      <c r="I41" s="684">
        <f>huishoudens!H12</f>
        <v>0</v>
      </c>
      <c r="J41" s="684">
        <f>huishoudens!I12</f>
        <v>0</v>
      </c>
      <c r="K41" s="684">
        <f>huishoudens!J12</f>
        <v>33.714858102253615</v>
      </c>
      <c r="L41" s="684">
        <f>huishoudens!K12</f>
        <v>0</v>
      </c>
      <c r="M41" s="684">
        <f>huishoudens!L12</f>
        <v>0</v>
      </c>
      <c r="N41" s="684">
        <f>huishoudens!M12</f>
        <v>0</v>
      </c>
      <c r="O41" s="684">
        <f>huishoudens!N12</f>
        <v>0</v>
      </c>
      <c r="P41" s="684">
        <f>huishoudens!O12</f>
        <v>0</v>
      </c>
      <c r="Q41" s="759">
        <f>huishoudens!P12</f>
        <v>0</v>
      </c>
      <c r="R41" s="840">
        <f t="shared" ca="1" si="4"/>
        <v>40382.620447310561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421.88559501271988</v>
      </c>
      <c r="D43" s="684">
        <f ca="1">industrie!C22</f>
        <v>0</v>
      </c>
      <c r="E43" s="684">
        <f>industrie!D22</f>
        <v>285.68816702921282</v>
      </c>
      <c r="F43" s="684">
        <f>industrie!E22</f>
        <v>5.3097435744837176</v>
      </c>
      <c r="G43" s="684">
        <f>industrie!F22</f>
        <v>203.22850266643712</v>
      </c>
      <c r="H43" s="684">
        <f>industrie!G22</f>
        <v>0</v>
      </c>
      <c r="I43" s="684">
        <f>industrie!H22</f>
        <v>0</v>
      </c>
      <c r="J43" s="684">
        <f>industrie!I22</f>
        <v>0</v>
      </c>
      <c r="K43" s="684">
        <f>industrie!J22</f>
        <v>2.8176013069566825</v>
      </c>
      <c r="L43" s="684">
        <f>industrie!K22</f>
        <v>0</v>
      </c>
      <c r="M43" s="684">
        <f>industrie!L22</f>
        <v>0</v>
      </c>
      <c r="N43" s="684">
        <f>industrie!M22</f>
        <v>0</v>
      </c>
      <c r="O43" s="684">
        <f>industrie!N22</f>
        <v>0</v>
      </c>
      <c r="P43" s="684">
        <f>industrie!O22</f>
        <v>0</v>
      </c>
      <c r="Q43" s="759">
        <f>industrie!P22</f>
        <v>0</v>
      </c>
      <c r="R43" s="839">
        <f t="shared" ca="1" si="4"/>
        <v>918.9296095898103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14109.723758655555</v>
      </c>
      <c r="D46" s="717">
        <f t="shared" ref="D46:Q46" ca="1" si="5">SUM(D39:D45)</f>
        <v>0</v>
      </c>
      <c r="E46" s="717">
        <f t="shared" ca="1" si="5"/>
        <v>20735.559275886902</v>
      </c>
      <c r="F46" s="717">
        <f t="shared" si="5"/>
        <v>3874.2036850589948</v>
      </c>
      <c r="G46" s="717">
        <f t="shared" ca="1" si="5"/>
        <v>11642.768872974808</v>
      </c>
      <c r="H46" s="717">
        <f t="shared" si="5"/>
        <v>0</v>
      </c>
      <c r="I46" s="717">
        <f t="shared" si="5"/>
        <v>0</v>
      </c>
      <c r="J46" s="717">
        <f t="shared" si="5"/>
        <v>0</v>
      </c>
      <c r="K46" s="717">
        <f t="shared" si="5"/>
        <v>36.532459409210297</v>
      </c>
      <c r="L46" s="717">
        <f t="shared" si="5"/>
        <v>0</v>
      </c>
      <c r="M46" s="717">
        <f t="shared" ca="1" si="5"/>
        <v>0</v>
      </c>
      <c r="N46" s="717">
        <f t="shared" si="5"/>
        <v>0</v>
      </c>
      <c r="O46" s="717">
        <f t="shared" ca="1" si="5"/>
        <v>0</v>
      </c>
      <c r="P46" s="717">
        <f t="shared" si="5"/>
        <v>0</v>
      </c>
      <c r="Q46" s="717">
        <f t="shared" si="5"/>
        <v>0</v>
      </c>
      <c r="R46" s="717">
        <f ca="1">SUM(R39:R45)</f>
        <v>50398.788051985473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704.01754077254327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704.01754077254327</v>
      </c>
    </row>
    <row r="50" spans="1:18">
      <c r="A50" s="815" t="s">
        <v>306</v>
      </c>
      <c r="B50" s="825"/>
      <c r="C50" s="985">
        <f ca="1">transport!B18</f>
        <v>0.32921849804505249</v>
      </c>
      <c r="D50" s="985">
        <f>transport!C18</f>
        <v>0</v>
      </c>
      <c r="E50" s="985">
        <f>transport!D18</f>
        <v>1.5787440533681862</v>
      </c>
      <c r="F50" s="985">
        <f>transport!E18</f>
        <v>214.01951592567858</v>
      </c>
      <c r="G50" s="985">
        <f>transport!F18</f>
        <v>0</v>
      </c>
      <c r="H50" s="985">
        <f>transport!G18</f>
        <v>48591.339006282644</v>
      </c>
      <c r="I50" s="985">
        <f>transport!H18</f>
        <v>7048.7729707347344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55856.039455494465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0.32921849804505249</v>
      </c>
      <c r="D52" s="717">
        <f t="shared" ref="D52:Q52" ca="1" si="6">SUM(D48:D51)</f>
        <v>0</v>
      </c>
      <c r="E52" s="717">
        <f t="shared" si="6"/>
        <v>1.5787440533681862</v>
      </c>
      <c r="F52" s="717">
        <f t="shared" si="6"/>
        <v>214.01951592567858</v>
      </c>
      <c r="G52" s="717">
        <f t="shared" si="6"/>
        <v>0</v>
      </c>
      <c r="H52" s="717">
        <f t="shared" si="6"/>
        <v>49295.356547055184</v>
      </c>
      <c r="I52" s="717">
        <f t="shared" si="6"/>
        <v>7048.7729707347344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56560.056996267005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70.038721603637526</v>
      </c>
      <c r="D54" s="985">
        <f ca="1">+landbouw!C12</f>
        <v>0</v>
      </c>
      <c r="E54" s="985">
        <f>+landbouw!D12</f>
        <v>37.847487648220287</v>
      </c>
      <c r="F54" s="985">
        <f>+landbouw!E12</f>
        <v>0.8007615615992385</v>
      </c>
      <c r="G54" s="985">
        <f>+landbouw!F12</f>
        <v>385.00899292556352</v>
      </c>
      <c r="H54" s="985">
        <f>+landbouw!G12</f>
        <v>0</v>
      </c>
      <c r="I54" s="985">
        <f>+landbouw!H12</f>
        <v>0</v>
      </c>
      <c r="J54" s="985">
        <f>+landbouw!I12</f>
        <v>0</v>
      </c>
      <c r="K54" s="985">
        <f>+landbouw!J12</f>
        <v>10.649692259191845</v>
      </c>
      <c r="L54" s="985">
        <f>+landbouw!K12</f>
        <v>0</v>
      </c>
      <c r="M54" s="985">
        <f>+landbouw!L12</f>
        <v>0</v>
      </c>
      <c r="N54" s="985">
        <f>+landbouw!M12</f>
        <v>0</v>
      </c>
      <c r="O54" s="985">
        <f>+landbouw!N12</f>
        <v>0</v>
      </c>
      <c r="P54" s="985">
        <f>+landbouw!O12</f>
        <v>0</v>
      </c>
      <c r="Q54" s="986">
        <f>+landbouw!P12</f>
        <v>0</v>
      </c>
      <c r="R54" s="716">
        <f ca="1">SUM(C54:Q54)</f>
        <v>504.34565599821246</v>
      </c>
    </row>
    <row r="55" spans="1:18" ht="15" thickBot="1">
      <c r="A55" s="815" t="s">
        <v>912</v>
      </c>
      <c r="B55" s="825"/>
      <c r="C55" s="985">
        <f ca="1">C25*'EF ele_warmte'!B12</f>
        <v>359.8139186191039</v>
      </c>
      <c r="D55" s="985"/>
      <c r="E55" s="985">
        <f>E25*EF_CO2_aardgas</f>
        <v>817.04716346081568</v>
      </c>
      <c r="F55" s="985"/>
      <c r="G55" s="985"/>
      <c r="H55" s="985"/>
      <c r="I55" s="985"/>
      <c r="J55" s="985"/>
      <c r="K55" s="985"/>
      <c r="L55" s="985"/>
      <c r="M55" s="985"/>
      <c r="N55" s="985"/>
      <c r="O55" s="985"/>
      <c r="P55" s="985"/>
      <c r="Q55" s="986"/>
      <c r="R55" s="716">
        <f ca="1">SUM(C55:Q55)</f>
        <v>1176.8610820799195</v>
      </c>
    </row>
    <row r="56" spans="1:18" ht="15.75" thickBot="1">
      <c r="A56" s="813" t="s">
        <v>913</v>
      </c>
      <c r="B56" s="826"/>
      <c r="C56" s="717">
        <f ca="1">SUM(C54:C55)</f>
        <v>429.85264022274146</v>
      </c>
      <c r="D56" s="717">
        <f t="shared" ref="D56:Q56" ca="1" si="7">SUM(D54:D55)</f>
        <v>0</v>
      </c>
      <c r="E56" s="717">
        <f t="shared" si="7"/>
        <v>854.89465110903598</v>
      </c>
      <c r="F56" s="717">
        <f t="shared" si="7"/>
        <v>0.8007615615992385</v>
      </c>
      <c r="G56" s="717">
        <f t="shared" si="7"/>
        <v>385.00899292556352</v>
      </c>
      <c r="H56" s="717">
        <f t="shared" si="7"/>
        <v>0</v>
      </c>
      <c r="I56" s="717">
        <f t="shared" si="7"/>
        <v>0</v>
      </c>
      <c r="J56" s="717">
        <f t="shared" si="7"/>
        <v>0</v>
      </c>
      <c r="K56" s="717">
        <f t="shared" si="7"/>
        <v>10.649692259191845</v>
      </c>
      <c r="L56" s="717">
        <f t="shared" si="7"/>
        <v>0</v>
      </c>
      <c r="M56" s="717">
        <f t="shared" si="7"/>
        <v>0</v>
      </c>
      <c r="N56" s="717">
        <f t="shared" si="7"/>
        <v>0</v>
      </c>
      <c r="O56" s="717">
        <f t="shared" si="7"/>
        <v>0</v>
      </c>
      <c r="P56" s="717">
        <f t="shared" si="7"/>
        <v>0</v>
      </c>
      <c r="Q56" s="718">
        <f t="shared" si="7"/>
        <v>0</v>
      </c>
      <c r="R56" s="719">
        <f ca="1">SUM(R54:R55)</f>
        <v>1681.2067380781318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14539.905617376342</v>
      </c>
      <c r="D61" s="725">
        <f t="shared" ref="D61:Q61" ca="1" si="8">D46+D52+D56</f>
        <v>0</v>
      </c>
      <c r="E61" s="725">
        <f t="shared" ca="1" si="8"/>
        <v>21592.032671049306</v>
      </c>
      <c r="F61" s="725">
        <f t="shared" si="8"/>
        <v>4089.0239625462727</v>
      </c>
      <c r="G61" s="725">
        <f t="shared" ca="1" si="8"/>
        <v>12027.777865900371</v>
      </c>
      <c r="H61" s="725">
        <f t="shared" si="8"/>
        <v>49295.356547055184</v>
      </c>
      <c r="I61" s="725">
        <f t="shared" si="8"/>
        <v>7048.7729707347344</v>
      </c>
      <c r="J61" s="725">
        <f t="shared" si="8"/>
        <v>0</v>
      </c>
      <c r="K61" s="725">
        <f t="shared" si="8"/>
        <v>47.182151668402142</v>
      </c>
      <c r="L61" s="725">
        <f t="shared" si="8"/>
        <v>0</v>
      </c>
      <c r="M61" s="725">
        <f t="shared" ca="1" si="8"/>
        <v>0</v>
      </c>
      <c r="N61" s="725">
        <f t="shared" si="8"/>
        <v>0</v>
      </c>
      <c r="O61" s="725">
        <f t="shared" ca="1" si="8"/>
        <v>0</v>
      </c>
      <c r="P61" s="725">
        <f t="shared" si="8"/>
        <v>0</v>
      </c>
      <c r="Q61" s="725">
        <f t="shared" si="8"/>
        <v>0</v>
      </c>
      <c r="R61" s="725">
        <f ca="1">R46+R52+R56</f>
        <v>108640.05178633062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0.20792152965343638</v>
      </c>
      <c r="D63" s="769">
        <f t="shared" ca="1" si="9"/>
        <v>0</v>
      </c>
      <c r="E63" s="987">
        <f t="shared" ca="1" si="9"/>
        <v>0.20200000000000001</v>
      </c>
      <c r="F63" s="769">
        <f t="shared" si="9"/>
        <v>0.22700000000000004</v>
      </c>
      <c r="G63" s="769">
        <f t="shared" ca="1" si="9"/>
        <v>0.26700000000000002</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4138.3460545366643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4138.3460545366643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4138.3460545366643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4138.3460545366643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44070.013949317137</v>
      </c>
      <c r="C4" s="457">
        <f>huishoudens!C8</f>
        <v>0</v>
      </c>
      <c r="D4" s="457">
        <f>huishoudens!D8</f>
        <v>83809.307109234505</v>
      </c>
      <c r="E4" s="457">
        <f>huishoudens!E8</f>
        <v>16552.358151687302</v>
      </c>
      <c r="F4" s="457">
        <f>huishoudens!F8</f>
        <v>39321.855957002306</v>
      </c>
      <c r="G4" s="457">
        <f>huishoudens!G8</f>
        <v>0</v>
      </c>
      <c r="H4" s="457">
        <f>huishoudens!H8</f>
        <v>0</v>
      </c>
      <c r="I4" s="457">
        <f>huishoudens!I8</f>
        <v>0</v>
      </c>
      <c r="J4" s="457">
        <f>huishoudens!J8</f>
        <v>95.239712153258807</v>
      </c>
      <c r="K4" s="457">
        <f>huishoudens!K8</f>
        <v>0</v>
      </c>
      <c r="L4" s="457">
        <f>huishoudens!L8</f>
        <v>0</v>
      </c>
      <c r="M4" s="457">
        <f>huishoudens!M8</f>
        <v>0</v>
      </c>
      <c r="N4" s="457">
        <f>huishoudens!N8</f>
        <v>10408.610820327001</v>
      </c>
      <c r="O4" s="457">
        <f>huishoudens!O8</f>
        <v>184.47333333333336</v>
      </c>
      <c r="P4" s="458">
        <f>huishoudens!P8</f>
        <v>209.73333333333335</v>
      </c>
      <c r="Q4" s="459">
        <f>SUM(B4:P4)</f>
        <v>194651.59236638818</v>
      </c>
    </row>
    <row r="5" spans="1:17">
      <c r="A5" s="456" t="s">
        <v>155</v>
      </c>
      <c r="B5" s="457">
        <f ca="1">tertiair!B16</f>
        <v>20057.484069344828</v>
      </c>
      <c r="C5" s="457">
        <f ca="1">tertiair!C16</f>
        <v>0</v>
      </c>
      <c r="D5" s="457">
        <f ca="1">tertiair!D16</f>
        <v>17427.678578179795</v>
      </c>
      <c r="E5" s="457">
        <f>tertiair!E16</f>
        <v>491.22749361891431</v>
      </c>
      <c r="F5" s="457">
        <f ca="1">tertiair!F16</f>
        <v>3522.8645310440188</v>
      </c>
      <c r="G5" s="457">
        <f>tertiair!G16</f>
        <v>0</v>
      </c>
      <c r="H5" s="457">
        <f>tertiair!H16</f>
        <v>0</v>
      </c>
      <c r="I5" s="457">
        <f>tertiair!I16</f>
        <v>0</v>
      </c>
      <c r="J5" s="457">
        <f>tertiair!J16</f>
        <v>0</v>
      </c>
      <c r="K5" s="457">
        <f>tertiair!K16</f>
        <v>0</v>
      </c>
      <c r="L5" s="457">
        <f ca="1">tertiair!L16</f>
        <v>0</v>
      </c>
      <c r="M5" s="457">
        <f>tertiair!M16</f>
        <v>0</v>
      </c>
      <c r="N5" s="457">
        <f ca="1">tertiair!N16</f>
        <v>642.92042822570397</v>
      </c>
      <c r="O5" s="457">
        <f>tertiair!O16</f>
        <v>1.5633333333333335</v>
      </c>
      <c r="P5" s="458">
        <f>tertiair!P16</f>
        <v>19.066666666666666</v>
      </c>
      <c r="Q5" s="456">
        <f t="shared" ref="Q5:Q14" ca="1" si="0">SUM(B5:P5)</f>
        <v>42162.805100413258</v>
      </c>
    </row>
    <row r="6" spans="1:17">
      <c r="A6" s="456" t="s">
        <v>193</v>
      </c>
      <c r="B6" s="457">
        <f>'openbare verlichting'!B8</f>
        <v>1704.252</v>
      </c>
      <c r="C6" s="457"/>
      <c r="D6" s="457"/>
      <c r="E6" s="457"/>
      <c r="F6" s="457"/>
      <c r="G6" s="457"/>
      <c r="H6" s="457"/>
      <c r="I6" s="457"/>
      <c r="J6" s="457"/>
      <c r="K6" s="457"/>
      <c r="L6" s="457"/>
      <c r="M6" s="457"/>
      <c r="N6" s="457"/>
      <c r="O6" s="457"/>
      <c r="P6" s="458"/>
      <c r="Q6" s="456">
        <f t="shared" si="0"/>
        <v>1704.252</v>
      </c>
    </row>
    <row r="7" spans="1:17">
      <c r="A7" s="456" t="s">
        <v>111</v>
      </c>
      <c r="B7" s="457">
        <f>landbouw!B8</f>
        <v>336.85170420003197</v>
      </c>
      <c r="C7" s="457">
        <f>landbouw!C8</f>
        <v>0</v>
      </c>
      <c r="D7" s="457">
        <f>landbouw!D8</f>
        <v>187.36380023871428</v>
      </c>
      <c r="E7" s="457">
        <f>landbouw!E8</f>
        <v>3.5275839718028128</v>
      </c>
      <c r="F7" s="457">
        <f>landbouw!F8</f>
        <v>1441.9812469122228</v>
      </c>
      <c r="G7" s="457">
        <f>landbouw!G8</f>
        <v>0</v>
      </c>
      <c r="H7" s="457">
        <f>landbouw!H8</f>
        <v>0</v>
      </c>
      <c r="I7" s="457">
        <f>landbouw!I8</f>
        <v>0</v>
      </c>
      <c r="J7" s="457">
        <f>landbouw!J8</f>
        <v>30.083876438395041</v>
      </c>
      <c r="K7" s="457">
        <f>landbouw!K8</f>
        <v>0</v>
      </c>
      <c r="L7" s="457">
        <f>landbouw!L8</f>
        <v>0</v>
      </c>
      <c r="M7" s="457">
        <f>landbouw!M8</f>
        <v>0</v>
      </c>
      <c r="N7" s="457">
        <f>landbouw!N8</f>
        <v>0</v>
      </c>
      <c r="O7" s="457">
        <f>landbouw!O8</f>
        <v>0</v>
      </c>
      <c r="P7" s="458">
        <f>landbouw!P8</f>
        <v>0</v>
      </c>
      <c r="Q7" s="456">
        <f t="shared" si="0"/>
        <v>1999.8082117611668</v>
      </c>
    </row>
    <row r="8" spans="1:17">
      <c r="A8" s="456" t="s">
        <v>654</v>
      </c>
      <c r="B8" s="457">
        <f>industrie!B18</f>
        <v>2029.0616162545498</v>
      </c>
      <c r="C8" s="457">
        <f>industrie!C18</f>
        <v>0</v>
      </c>
      <c r="D8" s="457">
        <f>industrie!D18</f>
        <v>1414.2978565802614</v>
      </c>
      <c r="E8" s="457">
        <f>industrie!E18</f>
        <v>23.390940856756465</v>
      </c>
      <c r="F8" s="457">
        <f>industrie!F18</f>
        <v>761.15544069826637</v>
      </c>
      <c r="G8" s="457">
        <f>industrie!G18</f>
        <v>0</v>
      </c>
      <c r="H8" s="457">
        <f>industrie!H18</f>
        <v>0</v>
      </c>
      <c r="I8" s="457">
        <f>industrie!I18</f>
        <v>0</v>
      </c>
      <c r="J8" s="457">
        <f>industrie!J18</f>
        <v>7.9593257258663357</v>
      </c>
      <c r="K8" s="457">
        <f>industrie!K18</f>
        <v>0</v>
      </c>
      <c r="L8" s="457">
        <f>industrie!L18</f>
        <v>0</v>
      </c>
      <c r="M8" s="457">
        <f>industrie!M18</f>
        <v>0</v>
      </c>
      <c r="N8" s="457">
        <f>industrie!N18</f>
        <v>70.997474509114355</v>
      </c>
      <c r="O8" s="457">
        <f>industrie!O18</f>
        <v>0</v>
      </c>
      <c r="P8" s="458">
        <f>industrie!P18</f>
        <v>0</v>
      </c>
      <c r="Q8" s="456">
        <f t="shared" si="0"/>
        <v>4306.8626546248142</v>
      </c>
    </row>
    <row r="9" spans="1:17" s="462" customFormat="1">
      <c r="A9" s="460" t="s">
        <v>572</v>
      </c>
      <c r="B9" s="461">
        <f>transport!B14</f>
        <v>1.583378588036525</v>
      </c>
      <c r="C9" s="461">
        <f>transport!C14</f>
        <v>0</v>
      </c>
      <c r="D9" s="461">
        <f>transport!D14</f>
        <v>7.8155646206345848</v>
      </c>
      <c r="E9" s="461">
        <f>transport!E14</f>
        <v>942.81725077391434</v>
      </c>
      <c r="F9" s="461">
        <f>transport!F14</f>
        <v>0</v>
      </c>
      <c r="G9" s="461">
        <f>transport!G14</f>
        <v>181990.03373139567</v>
      </c>
      <c r="H9" s="461">
        <f>transport!H14</f>
        <v>28308.325183673631</v>
      </c>
      <c r="I9" s="461">
        <f>transport!I14</f>
        <v>0</v>
      </c>
      <c r="J9" s="461">
        <f>transport!J14</f>
        <v>0</v>
      </c>
      <c r="K9" s="461">
        <f>transport!K14</f>
        <v>0</v>
      </c>
      <c r="L9" s="461">
        <f>transport!L14</f>
        <v>0</v>
      </c>
      <c r="M9" s="461">
        <f>transport!M14</f>
        <v>9142.8731761584149</v>
      </c>
      <c r="N9" s="461">
        <f>transport!N14</f>
        <v>0</v>
      </c>
      <c r="O9" s="461">
        <f>transport!O14</f>
        <v>0</v>
      </c>
      <c r="P9" s="461">
        <f>transport!P14</f>
        <v>0</v>
      </c>
      <c r="Q9" s="460">
        <f>SUM(B9:P9)</f>
        <v>220393.4482852103</v>
      </c>
    </row>
    <row r="10" spans="1:17">
      <c r="A10" s="456" t="s">
        <v>562</v>
      </c>
      <c r="B10" s="457">
        <f>transport!B54</f>
        <v>0</v>
      </c>
      <c r="C10" s="457">
        <f>transport!C54</f>
        <v>0</v>
      </c>
      <c r="D10" s="457">
        <f>transport!D54</f>
        <v>0</v>
      </c>
      <c r="E10" s="457">
        <f>transport!E54</f>
        <v>0</v>
      </c>
      <c r="F10" s="457">
        <f>transport!F54</f>
        <v>0</v>
      </c>
      <c r="G10" s="457">
        <f>transport!G54</f>
        <v>2636.7698156275028</v>
      </c>
      <c r="H10" s="457">
        <f>transport!H54</f>
        <v>0</v>
      </c>
      <c r="I10" s="457">
        <f>transport!I54</f>
        <v>0</v>
      </c>
      <c r="J10" s="457">
        <f>transport!J54</f>
        <v>0</v>
      </c>
      <c r="K10" s="457">
        <f>transport!K54</f>
        <v>0</v>
      </c>
      <c r="L10" s="457">
        <f>transport!L54</f>
        <v>0</v>
      </c>
      <c r="M10" s="457">
        <f>transport!M54</f>
        <v>112.1251478373979</v>
      </c>
      <c r="N10" s="457">
        <f>transport!N54</f>
        <v>0</v>
      </c>
      <c r="O10" s="457">
        <f>transport!O54</f>
        <v>0</v>
      </c>
      <c r="P10" s="458">
        <f>transport!P54</f>
        <v>0</v>
      </c>
      <c r="Q10" s="456">
        <f t="shared" si="0"/>
        <v>2748.8949634649007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1730.5274697567002</v>
      </c>
      <c r="C14" s="464"/>
      <c r="D14" s="464">
        <f>'SEAP template'!E25</f>
        <v>4044.7879379248297</v>
      </c>
      <c r="E14" s="464"/>
      <c r="F14" s="464"/>
      <c r="G14" s="464"/>
      <c r="H14" s="464"/>
      <c r="I14" s="464"/>
      <c r="J14" s="464"/>
      <c r="K14" s="464"/>
      <c r="L14" s="464"/>
      <c r="M14" s="464"/>
      <c r="N14" s="464"/>
      <c r="O14" s="464"/>
      <c r="P14" s="465"/>
      <c r="Q14" s="456">
        <f t="shared" si="0"/>
        <v>5775.3154076815299</v>
      </c>
    </row>
    <row r="15" spans="1:17" s="469" customFormat="1">
      <c r="A15" s="466" t="s">
        <v>566</v>
      </c>
      <c r="B15" s="467">
        <f ca="1">SUM(B4:B14)</f>
        <v>69929.774187461269</v>
      </c>
      <c r="C15" s="467">
        <f t="shared" ref="C15:Q15" ca="1" si="1">SUM(C4:C14)</f>
        <v>0</v>
      </c>
      <c r="D15" s="467">
        <f t="shared" ca="1" si="1"/>
        <v>106891.25084677874</v>
      </c>
      <c r="E15" s="467">
        <f t="shared" si="1"/>
        <v>18013.321420908687</v>
      </c>
      <c r="F15" s="467">
        <f t="shared" ca="1" si="1"/>
        <v>45047.85717565682</v>
      </c>
      <c r="G15" s="467">
        <f t="shared" si="1"/>
        <v>184626.80354702318</v>
      </c>
      <c r="H15" s="467">
        <f t="shared" si="1"/>
        <v>28308.325183673631</v>
      </c>
      <c r="I15" s="467">
        <f t="shared" si="1"/>
        <v>0</v>
      </c>
      <c r="J15" s="467">
        <f t="shared" si="1"/>
        <v>133.28291431752018</v>
      </c>
      <c r="K15" s="467">
        <f t="shared" si="1"/>
        <v>0</v>
      </c>
      <c r="L15" s="467">
        <f t="shared" ca="1" si="1"/>
        <v>0</v>
      </c>
      <c r="M15" s="467">
        <f t="shared" si="1"/>
        <v>9254.9983239958128</v>
      </c>
      <c r="N15" s="467">
        <f t="shared" ca="1" si="1"/>
        <v>11122.52872306182</v>
      </c>
      <c r="O15" s="467">
        <f t="shared" si="1"/>
        <v>186.03666666666669</v>
      </c>
      <c r="P15" s="467">
        <f t="shared" si="1"/>
        <v>228.8</v>
      </c>
      <c r="Q15" s="467">
        <f t="shared" ca="1" si="1"/>
        <v>473742.97898954415</v>
      </c>
    </row>
    <row r="17" spans="1:17">
      <c r="A17" s="470" t="s">
        <v>567</v>
      </c>
      <c r="B17" s="774">
        <f ca="1">huishoudens!B10</f>
        <v>0.20792152965343635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9163.1047121902975</v>
      </c>
      <c r="C22" s="457">
        <f t="shared" ref="C22:C32" ca="1" si="3">C4*$C$17</f>
        <v>0</v>
      </c>
      <c r="D22" s="457">
        <f t="shared" ref="D22:D32" si="4">D4*$D$17</f>
        <v>16929.480036065372</v>
      </c>
      <c r="E22" s="457">
        <f t="shared" ref="E22:E32" si="5">E4*$E$17</f>
        <v>3757.3853004330176</v>
      </c>
      <c r="F22" s="457">
        <f t="shared" ref="F22:F32" si="6">F4*$F$17</f>
        <v>10498.935540519617</v>
      </c>
      <c r="G22" s="457">
        <f t="shared" ref="G22:G32" si="7">G4*$G$17</f>
        <v>0</v>
      </c>
      <c r="H22" s="457">
        <f t="shared" ref="H22:H32" si="8">H4*$H$17</f>
        <v>0</v>
      </c>
      <c r="I22" s="457">
        <f t="shared" ref="I22:I32" si="9">I4*$I$17</f>
        <v>0</v>
      </c>
      <c r="J22" s="457">
        <f t="shared" ref="J22:J32" si="10">J4*$J$17</f>
        <v>33.714858102253615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40382.620447310561</v>
      </c>
    </row>
    <row r="23" spans="1:17">
      <c r="A23" s="456" t="s">
        <v>155</v>
      </c>
      <c r="B23" s="457">
        <f t="shared" ca="1" si="2"/>
        <v>4170.3827686976083</v>
      </c>
      <c r="C23" s="457">
        <f t="shared" ca="1" si="3"/>
        <v>0</v>
      </c>
      <c r="D23" s="457">
        <f t="shared" ca="1" si="4"/>
        <v>3520.3910727923189</v>
      </c>
      <c r="E23" s="457">
        <f t="shared" si="5"/>
        <v>111.50864105149356</v>
      </c>
      <c r="F23" s="457">
        <f t="shared" ca="1" si="6"/>
        <v>940.60482978875302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8742.8873123301728</v>
      </c>
    </row>
    <row r="24" spans="1:17">
      <c r="A24" s="456" t="s">
        <v>193</v>
      </c>
      <c r="B24" s="457">
        <f t="shared" ca="1" si="2"/>
        <v>354.35068275492819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354.35068275492819</v>
      </c>
    </row>
    <row r="25" spans="1:17">
      <c r="A25" s="456" t="s">
        <v>111</v>
      </c>
      <c r="B25" s="457">
        <f t="shared" ca="1" si="2"/>
        <v>70.038721603637526</v>
      </c>
      <c r="C25" s="457">
        <f t="shared" ca="1" si="3"/>
        <v>0</v>
      </c>
      <c r="D25" s="457">
        <f t="shared" si="4"/>
        <v>37.847487648220287</v>
      </c>
      <c r="E25" s="457">
        <f t="shared" si="5"/>
        <v>0.8007615615992385</v>
      </c>
      <c r="F25" s="457">
        <f t="shared" si="6"/>
        <v>385.00899292556352</v>
      </c>
      <c r="G25" s="457">
        <f t="shared" si="7"/>
        <v>0</v>
      </c>
      <c r="H25" s="457">
        <f t="shared" si="8"/>
        <v>0</v>
      </c>
      <c r="I25" s="457">
        <f t="shared" si="9"/>
        <v>0</v>
      </c>
      <c r="J25" s="457">
        <f t="shared" si="10"/>
        <v>10.649692259191845</v>
      </c>
      <c r="K25" s="457">
        <f t="shared" si="11"/>
        <v>0</v>
      </c>
      <c r="L25" s="457">
        <f t="shared" si="12"/>
        <v>0</v>
      </c>
      <c r="M25" s="457">
        <f t="shared" si="13"/>
        <v>0</v>
      </c>
      <c r="N25" s="457">
        <f t="shared" si="14"/>
        <v>0</v>
      </c>
      <c r="O25" s="457">
        <f t="shared" si="15"/>
        <v>0</v>
      </c>
      <c r="P25" s="458">
        <f t="shared" si="16"/>
        <v>0</v>
      </c>
      <c r="Q25" s="456">
        <f t="shared" ca="1" si="17"/>
        <v>504.34565599821246</v>
      </c>
    </row>
    <row r="26" spans="1:17">
      <c r="A26" s="456" t="s">
        <v>654</v>
      </c>
      <c r="B26" s="457">
        <f t="shared" ca="1" si="2"/>
        <v>421.88559501271988</v>
      </c>
      <c r="C26" s="457">
        <f t="shared" ca="1" si="3"/>
        <v>0</v>
      </c>
      <c r="D26" s="457">
        <f t="shared" si="4"/>
        <v>285.68816702921282</v>
      </c>
      <c r="E26" s="457">
        <f t="shared" si="5"/>
        <v>5.3097435744837176</v>
      </c>
      <c r="F26" s="457">
        <f t="shared" si="6"/>
        <v>203.22850266643712</v>
      </c>
      <c r="G26" s="457">
        <f t="shared" si="7"/>
        <v>0</v>
      </c>
      <c r="H26" s="457">
        <f t="shared" si="8"/>
        <v>0</v>
      </c>
      <c r="I26" s="457">
        <f t="shared" si="9"/>
        <v>0</v>
      </c>
      <c r="J26" s="457">
        <f t="shared" si="10"/>
        <v>2.8176013069566825</v>
      </c>
      <c r="K26" s="457">
        <f t="shared" si="11"/>
        <v>0</v>
      </c>
      <c r="L26" s="457">
        <f t="shared" si="12"/>
        <v>0</v>
      </c>
      <c r="M26" s="457">
        <f t="shared" si="13"/>
        <v>0</v>
      </c>
      <c r="N26" s="457">
        <f t="shared" si="14"/>
        <v>0</v>
      </c>
      <c r="O26" s="457">
        <f t="shared" si="15"/>
        <v>0</v>
      </c>
      <c r="P26" s="458">
        <f t="shared" si="16"/>
        <v>0</v>
      </c>
      <c r="Q26" s="456">
        <f t="shared" ca="1" si="17"/>
        <v>918.9296095898103</v>
      </c>
    </row>
    <row r="27" spans="1:17" s="462" customFormat="1">
      <c r="A27" s="460" t="s">
        <v>572</v>
      </c>
      <c r="B27" s="768">
        <f t="shared" ca="1" si="2"/>
        <v>0.32921849804505249</v>
      </c>
      <c r="C27" s="461">
        <f t="shared" ca="1" si="3"/>
        <v>0</v>
      </c>
      <c r="D27" s="461">
        <f t="shared" si="4"/>
        <v>1.5787440533681862</v>
      </c>
      <c r="E27" s="461">
        <f t="shared" si="5"/>
        <v>214.01951592567858</v>
      </c>
      <c r="F27" s="461">
        <f t="shared" si="6"/>
        <v>0</v>
      </c>
      <c r="G27" s="461">
        <f t="shared" si="7"/>
        <v>48591.339006282644</v>
      </c>
      <c r="H27" s="461">
        <f t="shared" si="8"/>
        <v>7048.7729707347344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55856.039455494465</v>
      </c>
    </row>
    <row r="28" spans="1:17">
      <c r="A28" s="456" t="s">
        <v>562</v>
      </c>
      <c r="B28" s="457">
        <f t="shared" ca="1" si="2"/>
        <v>0</v>
      </c>
      <c r="C28" s="457">
        <f t="shared" ca="1" si="3"/>
        <v>0</v>
      </c>
      <c r="D28" s="457">
        <f t="shared" si="4"/>
        <v>0</v>
      </c>
      <c r="E28" s="457">
        <f t="shared" si="5"/>
        <v>0</v>
      </c>
      <c r="F28" s="457">
        <f t="shared" si="6"/>
        <v>0</v>
      </c>
      <c r="G28" s="457">
        <f t="shared" si="7"/>
        <v>704.01754077254327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704.01754077254327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359.8139186191039</v>
      </c>
      <c r="C32" s="457">
        <f t="shared" ca="1" si="3"/>
        <v>0</v>
      </c>
      <c r="D32" s="457">
        <f t="shared" si="4"/>
        <v>817.04716346081568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1176.8610820799195</v>
      </c>
    </row>
    <row r="33" spans="1:17" s="469" customFormat="1">
      <c r="A33" s="466" t="s">
        <v>566</v>
      </c>
      <c r="B33" s="467">
        <f ca="1">SUM(B22:B32)</f>
        <v>14539.905617376342</v>
      </c>
      <c r="C33" s="467">
        <f t="shared" ref="C33:Q33" ca="1" si="19">SUM(C22:C32)</f>
        <v>0</v>
      </c>
      <c r="D33" s="467">
        <f t="shared" ca="1" si="19"/>
        <v>21592.032671049306</v>
      </c>
      <c r="E33" s="467">
        <f t="shared" si="19"/>
        <v>4089.0239625462727</v>
      </c>
      <c r="F33" s="467">
        <f t="shared" ca="1" si="19"/>
        <v>12027.777865900371</v>
      </c>
      <c r="G33" s="467">
        <f t="shared" si="19"/>
        <v>49295.356547055184</v>
      </c>
      <c r="H33" s="467">
        <f t="shared" si="19"/>
        <v>7048.7729707347344</v>
      </c>
      <c r="I33" s="467">
        <f t="shared" si="19"/>
        <v>0</v>
      </c>
      <c r="J33" s="467">
        <f t="shared" si="19"/>
        <v>47.182151668402142</v>
      </c>
      <c r="K33" s="467">
        <f t="shared" si="19"/>
        <v>0</v>
      </c>
      <c r="L33" s="467">
        <f t="shared" ca="1" si="19"/>
        <v>0</v>
      </c>
      <c r="M33" s="467">
        <f t="shared" si="19"/>
        <v>0</v>
      </c>
      <c r="N33" s="467">
        <f t="shared" ca="1" si="19"/>
        <v>0</v>
      </c>
      <c r="O33" s="467">
        <f t="shared" si="19"/>
        <v>0</v>
      </c>
      <c r="P33" s="467">
        <f t="shared" si="19"/>
        <v>0</v>
      </c>
      <c r="Q33" s="467">
        <f t="shared" ca="1" si="19"/>
        <v>108640.05178633062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4138.3460545366643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4138.3460545366643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0.20792152965343635</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0.20792152965343635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2020-06-20T16:38:23Z</dcterms:modified>
</cp:coreProperties>
</file>