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I9"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R25" i="14" l="1"/>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C20" i="18"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11" i="16" l="1"/>
  <c r="C18" i="16"/>
  <c r="B4" i="48"/>
  <c r="C11" i="14"/>
  <c r="D4" i="48"/>
  <c r="D22" i="48" s="1"/>
  <c r="E11" i="14"/>
  <c r="P11" i="14"/>
  <c r="O4" i="48"/>
  <c r="O22" i="48" s="1"/>
  <c r="B7" i="48"/>
  <c r="C24" i="14"/>
  <c r="C26" i="14" s="1"/>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P15" i="48" l="1"/>
  <c r="Q46" i="14"/>
  <c r="Q61" i="14" s="1"/>
  <c r="Q63" i="14" s="1"/>
  <c r="P13" i="14"/>
  <c r="P16" i="14" s="1"/>
  <c r="P27" i="14" s="1"/>
  <c r="O8" i="48"/>
  <c r="O26" i="48" s="1"/>
  <c r="O15" i="48"/>
  <c r="O23" i="48"/>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O33" i="48"/>
  <c r="H22" i="14"/>
  <c r="H27" i="14" s="1"/>
  <c r="E22" i="48"/>
  <c r="Q4" i="48"/>
  <c r="H52" i="14"/>
  <c r="H61" i="14" s="1"/>
  <c r="G28" i="48"/>
  <c r="Q10" i="48"/>
  <c r="M18" i="22"/>
  <c r="N50" i="14" s="1"/>
  <c r="N52" i="14" s="1"/>
  <c r="N61" i="14" s="1"/>
  <c r="M9" i="48"/>
  <c r="Q9" i="48" s="1"/>
  <c r="N20" i="14"/>
  <c r="N22" i="14" s="1"/>
  <c r="N27" i="14" s="1"/>
  <c r="C22" i="14"/>
  <c r="G27" i="48"/>
  <c r="G33" i="48" s="1"/>
  <c r="G15" i="48"/>
  <c r="B15" i="48"/>
  <c r="D15" i="48"/>
  <c r="J5" i="48"/>
  <c r="K10" i="14"/>
  <c r="E20" i="15"/>
  <c r="F40" i="14" s="1"/>
  <c r="E5" i="48"/>
  <c r="F10" i="14"/>
  <c r="L15" i="48"/>
  <c r="Q7" i="48"/>
  <c r="R24" i="14"/>
  <c r="R26" i="14" s="1"/>
  <c r="J18" i="16"/>
  <c r="N18" i="16"/>
  <c r="E18" i="16"/>
  <c r="F18" i="16"/>
  <c r="F22" i="16" s="1"/>
  <c r="G43" i="14" s="1"/>
  <c r="H63" i="14" l="1"/>
  <c r="N63" i="14"/>
  <c r="M27" i="48"/>
  <c r="M33" i="48" s="1"/>
  <c r="M15" i="48"/>
  <c r="R20" i="14"/>
  <c r="R22" i="14" s="1"/>
  <c r="E22" i="16"/>
  <c r="F43" i="14" s="1"/>
  <c r="E8" i="48"/>
  <c r="E26" i="48" s="1"/>
  <c r="F13" i="14"/>
  <c r="F16" i="14" s="1"/>
  <c r="F27" i="14" s="1"/>
  <c r="F46" i="14"/>
  <c r="F61"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<sst xmlns="http://schemas.openxmlformats.org/spreadsheetml/2006/main" count="2513" uniqueCount="971">
  <si>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</si>
  <si>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</si>
  <si>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</si>
  <si>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</si>
  <si>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</si>
  <si>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</si>
  <si>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</si>
  <si>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</si>
  <si>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</si>
  <si>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</si>
  <si>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</si>
  <si>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</si>
  <si>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</si>
  <si>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</si>
  <si>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</si>
  <si>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</si>
  <si>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</si>
  <si>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</si>
  <si>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</si>
  <si>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</si>
  <si>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</si>
  <si>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</si>
  <si>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</si>
  <si>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</si>
  <si>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</si>
  <si>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</si>
  <si>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</si>
  <si>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</si>
  <si>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</si>
  <si>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</si>
  <si>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</si>
  <si>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</si>
  <si>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</si>
  <si>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</si>
  <si>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</si>
  <si>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</si>
  <si>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</si>
  <si>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</si>
  <si>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</si>
  <si>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</si>
  <si>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</si>
  <si>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</si>
  <si>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</si>
  <si>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</si>
  <si>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</si>
  <si>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</si>
  <si>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</si>
  <si>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</si>
  <si>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</si>
  <si>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</si>
  <si>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</si>
  <si>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</si>
  <si>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</si>
  <si>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</si>
  <si>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</si>
  <si>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</si>
  <si>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</si>
  <si>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</si>
  <si>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</si>
  <si>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</si>
  <si>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</si>
  <si>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</si>
  <si>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</si>
  <si>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</si>
  <si>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</si>
  <si>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</si>
  <si>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</si>
  <si>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</si>
  <si>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</si>
  <si>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</si>
  <si>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</si>
  <si>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</si>
  <si>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</si>
  <si>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</si>
  <si>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</si>
  <si>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</si>
  <si>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</si>
  <si>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</si>
  <si>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</si>
  <si>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</si>
  <si>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</si>
  <si>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</si>
  <si>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</si>
  <si>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</si>
  <si>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</si>
  <si>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</si>
  <si>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</si>
  <si>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</si>
  <si>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</si>
  <si>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</si>
  <si>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</si>
  <si>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</si>
  <si>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</si>
  <si>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</si>
  <si>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</si>
  <si>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</si>
  <si>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</si>
  <si>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</si>
  <si>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</si>
  <si>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</si>
  <si>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</si>
  <si>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</si>
  <si>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</si>
  <si>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</si>
  <si>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</si>
  <si>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</si>
  <si>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</si>
  <si>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</si>
  <si>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</si>
  <si>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</si>
  <si>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</si>
  <si>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</si>
  <si>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</si>
  <si>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</si>
  <si>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</si>
  <si>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</si>
  <si>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</si>
  <si>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</si>
  <si>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</si>
  <si>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</si>
  <si>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</si>
  <si>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</si>
  <si>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</si>
  <si>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</si>
  <si>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</si>
  <si>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</si>
  <si>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</si>
  <si>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</si>
  <si>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</si>
  <si>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</si>
  <si>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</si>
  <si>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</si>
  <si>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</si>
  <si>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</si>
  <si>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</si>
  <si>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</si>
  <si>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</si>
  <si>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</si>
  <si>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</si>
  <si>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</si>
  <si>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</si>
  <si>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</si>
  <si>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</si>
  <si>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</si>
  <si>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</si>
  <si>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</si>
  <si>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</si>
  <si>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</si>
  <si>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</si>
  <si>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</si>
  <si>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</si>
  <si>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</si>
  <si>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</si>
  <si>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</si>
  <si>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</si>
  <si>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</si>
  <si>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</si>
  <si>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</si>
  <si>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</si>
  <si>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</si>
  <si>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</si>
  <si>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</si>
  <si>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</si>
  <si>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</si>
  <si>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</si>
  <si>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</si>
  <si>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</si>
  <si>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</si>
  <si>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</si>
  <si>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</si>
  <si>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</si>
  <si>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</si>
  <si>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</si>
  <si>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</si>
  <si>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</si>
  <si>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</si>
  <si>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</si>
  <si>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</si>
  <si>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</si>
  <si>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</si>
  <si>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</si>
  <si>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</si>
  <si>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</si>
  <si>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</si>
  <si>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</si>
  <si>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</si>
  <si>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</si>
  <si>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</si>
  <si>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</si>
  <si>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</si>
  <si>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</si>
  <si>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</si>
  <si>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</si>
  <si>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</si>
  <si>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</si>
  <si>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</si>
  <si>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</si>
  <si>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</si>
  <si>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</si>
  <si>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</si>
  <si>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</si>
  <si>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</si>
  <si>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</si>
  <si>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</si>
  <si>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</si>
  <si>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</si>
  <si>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</si>
  <si>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</si>
  <si>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</si>
  <si>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</si>
  <si>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</si>
  <si>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</si>
  <si>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</si>
  <si>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</si>
  <si>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</si>
  <si>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</si>
  <si>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</si>
  <si>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</si>
  <si>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</si>
  <si>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</si>
  <si>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</si>
  <si>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</si>
  <si>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</si>
  <si>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</si>
  <si>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</si>
  <si>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</si>
  <si>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</si>
  <si>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</si>
  <si>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</si>
  <si>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</si>
  <si>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</si>
  <si>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</si>
  <si>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</si>
  <si>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</si>
  <si>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</si>
  <si>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</si>
  <si>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</si>
  <si>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</si>
  <si>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</si>
  <si>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</si>
  <si>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</si>
  <si>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</si>
  <si>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</si>
  <si>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</si>
  <si>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</si>
  <si>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</si>
  <si>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</si>
  <si>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</si>
  <si>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</si>
  <si>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</si>
  <si>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</si>
  <si>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</si>
  <si>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</si>
  <si>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</si>
  <si>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</si>
  <si>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</si>
  <si>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</si>
  <si>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</si>
  <si>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</si>
  <si>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</si>
  <si>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</si>
  <si>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</si>
  <si>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</si>
  <si>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</si>
  <si>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</si>
  <si>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</si>
  <si>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</si>
  <si>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</si>
  <si>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</si>
  <si>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</si>
  <si>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</si>
  <si>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</si>
  <si>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</si>
  <si>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</si>
  <si>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</si>
  <si>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</si>
  <si>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</si>
  <si>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</si>
  <si>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</si>
  <si>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</si>
  <si>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</si>
  <si>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</si>
  <si>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</si>
  <si>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</si>
  <si>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</si>
  <si>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</si>
  <si>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</si>
  <si>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</si>
  <si>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</si>
  <si>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</si>
  <si>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</si>
  <si>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</si>
  <si>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</si>
  <si>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</si>
  <si>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</si>
  <si>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</si>
  <si>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</si>
  <si>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</si>
  <si>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</si>
  <si>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</si>
  <si>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</si>
  <si>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</si>
  <si>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</si>
  <si>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</si>
  <si>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</si>
  <si>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</si>
  <si>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</si>
  <si>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</si>
  <si>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</si>
  <si>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</si>
  <si>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</si>
  <si>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</si>
  <si>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</si>
  <si>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</si>
  <si>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</si>
  <si>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</si>
  <si>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</si>
  <si>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</si>
  <si>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</si>
  <si>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</si>
  <si>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</si>
  <si>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</si>
  <si>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</si>
  <si>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</si>
  <si>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</si>
  <si>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</si>
  <si>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</si>
  <si>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</si>
  <si>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</si>
  <si>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</si>
  <si>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</si>
  <si>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</si>
  <si>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</si>
  <si>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</si>
  <si>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</si>
  <si>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</si>
  <si>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</si>
  <si>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</si>
  <si>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</si>
  <si>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</si>
  <si>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</si>
  <si>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</si>
  <si>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</si>
  <si>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</si>
  <si>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</si>
  <si>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</si>
  <si>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</si>
  <si>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</si>
  <si>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</si>
  <si>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</si>
  <si>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</si>
  <si>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</si>
  <si>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</si>
  <si>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</si>
  <si>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</si>
  <si>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</si>
  <si>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</si>
  <si>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</si>
  <si>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</si>
  <si>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</si>
  <si>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</si>
  <si>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</si>
  <si>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</si>
  <si>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</si>
  <si>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</si>
  <si>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</si>
  <si>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</si>
  <si>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</si>
  <si>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</si>
  <si>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</si>
  <si>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</si>
  <si>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</si>
  <si>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</si>
  <si>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</si>
  <si>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</si>
  <si>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</si>
  <si>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</si>
  <si>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</si>
  <si>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</si>
  <si>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</si>
  <si>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</si>
  <si>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</si>
  <si>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</si>
  <si>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</si>
  <si>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</si>
  <si>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</si>
  <si>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</si>
  <si>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</si>
  <si>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</si>
  <si>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</si>
  <si>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</si>
  <si>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</si>
  <si>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</si>
  <si>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</si>
  <si>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</si>
  <si>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</si>
  <si>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</si>
  <si>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</si>
  <si>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</si>
  <si>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</si>
  <si>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</si>
  <si>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</si>
  <si>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</si>
  <si>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</si>
  <si>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</si>
  <si>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</si>
  <si>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</si>
  <si>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</si>
  <si>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</si>
  <si>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</si>
  <si>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</si>
  <si>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</si>
  <si>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</si>
  <si>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</si>
  <si>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</si>
  <si>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</si>
  <si>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</si>
  <si>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</si>
  <si>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</si>
  <si>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</si>
  <si>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</si>
  <si>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</si>
  <si>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</si>
  <si>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</si>
  <si>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</si>
  <si>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</si>
  <si>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</si>
  <si>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</si>
  <si>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</si>
  <si>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</si>
  <si>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</si>
  <si>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</si>
  <si>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</si>
  <si>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</si>
  <si>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</si>
  <si>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</si>
  <si>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</si>
  <si>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</si>
  <si>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</si>
  <si>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</si>
  <si>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</si>
  <si>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</si>
  <si>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</si>
  <si>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</si>
  <si>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</si>
  <si>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</si>
  <si>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</si>
  <si>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</si>
  <si>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</si>
  <si>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</si>
  <si>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</si>
  <si>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</si>
  <si>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</si>
  <si>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</si>
  <si>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</si>
  <si>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</si>
  <si>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</si>
  <si>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</si>
  <si>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</si>
  <si>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</si>
  <si>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</si>
  <si>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</si>
  <si>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</si>
  <si>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</si>
  <si>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</si>
  <si>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</si>
  <si>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</si>
  <si>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</si>
  <si>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</si>
  <si>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</si>
  <si>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</si>
  <si>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</si>
  <si>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</si>
  <si>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</si>
  <si>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</si>
  <si>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</si>
  <si>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</si>
  <si>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</si>
  <si>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</si>
  <si>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</si>
  <si>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</si>
  <si>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</si>
  <si>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</si>
  <si>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</si>
  <si>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</si>
  <si>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</si>
  <si>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</si>
  <si>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</si>
  <si>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</si>
  <si>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</si>
  <si>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</si>
  <si>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</si>
  <si>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</si>
  <si>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</si>
  <si>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</si>
  <si>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</si>
  <si>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</si>
  <si>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</si>
  <si>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</si>
  <si>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</si>
  <si>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</si>
  <si>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</si>
  <si>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</si>
  <si>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</si>
  <si>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</si>
  <si>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</si>
  <si>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</si>
  <si>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</si>
  <si>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</si>
  <si>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</si>
  <si>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</si>
  <si>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</si>
  <si>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</si>
  <si>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</si>
  <si>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</si>
  <si>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</si>
  <si>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</si>
  <si>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</si>
  <si>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</si>
  <si>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</si>
  <si>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</si>
  <si>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</si>
  <si>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</si>
  <si>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</si>
  <si>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</si>
  <si>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</si>
  <si>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</si>
  <si>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</si>
  <si>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</si>
  <si>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</si>
  <si>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</si>
  <si>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</si>
  <si>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</si>
  <si>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</si>
  <si>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</si>
  <si>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</si>
  <si>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</si>
  <si>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</si>
  <si>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</si>
  <si>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</si>
  <si>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</si>
  <si>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</si>
  <si>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</si>
  <si>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</si>
  <si>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</si>
  <si>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</si>
  <si>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</si>
  <si>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</si>
  <si>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</si>
  <si>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</si>
  <si>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</si>
  <si>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</si>
  <si>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</si>
  <si>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</si>
  <si>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</si>
  <si>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</si>
  <si>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</si>
  <si>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</si>
  <si>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</si>
  <si>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</si>
  <si>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</si>
  <si>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</si>
  <si>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</si>
  <si>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</si>
  <si>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</si>
  <si>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</si>
  <si>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</si>
  <si>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</si>
  <si>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</si>
  <si>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</si>
  <si>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</si>
  <si>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</si>
  <si>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</si>
  <si>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</si>
  <si>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</si>
  <si>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</si>
  <si>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</si>
  <si>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</si>
  <si>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</si>
  <si>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</si>
  <si>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</si>
  <si>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</si>
  <si>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</si>
  <si>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</si>
  <si>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</si>
  <si>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</si>
  <si>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</si>
  <si>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</si>
  <si>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</si>
  <si>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</si>
  <si>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</si>
  <si>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</si>
  <si>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</si>
  <si>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</si>
  <si>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</si>
  <si>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</si>
  <si>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</si>
  <si>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</si>
  <si>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</si>
  <si>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</si>
  <si>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</si>
  <si>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</si>
  <si>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</si>
  <si>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</si>
  <si>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</si>
  <si>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</si>
  <si>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</si>
  <si>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</si>
  <si>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</si>
  <si>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</si>
  <si>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</si>
  <si>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</si>
  <si>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</si>
  <si>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</si>
  <si>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</si>
  <si>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</si>
  <si>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</si>
  <si>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</si>
  <si>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</si>
  <si>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</si>
  <si>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</si>
  <si>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</si>
  <si>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</si>
  <si>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</si>
  <si>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</si>
  <si>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</si>
  <si>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</si>
  <si>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</si>
  <si>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</si>
  <si>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</si>
  <si>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</si>
  <si>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</si>
  <si>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</si>
  <si>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</si>
  <si>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</si>
  <si>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</si>
  <si>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</si>
  <si>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</si>
  <si>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</si>
  <si>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</si>
  <si>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</si>
  <si>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</si>
  <si>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</si>
  <si>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</si>
  <si>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</si>
  <si>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</si>
  <si>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</si>
  <si>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</si>
  <si>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</si>
  <si>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</si>
  <si>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</si>
  <si>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</si>
  <si>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</si>
  <si>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</si>
  <si>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</si>
  <si>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</si>
  <si>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</si>
  <si>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</si>
  <si>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</si>
  <si>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</si>
  <si>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</si>
  <si>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</si>
  <si>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</si>
  <si>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</si>
  <si>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</si>
  <si>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</si>
  <si>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</si>
  <si>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</si>
  <si>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</si>
  <si>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</si>
  <si>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</si>
  <si>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</si>
  <si>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</si>
  <si>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</si>
  <si>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</si>
  <si>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</si>
  <si>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</si>
  <si>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</si>
  <si>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</si>
  <si>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</si>
  <si>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</si>
  <si>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</si>
  <si>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</si>
  <si>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</si>
  <si>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</si>
  <si>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</si>
  <si>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</si>
  <si>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</si>
  <si>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</si>
  <si>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</si>
  <si>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</si>
  <si>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</si>
  <si>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</si>
  <si>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</si>
  <si>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</si>
  <si>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</si>
  <si>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</si>
  <si>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</si>
  <si>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</si>
  <si>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</si>
  <si>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</si>
  <si>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</si>
  <si>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</si>
  <si>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</si>
  <si>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</si>
  <si>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</si>
  <si>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</si>
  <si>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</si>
  <si>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</si>
  <si>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</si>
  <si>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</si>
  <si>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</si>
  <si>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</si>
  <si>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</si>
  <si>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</si>
  <si>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</si>
  <si>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</si>
  <si>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</si>
  <si>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</si>
  <si>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</si>
  <si>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</si>
  <si>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</si>
  <si>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</si>
  <si>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</si>
  <si>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</si>
  <si>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</si>
  <si>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</si>
  <si>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</si>
  <si>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</si>
  <si>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</si>
  <si>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</si>
  <si>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</si>
  <si>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</si>
  <si>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</si>
  <si>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</si>
  <si>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</si>
  <si>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</si>
  <si>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</si>
  <si>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</si>
  <si>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</si>
  <si>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</si>
  <si>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</si>
  <si>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</si>
  <si>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</si>
  <si>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</si>
  <si>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</si>
  <si>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</si>
  <si>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</si>
  <si>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</si>
  <si>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</si>
  <si>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</si>
  <si>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</si>
  <si>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</si>
  <si>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</si>
  <si>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</si>
  <si>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</si>
  <si>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</si>
  <si>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</si>
  <si>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</si>
  <si>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</si>
  <si>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</si>
  <si>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</si>
  <si>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</si>
  <si>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</si>
  <si>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</si>
  <si>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</si>
  <si>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</si>
  <si>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</si>
  <si>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</si>
  <si>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</si>
  <si>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</si>
  <si>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</si>
  <si>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</si>
  <si>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</si>
  <si>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</si>
  <si>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</si>
  <si>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</si>
  <si>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</si>
  <si>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</si>
  <si>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</si>
  <si>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</si>
  <si>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</si>
  <si>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</si>
  <si>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</si>
  <si>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</si>
  <si>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</si>
  <si>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</si>
  <si>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</si>
  <si>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</si>
  <si>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</si>
  <si>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</si>
  <si>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</si>
  <si>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</si>
  <si>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</si>
  <si>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</si>
  <si>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</si>
  <si>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</si>
  <si>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</si>
  <si>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</si>
  <si>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</si>
  <si>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</si>
  <si>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</si>
  <si>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</si>
  <si>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</si>
  <si>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</si>
  <si>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</si>
  <si>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</si>
  <si>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</si>
  <si>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</si>
  <si>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</si>
  <si>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</si>
  <si>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</si>
  <si>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</si>
  <si>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</si>
  <si>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</si>
  <si>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</si>
  <si>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</si>
  <si>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</si>
  <si>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</si>
  <si>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</si>
  <si>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</si>
  <si>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</si>
  <si>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</si>
  <si>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</si>
  <si>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</si>
  <si>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</si>
  <si>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</si>
  <si>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</si>
  <si>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</si>
  <si>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</si>
  <si>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</si>
  <si>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</si>
  <si>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</si>
  <si>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</si>
  <si>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</si>
  <si>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</si>
  <si>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</si>
  <si>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</si>
  <si>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</si>
  <si>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</si>
  <si>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</si>
  <si>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</si>
  <si>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</si>
  <si>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</si>
  <si>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</si>
  <si>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</si>
  <si>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</si>
  <si>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</si>
  <si>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</si>
  <si>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</si>
  <si>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</si>
  <si>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</si>
  <si>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</si>
  <si>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</si>
  <si>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</si>
  <si>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</si>
  <si>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</si>
  <si>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</si>
  <si>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</si>
  <si>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</si>
  <si>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</si>
  <si>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</si>
  <si>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</si>
  <si>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</si>
  <si>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</si>
  <si>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</si>
  <si>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</si>
  <si>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</si>
  <si>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</si>
  <si>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</si>
  <si>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</si>
  <si>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</si>
  <si>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</si>
  <si>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</si>
  <si>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</si>
  <si>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</si>
  <si>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</si>
  <si>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</si>
  <si>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</si>
  <si>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</si>
  <si>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</si>
  <si>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</si>
  <si>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</si>
  <si>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</si>
  <si>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</si>
  <si>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</si>
  <si>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</si>
  <si>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</si>
  <si>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</si>
  <si>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</si>
  <si>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</si>
  <si>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</si>
  <si>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</si>
  <si>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</si>
  <si>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</si>
  <si>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</si>
  <si>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</si>
  <si>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</si>
  <si>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</si>
  <si>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</si>
  <si>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</si>
  <si>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</si>
  <si>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</si>
  <si>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</si>
  <si>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</si>
  <si>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</si>
  <si>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</si>
  <si>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</si>
  <si>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</si>
  <si>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</si>
  <si>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</si>
  <si>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</si>
  <si>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</si>
  <si>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</si>
  <si>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</si>
  <si>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</si>
  <si>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</si>
  <si>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</si>
  <si>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</si>
  <si>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</si>
  <si>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</si>
  <si>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</si>
  <si>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</si>
  <si>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</si>
  <si>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</si>
  <si>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</si>
  <si>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</si>
  <si>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</si>
  <si>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</si>
  <si>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</si>
  <si>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</si>
  <si>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</si>
  <si>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</si>
  <si>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</si>
  <si>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</si>
  <si>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</si>
  <si>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</si>
  <si>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</si>
  <si>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</si>
  <si>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</si>
  <si>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</si>
  <si>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</si>
  <si>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</si>
  <si>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</si>
  <si>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</si>
  <si>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</si>
  <si>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</si>
  <si>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</si>
  <si>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</si>
  <si>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</si>
  <si>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</si>
  <si>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</si>
  <si>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</si>
  <si>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</si>
  <si>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</si>
  <si>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</si>
  <si>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</si>
  <si>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</si>
  <si>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</si>
  <si>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</si>
  <si>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</si>
  <si>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</si>
  <si>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</si>
  <si>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</si>
  <si>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13008</t>
  </si>
  <si>
    <t>GEEL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</si>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</sst>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13008</v>
      </c>
      <c r="B6" s="394"/>
      <c r="C6" s="395"/>
    </row>
    <row r="7" spans="1:7" s="392" customFormat="1" ht="15.75" customHeight="1">
      <c r="A7" s="396" t="str">
        <f>txtMunicipality</f>
        <v>GEEL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0.21199349966560133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0.21199349966560133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15638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5302</v>
      </c>
      <c r="C14" s="331"/>
      <c r="D14" s="331"/>
      <c r="E14" s="331"/>
      <c r="F14" s="331"/>
    </row>
    <row r="15" spans="1:6">
      <c r="A15" s="1290" t="s">
        <v>183</v>
      </c>
      <c r="B15" s="1291">
        <v>10466</v>
      </c>
      <c r="C15" s="331"/>
      <c r="D15" s="331"/>
      <c r="E15" s="331"/>
      <c r="F15" s="331"/>
    </row>
    <row r="16" spans="1:6">
      <c r="A16" s="1290" t="s">
        <v>6</v>
      </c>
      <c r="B16" s="1291">
        <v>3358</v>
      </c>
      <c r="C16" s="331"/>
      <c r="D16" s="331"/>
      <c r="E16" s="331"/>
      <c r="F16" s="331"/>
    </row>
    <row r="17" spans="1:6">
      <c r="A17" s="1290" t="s">
        <v>7</v>
      </c>
      <c r="B17" s="1291">
        <v>596</v>
      </c>
      <c r="C17" s="331"/>
      <c r="D17" s="331"/>
      <c r="E17" s="331"/>
      <c r="F17" s="331"/>
    </row>
    <row r="18" spans="1:6">
      <c r="A18" s="1290" t="s">
        <v>8</v>
      </c>
      <c r="B18" s="1291">
        <v>2242</v>
      </c>
      <c r="C18" s="331"/>
      <c r="D18" s="331"/>
      <c r="E18" s="331"/>
      <c r="F18" s="331"/>
    </row>
    <row r="19" spans="1:6">
      <c r="A19" s="1290" t="s">
        <v>9</v>
      </c>
      <c r="B19" s="1291">
        <v>1978</v>
      </c>
      <c r="C19" s="331"/>
      <c r="D19" s="331"/>
      <c r="E19" s="331"/>
      <c r="F19" s="331"/>
    </row>
    <row r="20" spans="1:6">
      <c r="A20" s="1290" t="s">
        <v>10</v>
      </c>
      <c r="B20" s="1291">
        <v>1294</v>
      </c>
      <c r="C20" s="331"/>
      <c r="D20" s="331"/>
      <c r="E20" s="331"/>
      <c r="F20" s="331"/>
    </row>
    <row r="21" spans="1:6">
      <c r="A21" s="1290" t="s">
        <v>11</v>
      </c>
      <c r="B21" s="1291">
        <v>5412</v>
      </c>
      <c r="C21" s="331"/>
      <c r="D21" s="331"/>
      <c r="E21" s="331"/>
      <c r="F21" s="331"/>
    </row>
    <row r="22" spans="1:6">
      <c r="A22" s="1290" t="s">
        <v>12</v>
      </c>
      <c r="B22" s="1291">
        <v>11996</v>
      </c>
      <c r="C22" s="331"/>
      <c r="D22" s="331"/>
      <c r="E22" s="331"/>
      <c r="F22" s="331"/>
    </row>
    <row r="23" spans="1:6">
      <c r="A23" s="1290" t="s">
        <v>13</v>
      </c>
      <c r="B23" s="1291">
        <v>346</v>
      </c>
      <c r="C23" s="331"/>
      <c r="D23" s="331"/>
      <c r="E23" s="331"/>
      <c r="F23" s="331"/>
    </row>
    <row r="24" spans="1:6">
      <c r="A24" s="1290" t="s">
        <v>14</v>
      </c>
      <c r="B24" s="1291">
        <v>18</v>
      </c>
      <c r="C24" s="331"/>
      <c r="D24" s="331"/>
      <c r="E24" s="331"/>
      <c r="F24" s="331"/>
    </row>
    <row r="25" spans="1:6">
      <c r="A25" s="1290" t="s">
        <v>15</v>
      </c>
      <c r="B25" s="1291">
        <v>1704</v>
      </c>
      <c r="C25" s="331"/>
      <c r="D25" s="331"/>
      <c r="E25" s="331"/>
      <c r="F25" s="331"/>
    </row>
    <row r="26" spans="1:6">
      <c r="A26" s="1290" t="s">
        <v>16</v>
      </c>
      <c r="B26" s="1291">
        <v>121</v>
      </c>
      <c r="C26" s="331"/>
      <c r="D26" s="331"/>
      <c r="E26" s="331"/>
      <c r="F26" s="331"/>
    </row>
    <row r="27" spans="1:6">
      <c r="A27" s="1290" t="s">
        <v>17</v>
      </c>
      <c r="B27" s="1291">
        <v>42</v>
      </c>
      <c r="C27" s="331"/>
      <c r="D27" s="331"/>
      <c r="E27" s="331"/>
      <c r="F27" s="331"/>
    </row>
    <row r="28" spans="1:6" s="43" customFormat="1">
      <c r="A28" s="1292" t="s">
        <v>18</v>
      </c>
      <c r="B28" s="1293">
        <v>409641</v>
      </c>
      <c r="C28" s="337"/>
      <c r="D28" s="337"/>
      <c r="E28" s="337"/>
      <c r="F28" s="337"/>
    </row>
    <row r="29" spans="1:6">
      <c r="A29" s="1292" t="s">
        <v>966</v>
      </c>
      <c r="B29" s="1293">
        <v>467</v>
      </c>
      <c r="C29" s="337"/>
      <c r="D29" s="337"/>
      <c r="E29" s="337"/>
      <c r="F29" s="337"/>
    </row>
    <row r="30" spans="1:6">
      <c r="A30" s="1285" t="s">
        <v>967</v>
      </c>
      <c r="B30" s="1294">
        <v>67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20345.906924853502</v>
      </c>
    </row>
    <row r="37" spans="1:6">
      <c r="A37" s="1290" t="s">
        <v>24</v>
      </c>
      <c r="B37" s="1290" t="s">
        <v>27</v>
      </c>
      <c r="C37" s="1291">
        <v>0</v>
      </c>
      <c r="D37" s="1291">
        <v>0</v>
      </c>
      <c r="E37" s="1291">
        <v>0</v>
      </c>
      <c r="F37" s="1291">
        <v>0</v>
      </c>
    </row>
    <row r="38" spans="1:6">
      <c r="A38" s="1290" t="s">
        <v>24</v>
      </c>
      <c r="B38" s="1290" t="s">
        <v>28</v>
      </c>
      <c r="C38" s="1291">
        <v>1</v>
      </c>
      <c r="D38" s="1291">
        <v>20360.004910530999</v>
      </c>
      <c r="E38" s="1291">
        <v>2</v>
      </c>
      <c r="F38" s="1291">
        <v>36627.682918781</v>
      </c>
    </row>
    <row r="39" spans="1:6">
      <c r="A39" s="1290" t="s">
        <v>29</v>
      </c>
      <c r="B39" s="1290" t="s">
        <v>30</v>
      </c>
      <c r="C39" s="1291">
        <v>9467</v>
      </c>
      <c r="D39" s="1291">
        <v>161005282.46766499</v>
      </c>
      <c r="E39" s="1291">
        <v>15224</v>
      </c>
      <c r="F39" s="1291">
        <v>61027891.0622686</v>
      </c>
    </row>
    <row r="40" spans="1:6">
      <c r="A40" s="1290" t="s">
        <v>29</v>
      </c>
      <c r="B40" s="1290" t="s">
        <v>28</v>
      </c>
      <c r="C40" s="1291">
        <v>0</v>
      </c>
      <c r="D40" s="1291">
        <v>0</v>
      </c>
      <c r="E40" s="1291">
        <v>0</v>
      </c>
      <c r="F40" s="1291">
        <v>0</v>
      </c>
    </row>
    <row r="41" spans="1:6">
      <c r="A41" s="1290" t="s">
        <v>31</v>
      </c>
      <c r="B41" s="1290" t="s">
        <v>32</v>
      </c>
      <c r="C41" s="1291">
        <v>68</v>
      </c>
      <c r="D41" s="1291">
        <v>2674004.8339141202</v>
      </c>
      <c r="E41" s="1291">
        <v>214</v>
      </c>
      <c r="F41" s="1291">
        <v>6661656.6331652896</v>
      </c>
    </row>
    <row r="42" spans="1:6">
      <c r="A42" s="1290" t="s">
        <v>31</v>
      </c>
      <c r="B42" s="1290" t="s">
        <v>33</v>
      </c>
      <c r="C42" s="1291">
        <v>5</v>
      </c>
      <c r="D42" s="1291">
        <v>82650025.425750002</v>
      </c>
      <c r="E42" s="1291">
        <v>8</v>
      </c>
      <c r="F42" s="1291">
        <v>56422573.449418798</v>
      </c>
    </row>
    <row r="43" spans="1:6">
      <c r="A43" s="1290" t="s">
        <v>31</v>
      </c>
      <c r="B43" s="1290" t="s">
        <v>34</v>
      </c>
      <c r="C43" s="1291">
        <v>3</v>
      </c>
      <c r="D43" s="1291">
        <v>3011809.1659803698</v>
      </c>
      <c r="E43" s="1291">
        <v>0</v>
      </c>
      <c r="F43" s="1291">
        <v>0</v>
      </c>
    </row>
    <row r="44" spans="1:6">
      <c r="A44" s="1290" t="s">
        <v>31</v>
      </c>
      <c r="B44" s="1290" t="s">
        <v>35</v>
      </c>
      <c r="C44" s="1291">
        <v>0</v>
      </c>
      <c r="D44" s="1291">
        <v>0</v>
      </c>
      <c r="E44" s="1291">
        <v>13</v>
      </c>
      <c r="F44" s="1291">
        <v>1907914.3861885499</v>
      </c>
    </row>
    <row r="45" spans="1:6">
      <c r="A45" s="1290" t="s">
        <v>31</v>
      </c>
      <c r="B45" s="1290" t="s">
        <v>36</v>
      </c>
      <c r="C45" s="1291">
        <v>0</v>
      </c>
      <c r="D45" s="1291">
        <v>0</v>
      </c>
      <c r="E45" s="1291">
        <v>3</v>
      </c>
      <c r="F45" s="1291">
        <v>255302.05200151599</v>
      </c>
    </row>
    <row r="46" spans="1:6">
      <c r="A46" s="1290" t="s">
        <v>31</v>
      </c>
      <c r="B46" s="1290" t="s">
        <v>37</v>
      </c>
      <c r="C46" s="1291">
        <v>0</v>
      </c>
      <c r="D46" s="1291">
        <v>0</v>
      </c>
      <c r="E46" s="1291">
        <v>0</v>
      </c>
      <c r="F46" s="1291">
        <v>0</v>
      </c>
    </row>
    <row r="47" spans="1:6">
      <c r="A47" s="1290" t="s">
        <v>31</v>
      </c>
      <c r="B47" s="1290" t="s">
        <v>38</v>
      </c>
      <c r="C47" s="1291">
        <v>3</v>
      </c>
      <c r="D47" s="1291">
        <v>216896.59132067399</v>
      </c>
      <c r="E47" s="1291">
        <v>3</v>
      </c>
      <c r="F47" s="1291">
        <v>254562.4854038</v>
      </c>
    </row>
    <row r="48" spans="1:6">
      <c r="A48" s="1290" t="s">
        <v>31</v>
      </c>
      <c r="B48" s="1290" t="s">
        <v>28</v>
      </c>
      <c r="C48" s="1291">
        <v>46</v>
      </c>
      <c r="D48" s="1291">
        <v>42922864.828334898</v>
      </c>
      <c r="E48" s="1291">
        <v>61</v>
      </c>
      <c r="F48" s="1291">
        <v>34284613.195961297</v>
      </c>
    </row>
    <row r="49" spans="1:6">
      <c r="A49" s="1290" t="s">
        <v>31</v>
      </c>
      <c r="B49" s="1290" t="s">
        <v>39</v>
      </c>
      <c r="C49" s="1291">
        <v>0</v>
      </c>
      <c r="D49" s="1291">
        <v>0</v>
      </c>
      <c r="E49" s="1291">
        <v>0</v>
      </c>
      <c r="F49" s="1291">
        <v>0</v>
      </c>
    </row>
    <row r="50" spans="1:6">
      <c r="A50" s="1290" t="s">
        <v>31</v>
      </c>
      <c r="B50" s="1290" t="s">
        <v>40</v>
      </c>
      <c r="C50" s="1291">
        <v>11</v>
      </c>
      <c r="D50" s="1291">
        <v>794690.47678384103</v>
      </c>
      <c r="E50" s="1291">
        <v>18</v>
      </c>
      <c r="F50" s="1291">
        <v>656879.43379424501</v>
      </c>
    </row>
    <row r="51" spans="1:6">
      <c r="A51" s="1290" t="s">
        <v>41</v>
      </c>
      <c r="B51" s="1290" t="s">
        <v>42</v>
      </c>
      <c r="C51" s="1291">
        <v>9</v>
      </c>
      <c r="D51" s="1291">
        <v>190249.37134950899</v>
      </c>
      <c r="E51" s="1291">
        <v>157</v>
      </c>
      <c r="F51" s="1291">
        <v>4152627.0780771798</v>
      </c>
    </row>
    <row r="52" spans="1:6">
      <c r="A52" s="1290" t="s">
        <v>41</v>
      </c>
      <c r="B52" s="1290" t="s">
        <v>28</v>
      </c>
      <c r="C52" s="1291">
        <v>4</v>
      </c>
      <c r="D52" s="1291">
        <v>181664.67230988701</v>
      </c>
      <c r="E52" s="1291">
        <v>6</v>
      </c>
      <c r="F52" s="1291">
        <v>182402.27621113299</v>
      </c>
    </row>
    <row r="53" spans="1:6">
      <c r="A53" s="1290" t="s">
        <v>43</v>
      </c>
      <c r="B53" s="1290" t="s">
        <v>44</v>
      </c>
      <c r="C53" s="1291">
        <v>370</v>
      </c>
      <c r="D53" s="1291">
        <v>7259837.1846456202</v>
      </c>
      <c r="E53" s="1291">
        <v>748</v>
      </c>
      <c r="F53" s="1291">
        <v>6615186.15220166</v>
      </c>
    </row>
    <row r="54" spans="1:6">
      <c r="A54" s="1290" t="s">
        <v>45</v>
      </c>
      <c r="B54" s="1290" t="s">
        <v>46</v>
      </c>
      <c r="C54" s="1291">
        <v>0</v>
      </c>
      <c r="D54" s="1291">
        <v>0</v>
      </c>
      <c r="E54" s="1291">
        <v>1</v>
      </c>
      <c r="F54" s="1291">
        <v>1712419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66</v>
      </c>
      <c r="D57" s="1291">
        <v>3781527.8912648</v>
      </c>
      <c r="E57" s="1291">
        <v>297</v>
      </c>
      <c r="F57" s="1291">
        <v>17576573.2006118</v>
      </c>
    </row>
    <row r="58" spans="1:6">
      <c r="A58" s="1290" t="s">
        <v>48</v>
      </c>
      <c r="B58" s="1290" t="s">
        <v>50</v>
      </c>
      <c r="C58" s="1291">
        <v>66</v>
      </c>
      <c r="D58" s="1291">
        <v>15036622.3549583</v>
      </c>
      <c r="E58" s="1291">
        <v>104</v>
      </c>
      <c r="F58" s="1291">
        <v>6644095.1663815398</v>
      </c>
    </row>
    <row r="59" spans="1:6">
      <c r="A59" s="1290" t="s">
        <v>48</v>
      </c>
      <c r="B59" s="1290" t="s">
        <v>51</v>
      </c>
      <c r="C59" s="1291">
        <v>312</v>
      </c>
      <c r="D59" s="1291">
        <v>22238984.419750798</v>
      </c>
      <c r="E59" s="1291">
        <v>556</v>
      </c>
      <c r="F59" s="1291">
        <v>21587340.5659675</v>
      </c>
    </row>
    <row r="60" spans="1:6">
      <c r="A60" s="1290" t="s">
        <v>48</v>
      </c>
      <c r="B60" s="1290" t="s">
        <v>52</v>
      </c>
      <c r="C60" s="1291">
        <v>132</v>
      </c>
      <c r="D60" s="1291">
        <v>6374248.7893503802</v>
      </c>
      <c r="E60" s="1291">
        <v>212</v>
      </c>
      <c r="F60" s="1291">
        <v>5300874.9919400904</v>
      </c>
    </row>
    <row r="61" spans="1:6">
      <c r="A61" s="1290" t="s">
        <v>48</v>
      </c>
      <c r="B61" s="1290" t="s">
        <v>53</v>
      </c>
      <c r="C61" s="1291">
        <v>449</v>
      </c>
      <c r="D61" s="1291">
        <v>33818698.634308703</v>
      </c>
      <c r="E61" s="1291">
        <v>707</v>
      </c>
      <c r="F61" s="1291">
        <v>31925750.511507802</v>
      </c>
    </row>
    <row r="62" spans="1:6">
      <c r="A62" s="1290" t="s">
        <v>48</v>
      </c>
      <c r="B62" s="1290" t="s">
        <v>54</v>
      </c>
      <c r="C62" s="1291">
        <v>34</v>
      </c>
      <c r="D62" s="1291">
        <v>6171915.7457167804</v>
      </c>
      <c r="E62" s="1291">
        <v>34</v>
      </c>
      <c r="F62" s="1291">
        <v>2443466.9303909801</v>
      </c>
    </row>
    <row r="63" spans="1:6">
      <c r="A63" s="1290" t="s">
        <v>48</v>
      </c>
      <c r="B63" s="1290" t="s">
        <v>28</v>
      </c>
      <c r="C63" s="1291">
        <v>109</v>
      </c>
      <c r="D63" s="1291">
        <v>12053265.022359399</v>
      </c>
      <c r="E63" s="1291">
        <v>92</v>
      </c>
      <c r="F63" s="1291">
        <v>6080664.1939552901</v>
      </c>
    </row>
    <row r="64" spans="1:6">
      <c r="A64" s="1290" t="s">
        <v>55</v>
      </c>
      <c r="B64" s="1290" t="s">
        <v>56</v>
      </c>
      <c r="C64" s="1291">
        <v>0</v>
      </c>
      <c r="D64" s="1291">
        <v>0</v>
      </c>
      <c r="E64" s="1291">
        <v>0</v>
      </c>
      <c r="F64" s="1291">
        <v>0</v>
      </c>
    </row>
    <row r="65" spans="1:6">
      <c r="A65" s="1290" t="s">
        <v>55</v>
      </c>
      <c r="B65" s="1290" t="s">
        <v>28</v>
      </c>
      <c r="C65" s="1291">
        <v>1</v>
      </c>
      <c r="D65" s="1291">
        <v>41055.324109588597</v>
      </c>
      <c r="E65" s="1291">
        <v>2</v>
      </c>
      <c r="F65" s="1291">
        <v>36473.214191059997</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7</v>
      </c>
      <c r="D68" s="1294">
        <v>356221.93362330901</v>
      </c>
      <c r="E68" s="1294">
        <v>25</v>
      </c>
      <c r="F68" s="1294">
        <v>632021.27656841895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264574498</v>
      </c>
      <c r="E73" s="455"/>
      <c r="F73" s="331"/>
    </row>
    <row r="74" spans="1:6">
      <c r="A74" s="1290" t="s">
        <v>63</v>
      </c>
      <c r="B74" s="1290" t="s">
        <v>773</v>
      </c>
      <c r="C74" s="1304" t="s">
        <v>774</v>
      </c>
      <c r="D74" s="1305">
        <v>22861146.957085036</v>
      </c>
      <c r="E74" s="455"/>
      <c r="F74" s="331"/>
    </row>
    <row r="75" spans="1:6">
      <c r="A75" s="1290" t="s">
        <v>64</v>
      </c>
      <c r="B75" s="1290" t="s">
        <v>771</v>
      </c>
      <c r="C75" s="1304" t="s">
        <v>775</v>
      </c>
      <c r="D75" s="1305">
        <v>55431376</v>
      </c>
      <c r="E75" s="455"/>
      <c r="F75" s="331"/>
    </row>
    <row r="76" spans="1:6">
      <c r="A76" s="1290" t="s">
        <v>64</v>
      </c>
      <c r="B76" s="1290" t="s">
        <v>773</v>
      </c>
      <c r="C76" s="1304" t="s">
        <v>776</v>
      </c>
      <c r="D76" s="1305">
        <v>859028.95708503481</v>
      </c>
      <c r="E76" s="455"/>
      <c r="F76" s="331"/>
    </row>
    <row r="77" spans="1:6">
      <c r="A77" s="1290" t="s">
        <v>65</v>
      </c>
      <c r="B77" s="1290" t="s">
        <v>771</v>
      </c>
      <c r="C77" s="1304" t="s">
        <v>777</v>
      </c>
      <c r="D77" s="1305">
        <v>73391799</v>
      </c>
      <c r="E77" s="455"/>
      <c r="F77" s="331"/>
    </row>
    <row r="78" spans="1:6">
      <c r="A78" s="1285" t="s">
        <v>65</v>
      </c>
      <c r="B78" s="1285" t="s">
        <v>773</v>
      </c>
      <c r="C78" s="1285" t="s">
        <v>778</v>
      </c>
      <c r="D78" s="1306">
        <v>17016905</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1079870.0858299304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5008.0943338592087</v>
      </c>
      <c r="C91" s="331"/>
      <c r="D91" s="331"/>
      <c r="E91" s="331"/>
      <c r="F91" s="331"/>
    </row>
    <row r="92" spans="1:6">
      <c r="A92" s="1285" t="s">
        <v>68</v>
      </c>
      <c r="B92" s="1286">
        <v>6023.9981731526777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5739</v>
      </c>
      <c r="C97" s="331"/>
      <c r="D97" s="331"/>
      <c r="E97" s="331"/>
      <c r="F97" s="331"/>
    </row>
    <row r="98" spans="1:6">
      <c r="A98" s="1290" t="s">
        <v>71</v>
      </c>
      <c r="B98" s="1291">
        <v>29</v>
      </c>
      <c r="C98" s="331"/>
      <c r="D98" s="331"/>
      <c r="E98" s="331"/>
      <c r="F98" s="331"/>
    </row>
    <row r="99" spans="1:6">
      <c r="A99" s="1290" t="s">
        <v>72</v>
      </c>
      <c r="B99" s="1291">
        <v>146</v>
      </c>
      <c r="C99" s="331"/>
      <c r="D99" s="331"/>
      <c r="E99" s="331"/>
      <c r="F99" s="331"/>
    </row>
    <row r="100" spans="1:6">
      <c r="A100" s="1290" t="s">
        <v>73</v>
      </c>
      <c r="B100" s="1291">
        <v>564</v>
      </c>
      <c r="C100" s="331"/>
      <c r="D100" s="331"/>
      <c r="E100" s="331"/>
      <c r="F100" s="331"/>
    </row>
    <row r="101" spans="1:6">
      <c r="A101" s="1290" t="s">
        <v>74</v>
      </c>
      <c r="B101" s="1291">
        <v>165</v>
      </c>
      <c r="C101" s="331"/>
      <c r="D101" s="331"/>
      <c r="E101" s="331"/>
      <c r="F101" s="331"/>
    </row>
    <row r="102" spans="1:6">
      <c r="A102" s="1290" t="s">
        <v>75</v>
      </c>
      <c r="B102" s="1291">
        <v>199</v>
      </c>
      <c r="C102" s="331"/>
      <c r="D102" s="331"/>
      <c r="E102" s="331"/>
      <c r="F102" s="331"/>
    </row>
    <row r="103" spans="1:6">
      <c r="A103" s="1290" t="s">
        <v>76</v>
      </c>
      <c r="B103" s="1291">
        <v>307</v>
      </c>
      <c r="C103" s="331"/>
      <c r="D103" s="331"/>
      <c r="E103" s="331"/>
      <c r="F103" s="331"/>
    </row>
    <row r="104" spans="1:6">
      <c r="A104" s="1290" t="s">
        <v>77</v>
      </c>
      <c r="B104" s="1291">
        <v>6048</v>
      </c>
      <c r="C104" s="331"/>
      <c r="D104" s="331"/>
      <c r="E104" s="331"/>
      <c r="F104" s="331"/>
    </row>
    <row r="105" spans="1:6">
      <c r="A105" s="1285" t="s">
        <v>78</v>
      </c>
      <c r="B105" s="1294">
        <v>15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29</v>
      </c>
      <c r="C123" s="1291">
        <v>20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152</v>
      </c>
      <c r="C129" s="331"/>
      <c r="D129" s="331"/>
      <c r="E129" s="331"/>
      <c r="F129" s="331"/>
    </row>
    <row r="130" spans="1:6">
      <c r="A130" s="1290" t="s">
        <v>294</v>
      </c>
      <c r="B130" s="1291">
        <v>0</v>
      </c>
      <c r="C130" s="331"/>
      <c r="D130" s="331"/>
      <c r="E130" s="331"/>
      <c r="F130" s="331"/>
    </row>
    <row r="131" spans="1:6">
      <c r="A131" s="1290" t="s">
        <v>295</v>
      </c>
      <c r="B131" s="1291">
        <v>5</v>
      </c>
      <c r="C131" s="331"/>
      <c r="D131" s="331"/>
      <c r="E131" s="331"/>
      <c r="F131" s="331"/>
    </row>
    <row r="132" spans="1:6">
      <c r="A132" s="1285" t="s">
        <v>296</v>
      </c>
      <c r="B132" s="1286">
        <v>37</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270703.64220581698</v>
      </c>
      <c r="C3" s="43" t="s">
        <v>169</v>
      </c>
      <c r="D3" s="43"/>
      <c r="E3" s="156"/>
      <c r="F3" s="43"/>
      <c r="G3" s="43"/>
      <c r="H3" s="43"/>
      <c r="I3" s="43"/>
      <c r="J3" s="43"/>
      <c r="K3" s="96"/>
    </row>
    <row r="4" spans="1:11">
      <c r="A4" s="362" t="s">
        <v>170</v>
      </c>
      <c r="B4" s="49">
        <f>IF(ISERROR('SEAP template'!B78+'SEAP template'!C78),0,'SEAP template'!B78+'SEAP template'!C78)</f>
        <v>11032.092507011886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0.21199349966560133</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1712.4190000000001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1712.4190000000001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0.21199349966560133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363.0216967038694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61027.891062268602</v>
      </c>
      <c r="C5" s="17">
        <f>IF(ISERROR('Eigen informatie GS &amp; warmtenet'!B57),0,'Eigen informatie GS &amp; warmtenet'!B57)</f>
        <v>0</v>
      </c>
      <c r="D5" s="30">
        <f>(SUM(HH_hh_gas_kWh,HH_rest_gas_kWh)/1000)*0.902</f>
        <v>145226.7647858338</v>
      </c>
      <c r="E5" s="17">
        <f>B46*B57</f>
        <v>38763.382366035308</v>
      </c>
      <c r="F5" s="17">
        <f>B51*B62</f>
        <v>60934.507522020947</v>
      </c>
      <c r="G5" s="18"/>
      <c r="H5" s="17"/>
      <c r="I5" s="17"/>
      <c r="J5" s="17">
        <f>B50*B61+C50*C61</f>
        <v>0</v>
      </c>
      <c r="K5" s="17"/>
      <c r="L5" s="17"/>
      <c r="M5" s="17"/>
      <c r="N5" s="17">
        <f>B48*B59+C48*C59</f>
        <v>38946.77558146407</v>
      </c>
      <c r="O5" s="17">
        <f>B69*B70*B71</f>
        <v>268.89333333333332</v>
      </c>
      <c r="P5" s="17">
        <f>B77*B78*B79/1000-B77*B78*B79/1000/B80</f>
        <v>1258.4000000000001</v>
      </c>
    </row>
    <row r="6" spans="1:16">
      <c r="A6" s="16" t="s">
        <v>631</v>
      </c>
      <c r="B6" s="776">
        <f>kWh_PV_kleiner_dan_10kW</f>
        <v>5008.0943338592087</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66035.985396127813</v>
      </c>
      <c r="C8" s="21">
        <f>C5</f>
        <v>0</v>
      </c>
      <c r="D8" s="21">
        <f>D5</f>
        <v>145226.7647858338</v>
      </c>
      <c r="E8" s="21">
        <f>E5</f>
        <v>38763.382366035308</v>
      </c>
      <c r="F8" s="21">
        <f>F5</f>
        <v>60934.507522020947</v>
      </c>
      <c r="G8" s="21"/>
      <c r="H8" s="21"/>
      <c r="I8" s="21"/>
      <c r="J8" s="21">
        <f>J5</f>
        <v>0</v>
      </c>
      <c r="K8" s="21"/>
      <c r="L8" s="21">
        <f>L5</f>
        <v>0</v>
      </c>
      <c r="M8" s="21">
        <f>M5</f>
        <v>0</v>
      </c>
      <c r="N8" s="21">
        <f>N5</f>
        <v>38946.77558146407</v>
      </c>
      <c r="O8" s="21">
        <f>O5</f>
        <v>268.89333333333332</v>
      </c>
      <c r="P8" s="21">
        <f>P5</f>
        <v>1258.4000000000001</v>
      </c>
    </row>
    <row r="9" spans="1:16">
      <c r="B9" s="19"/>
      <c r="C9" s="19"/>
      <c r="D9" s="260"/>
      <c r="E9" s="19"/>
      <c r="F9" s="19"/>
      <c r="G9" s="19"/>
      <c r="H9" s="19"/>
      <c r="I9" s="19"/>
      <c r="J9" s="19"/>
      <c r="K9" s="19"/>
      <c r="L9" s="19"/>
      <c r="M9" s="19"/>
      <c r="N9" s="19"/>
      <c r="O9" s="19"/>
      <c r="P9" s="19"/>
    </row>
    <row r="10" spans="1:16">
      <c r="A10" s="24" t="s">
        <v>213</v>
      </c>
      <c r="B10" s="25">
        <f ca="1">'EF ele_warmte'!B12</f>
        <v>0.21199349966560133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13999.199647991676</v>
      </c>
      <c r="C12" s="23">
        <f ca="1">C10*C8</f>
        <v>0</v>
      </c>
      <c r="D12" s="23">
        <f>D8*D10</f>
        <v>29335.806486738431</v>
      </c>
      <c r="E12" s="23">
        <f>E10*E8</f>
        <v>8799.2877970900154</v>
      </c>
      <c r="F12" s="23">
        <f>F10*F8</f>
        <v>16269.513508379594</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5739</v>
      </c>
      <c r="C18" s="167" t="s">
        <v>110</v>
      </c>
      <c r="D18" s="229"/>
      <c r="E18" s="15"/>
    </row>
    <row r="19" spans="1:7">
      <c r="A19" s="172" t="s">
        <v>71</v>
      </c>
      <c r="B19" s="37">
        <f>aantalw2001_ander</f>
        <v>29</v>
      </c>
      <c r="C19" s="167" t="s">
        <v>110</v>
      </c>
      <c r="D19" s="230"/>
      <c r="E19" s="15"/>
    </row>
    <row r="20" spans="1:7">
      <c r="A20" s="172" t="s">
        <v>72</v>
      </c>
      <c r="B20" s="37">
        <f>aantalw2001_propaan</f>
        <v>146</v>
      </c>
      <c r="C20" s="168">
        <f>IF(ISERROR(B20/SUM($B$20,$B$21,$B$22)*100),0,B20/SUM($B$20,$B$21,$B$22)*100)</f>
        <v>16.685714285714287</v>
      </c>
      <c r="D20" s="230"/>
      <c r="E20" s="15"/>
    </row>
    <row r="21" spans="1:7">
      <c r="A21" s="172" t="s">
        <v>73</v>
      </c>
      <c r="B21" s="37">
        <f>aantalw2001_elektriciteit</f>
        <v>564</v>
      </c>
      <c r="C21" s="168">
        <f>IF(ISERROR(B21/SUM($B$20,$B$21,$B$22)*100),0,B21/SUM($B$20,$B$21,$B$22)*100)</f>
        <v>64.457142857142856</v>
      </c>
      <c r="D21" s="230"/>
      <c r="E21" s="15"/>
    </row>
    <row r="22" spans="1:7">
      <c r="A22" s="172" t="s">
        <v>74</v>
      </c>
      <c r="B22" s="37">
        <f>aantalw2001_hout</f>
        <v>165</v>
      </c>
      <c r="C22" s="168">
        <f>IF(ISERROR(B22/SUM($B$20,$B$21,$B$22)*100),0,B22/SUM($B$20,$B$21,$B$22)*100)</f>
        <v>18.857142857142858</v>
      </c>
      <c r="D22" s="230"/>
      <c r="E22" s="15"/>
    </row>
    <row r="23" spans="1:7">
      <c r="A23" s="172" t="s">
        <v>75</v>
      </c>
      <c r="B23" s="37">
        <f>aantalw2001_niet_gespec</f>
        <v>199</v>
      </c>
      <c r="C23" s="167" t="s">
        <v>110</v>
      </c>
      <c r="D23" s="229"/>
      <c r="E23" s="15"/>
    </row>
    <row r="24" spans="1:7">
      <c r="A24" s="172" t="s">
        <v>76</v>
      </c>
      <c r="B24" s="37">
        <f>aantalw2001_steenkool</f>
        <v>307</v>
      </c>
      <c r="C24" s="167" t="s">
        <v>110</v>
      </c>
      <c r="D24" s="230"/>
      <c r="E24" s="15"/>
    </row>
    <row r="25" spans="1:7">
      <c r="A25" s="172" t="s">
        <v>77</v>
      </c>
      <c r="B25" s="37">
        <f>aantalw2001_stookolie</f>
        <v>6048</v>
      </c>
      <c r="C25" s="167" t="s">
        <v>110</v>
      </c>
      <c r="D25" s="229"/>
      <c r="E25" s="52"/>
    </row>
    <row r="26" spans="1:7">
      <c r="A26" s="172" t="s">
        <v>78</v>
      </c>
      <c r="B26" s="37">
        <f>aantalw2001_WP</f>
        <v>15</v>
      </c>
      <c r="C26" s="167" t="s">
        <v>110</v>
      </c>
      <c r="D26" s="229"/>
      <c r="E26" s="15"/>
    </row>
    <row r="27" spans="1:7" s="15" customFormat="1">
      <c r="A27" s="172"/>
      <c r="B27" s="29"/>
      <c r="C27" s="36"/>
      <c r="D27" s="229"/>
    </row>
    <row r="28" spans="1:7" s="15" customFormat="1">
      <c r="A28" s="231" t="s">
        <v>711</v>
      </c>
      <c r="B28" s="37">
        <f>aantalHuishoudens</f>
        <v>15638</v>
      </c>
      <c r="C28" s="36"/>
      <c r="D28" s="229"/>
    </row>
    <row r="29" spans="1:7" s="15" customFormat="1">
      <c r="A29" s="231" t="s">
        <v>712</v>
      </c>
      <c r="B29" s="37">
        <f>SUM(HH_hh_gas_aantal,HH_rest_gas_aantal)</f>
        <v>9467</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9467</v>
      </c>
      <c r="C32" s="168">
        <f>IF(ISERROR(B32/SUM($B$32,$B$34,$B$35,$B$36,$B$38,$B$39)*100),0,B32/SUM($B$32,$B$34,$B$35,$B$36,$B$38,$B$39)*100)</f>
        <v>60.795016696634988</v>
      </c>
      <c r="D32" s="234"/>
      <c r="G32" s="15"/>
    </row>
    <row r="33" spans="1:7">
      <c r="A33" s="172" t="s">
        <v>71</v>
      </c>
      <c r="B33" s="34" t="s">
        <v>110</v>
      </c>
      <c r="C33" s="168"/>
      <c r="D33" s="234"/>
      <c r="G33" s="15"/>
    </row>
    <row r="34" spans="1:7">
      <c r="A34" s="172" t="s">
        <v>72</v>
      </c>
      <c r="B34" s="33">
        <f>IF((($B$28-$B$32-$B$39-$B$77-$B$38)*C20/100)&lt;0,0,($B$28-$B$32-$B$39-$B$77-$B$38)*C20/100)</f>
        <v>569.34994285714299</v>
      </c>
      <c r="C34" s="168">
        <f>IF(ISERROR(B34/SUM($B$32,$B$34,$B$35,$B$36,$B$38,$B$39)*100),0,B34/SUM($B$32,$B$34,$B$35,$B$36,$B$38,$B$39)*100)</f>
        <v>3.6562416058126317</v>
      </c>
      <c r="D34" s="234"/>
      <c r="G34" s="15"/>
    </row>
    <row r="35" spans="1:7">
      <c r="A35" s="172" t="s">
        <v>73</v>
      </c>
      <c r="B35" s="33">
        <f>IF((($B$28-$B$32-$B$39-$B$77-$B$38)*C21/100)&lt;0,0,($B$28-$B$32-$B$39-$B$77-$B$38)*C21/100)</f>
        <v>2199.4066285714284</v>
      </c>
      <c r="C35" s="168">
        <f>IF(ISERROR(B35/SUM($B$32,$B$34,$B$35,$B$36,$B$38,$B$39)*100),0,B35/SUM($B$32,$B$34,$B$35,$B$36,$B$38,$B$39)*100)</f>
        <v>14.12411140875564</v>
      </c>
      <c r="D35" s="234"/>
      <c r="G35" s="15"/>
    </row>
    <row r="36" spans="1:7">
      <c r="A36" s="172" t="s">
        <v>74</v>
      </c>
      <c r="B36" s="33">
        <f>IF((($B$28-$B$32-$B$39-$B$77-$B$38)*C22/100)&lt;0,0,($B$28-$B$32-$B$39-$B$77-$B$38)*C22/100)</f>
        <v>643.44342857142863</v>
      </c>
      <c r="C36" s="168">
        <f>IF(ISERROR(B36/SUM($B$32,$B$34,$B$35,$B$36,$B$38,$B$39)*100),0,B36/SUM($B$32,$B$34,$B$35,$B$36,$B$38,$B$39)*100)</f>
        <v>4.1320538695827675</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2692.7999999999997</v>
      </c>
      <c r="C39" s="168">
        <f>IF(ISERROR(B39/SUM($B$32,$B$34,$B$35,$B$36,$B$38,$B$39)*100),0,B39/SUM($B$32,$B$34,$B$35,$B$36,$B$38,$B$39)*100)</f>
        <v>17.292576419213972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9467</v>
      </c>
      <c r="C44" s="34" t="s">
        <v>110</v>
      </c>
      <c r="D44" s="175"/>
    </row>
    <row r="45" spans="1:7">
      <c r="A45" s="172" t="s">
        <v>71</v>
      </c>
      <c r="B45" s="33" t="str">
        <f t="shared" si="0"/>
        <v>-</v>
      </c>
      <c r="C45" s="34" t="s">
        <v>110</v>
      </c>
      <c r="D45" s="175"/>
    </row>
    <row r="46" spans="1:7">
      <c r="A46" s="172" t="s">
        <v>72</v>
      </c>
      <c r="B46" s="33">
        <f t="shared" si="0"/>
        <v>569.34994285714299</v>
      </c>
      <c r="C46" s="34" t="s">
        <v>110</v>
      </c>
      <c r="D46" s="175"/>
    </row>
    <row r="47" spans="1:7">
      <c r="A47" s="172" t="s">
        <v>73</v>
      </c>
      <c r="B47" s="33">
        <f t="shared" si="0"/>
        <v>2199.4066285714284</v>
      </c>
      <c r="C47" s="34" t="s">
        <v>110</v>
      </c>
      <c r="D47" s="175"/>
    </row>
    <row r="48" spans="1:7">
      <c r="A48" s="172" t="s">
        <v>74</v>
      </c>
      <c r="B48" s="33">
        <f t="shared" si="0"/>
        <v>643.44342857142863</v>
      </c>
      <c r="C48" s="33">
        <f>B48*10</f>
        <v>6434.4342857142865</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2692.7999999999997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172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66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91558.765560755011</v>
      </c>
      <c r="C5" s="17">
        <f>IF(ISERROR('Eigen informatie GS &amp; warmtenet'!B58),0,'Eigen informatie GS &amp; warmtenet'!B58)</f>
        <v>0</v>
      </c>
      <c r="D5" s="30">
        <f>SUM(D6:D12)</f>
        <v>89726.687097653674</v>
      </c>
      <c r="E5" s="17">
        <f>SUM(E6:E12)</f>
        <v>1769.5694373884216</v>
      </c>
      <c r="F5" s="17">
        <f>SUM(F6:F12)</f>
        <v>18356.690591982864</v>
      </c>
      <c r="G5" s="18"/>
      <c r="H5" s="17"/>
      <c r="I5" s="17"/>
      <c r="J5" s="17">
        <f>SUM(J6:J12)</f>
        <v>0</v>
      </c>
      <c r="K5" s="17"/>
      <c r="L5" s="17"/>
      <c r="M5" s="17"/>
      <c r="N5" s="17">
        <f>SUM(N6:N12)</f>
        <v>4544.9801542344549</v>
      </c>
      <c r="O5" s="17">
        <f>B38*B39*B40</f>
        <v>0</v>
      </c>
      <c r="P5" s="17">
        <f>B46*B47*B48/1000-B46*B47*B48/1000/B49</f>
        <v>95.333333333333343</v>
      </c>
      <c r="R5" s="32"/>
    </row>
    <row r="6" spans="1:18">
      <c r="A6" s="32" t="s">
        <v>53</v>
      </c>
      <c r="B6" s="37">
        <f>B26</f>
        <v>31925.750511507802</v>
      </c>
      <c r="C6" s="33"/>
      <c r="D6" s="37">
        <f>IF(ISERROR(TER_kantoor_gas_kWh/1000),0,TER_kantoor_gas_kWh/1000)*0.902</f>
        <v>30504.466168146453</v>
      </c>
      <c r="E6" s="33">
        <f>$C$26*'E Balans VL '!I12/100/3.6*1000000</f>
        <v>1117.5268557164254</v>
      </c>
      <c r="F6" s="33">
        <f>$C$26*('E Balans VL '!L12+'E Balans VL '!N12)/100/3.6*1000000</f>
        <v>4840.6292166913763</v>
      </c>
      <c r="G6" s="34"/>
      <c r="H6" s="33"/>
      <c r="I6" s="33"/>
      <c r="J6" s="33">
        <f>$C$26*('E Balans VL '!D12+'E Balans VL '!E12)/100/3.6*1000000</f>
        <v>0</v>
      </c>
      <c r="K6" s="33"/>
      <c r="L6" s="33"/>
      <c r="M6" s="33"/>
      <c r="N6" s="33">
        <f>$C$26*'E Balans VL '!Y12/100/3.6*1000000</f>
        <v>246.77605896905075</v>
      </c>
      <c r="O6" s="33"/>
      <c r="P6" s="33"/>
      <c r="R6" s="32"/>
    </row>
    <row r="7" spans="1:18">
      <c r="A7" s="32" t="s">
        <v>52</v>
      </c>
      <c r="B7" s="37">
        <f t="shared" ref="B7:B12" si="0">B27</f>
        <v>5300.8749919400907</v>
      </c>
      <c r="C7" s="33"/>
      <c r="D7" s="37">
        <f>IF(ISERROR(TER_horeca_gas_kWh/1000),0,TER_horeca_gas_kWh/1000)*0.902</f>
        <v>5749.5724079940428</v>
      </c>
      <c r="E7" s="33">
        <f>$C$27*'E Balans VL '!I9/100/3.6*1000000</f>
        <v>299.03983401693648</v>
      </c>
      <c r="F7" s="33">
        <f>$C$27*('E Balans VL '!L9+'E Balans VL '!N9)/100/3.6*1000000</f>
        <v>923.44175901481822</v>
      </c>
      <c r="G7" s="34"/>
      <c r="H7" s="33"/>
      <c r="I7" s="33"/>
      <c r="J7" s="33">
        <f>$C$27*('E Balans VL '!D9+'E Balans VL '!E9)/100/3.6*1000000</f>
        <v>0</v>
      </c>
      <c r="K7" s="33"/>
      <c r="L7" s="33"/>
      <c r="M7" s="33"/>
      <c r="N7" s="33">
        <f>$C$27*'E Balans VL '!Y9/100/3.6*1000000</f>
        <v>0</v>
      </c>
      <c r="O7" s="33"/>
      <c r="P7" s="33"/>
      <c r="R7" s="32"/>
    </row>
    <row r="8" spans="1:18">
      <c r="A8" s="6" t="s">
        <v>51</v>
      </c>
      <c r="B8" s="37">
        <f t="shared" si="0"/>
        <v>21587.340565967501</v>
      </c>
      <c r="C8" s="33"/>
      <c r="D8" s="37">
        <f>IF(ISERROR(TER_handel_gas_kWh/1000),0,TER_handel_gas_kWh/1000)*0.902</f>
        <v>20059.563946615221</v>
      </c>
      <c r="E8" s="33">
        <f>$C$28*'E Balans VL '!I13/100/3.6*1000000</f>
        <v>110.82721322368502</v>
      </c>
      <c r="F8" s="33">
        <f>$C$28*('E Balans VL '!L13+'E Balans VL '!N13)/100/3.6*1000000</f>
        <v>3328.4343566191528</v>
      </c>
      <c r="G8" s="34"/>
      <c r="H8" s="33"/>
      <c r="I8" s="33"/>
      <c r="J8" s="33">
        <f>$C$28*('E Balans VL '!D13+'E Balans VL '!E13)/100/3.6*1000000</f>
        <v>0</v>
      </c>
      <c r="K8" s="33"/>
      <c r="L8" s="33"/>
      <c r="M8" s="33"/>
      <c r="N8" s="33">
        <f>$C$28*'E Balans VL '!Y13/100/3.6*1000000</f>
        <v>10.096662691663902</v>
      </c>
      <c r="O8" s="33"/>
      <c r="P8" s="33"/>
      <c r="R8" s="32"/>
    </row>
    <row r="9" spans="1:18">
      <c r="A9" s="32" t="s">
        <v>50</v>
      </c>
      <c r="B9" s="37">
        <f t="shared" si="0"/>
        <v>6644.0951663815395</v>
      </c>
      <c r="C9" s="33"/>
      <c r="D9" s="37">
        <f>IF(ISERROR(TER_gezond_gas_kWh/1000),0,TER_gezond_gas_kWh/1000)*0.902</f>
        <v>13563.033364172386</v>
      </c>
      <c r="E9" s="33">
        <f>$C$29*'E Balans VL '!I10/100/3.6*1000000</f>
        <v>2.7539301289152243</v>
      </c>
      <c r="F9" s="33">
        <f>$C$29*('E Balans VL '!L10+'E Balans VL '!N10)/100/3.6*1000000</f>
        <v>1636.3453504442423</v>
      </c>
      <c r="G9" s="34"/>
      <c r="H9" s="33"/>
      <c r="I9" s="33"/>
      <c r="J9" s="33">
        <f>$C$29*('E Balans VL '!D10+'E Balans VL '!E10)/100/3.6*1000000</f>
        <v>0</v>
      </c>
      <c r="K9" s="33"/>
      <c r="L9" s="33"/>
      <c r="M9" s="33"/>
      <c r="N9" s="33">
        <f>$C$29*'E Balans VL '!Y10/100/3.6*1000000</f>
        <v>57.421427204368172</v>
      </c>
      <c r="O9" s="33"/>
      <c r="P9" s="33"/>
      <c r="R9" s="32"/>
    </row>
    <row r="10" spans="1:18">
      <c r="A10" s="32" t="s">
        <v>49</v>
      </c>
      <c r="B10" s="37">
        <f t="shared" si="0"/>
        <v>17576.573200611801</v>
      </c>
      <c r="C10" s="33"/>
      <c r="D10" s="37">
        <f>IF(ISERROR(TER_ander_gas_kWh/1000),0,TER_ander_gas_kWh/1000)*0.902</f>
        <v>3410.9381579208498</v>
      </c>
      <c r="E10" s="33">
        <f>$C$30*'E Balans VL '!I14/100/3.6*1000000</f>
        <v>107.14722389240235</v>
      </c>
      <c r="F10" s="33">
        <f>$C$30*('E Balans VL '!L14+'E Balans VL '!N14)/100/3.6*1000000</f>
        <v>4659.7903272231115</v>
      </c>
      <c r="G10" s="34"/>
      <c r="H10" s="33"/>
      <c r="I10" s="33"/>
      <c r="J10" s="33">
        <f>$C$30*('E Balans VL '!D14+'E Balans VL '!E14)/100/3.6*1000000</f>
        <v>0</v>
      </c>
      <c r="K10" s="33"/>
      <c r="L10" s="33"/>
      <c r="M10" s="33"/>
      <c r="N10" s="33">
        <f>$C$30*'E Balans VL '!Y14/100/3.6*1000000</f>
        <v>4051.0203209491688</v>
      </c>
      <c r="O10" s="33"/>
      <c r="P10" s="33"/>
      <c r="R10" s="32"/>
    </row>
    <row r="11" spans="1:18">
      <c r="A11" s="32" t="s">
        <v>54</v>
      </c>
      <c r="B11" s="37">
        <f t="shared" si="0"/>
        <v>2443.46693039098</v>
      </c>
      <c r="C11" s="33"/>
      <c r="D11" s="37">
        <f>IF(ISERROR(TER_onderwijs_gas_kWh/1000),0,TER_onderwijs_gas_kWh/1000)*0.902</f>
        <v>5567.0680026365362</v>
      </c>
      <c r="E11" s="33">
        <f>$C$31*'E Balans VL '!I11/100/3.6*1000000</f>
        <v>1.862049033625121</v>
      </c>
      <c r="F11" s="33">
        <f>$C$31*('E Balans VL '!L11+'E Balans VL '!N11)/100/3.6*1000000</f>
        <v>1768.2265783903013</v>
      </c>
      <c r="G11" s="34"/>
      <c r="H11" s="33"/>
      <c r="I11" s="33"/>
      <c r="J11" s="33">
        <f>$C$31*('E Balans VL '!D11+'E Balans VL '!E11)/100/3.6*1000000</f>
        <v>0</v>
      </c>
      <c r="K11" s="33"/>
      <c r="L11" s="33"/>
      <c r="M11" s="33"/>
      <c r="N11" s="33">
        <f>$C$31*'E Balans VL '!Y11/100/3.6*1000000</f>
        <v>7.2014810218173553</v>
      </c>
      <c r="O11" s="33"/>
      <c r="P11" s="33"/>
      <c r="R11" s="32"/>
    </row>
    <row r="12" spans="1:18">
      <c r="A12" s="32" t="s">
        <v>259</v>
      </c>
      <c r="B12" s="37">
        <f t="shared" si="0"/>
        <v>6080.6641939552901</v>
      </c>
      <c r="C12" s="33"/>
      <c r="D12" s="37">
        <f>IF(ISERROR(TER_rest_gas_kWh/1000),0,TER_rest_gas_kWh/1000)*0.902</f>
        <v>10872.045050168179</v>
      </c>
      <c r="E12" s="33">
        <f>$C$32*'E Balans VL '!I8/100/3.6*1000000</f>
        <v>130.41233137643201</v>
      </c>
      <c r="F12" s="33">
        <f>$C$32*('E Balans VL '!L8+'E Balans VL '!N8)/100/3.6*1000000</f>
        <v>1199.8230035998597</v>
      </c>
      <c r="G12" s="34"/>
      <c r="H12" s="33"/>
      <c r="I12" s="33"/>
      <c r="J12" s="33">
        <f>$C$32*('E Balans VL '!D8+'E Balans VL '!E8)/100/3.6*1000000</f>
        <v>0</v>
      </c>
      <c r="K12" s="33"/>
      <c r="L12" s="33"/>
      <c r="M12" s="33"/>
      <c r="N12" s="33">
        <f>$C$32*'E Balans VL '!Y8/100/3.6*1000000</f>
        <v>172.46420339838653</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91558.765560755011</v>
      </c>
      <c r="C16" s="21">
        <f ca="1">C5+C13+C14</f>
        <v>0</v>
      </c>
      <c r="D16" s="21">
        <f t="shared" ref="D16:N16" ca="1" si="1">MAX((D5+D13+D14),0)</f>
        <v>89726.687097653674</v>
      </c>
      <c r="E16" s="21">
        <f t="shared" si="1"/>
        <v>1769.5694373884216</v>
      </c>
      <c r="F16" s="21">
        <f t="shared" ca="1" si="1"/>
        <v>18356.690591982864</v>
      </c>
      <c r="G16" s="21">
        <f t="shared" si="1"/>
        <v>0</v>
      </c>
      <c r="H16" s="21">
        <f t="shared" si="1"/>
        <v>0</v>
      </c>
      <c r="I16" s="21">
        <f t="shared" si="1"/>
        <v>0</v>
      </c>
      <c r="J16" s="21">
        <f t="shared" si="1"/>
        <v>0</v>
      </c>
      <c r="K16" s="21">
        <f t="shared" si="1"/>
        <v>0</v>
      </c>
      <c r="L16" s="21">
        <f t="shared" ca="1" si="1"/>
        <v>0</v>
      </c>
      <c r="M16" s="21">
        <f t="shared" si="1"/>
        <v>0</v>
      </c>
      <c r="N16" s="21">
        <f t="shared" ca="1" si="1"/>
        <v>4544.9801542344549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0.21199349966560133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19409.863136286789</v>
      </c>
      <c r="C20" s="23">
        <f t="shared" ref="C20:P20" ca="1" si="2">C16*C18</f>
        <v>0</v>
      </c>
      <c r="D20" s="23">
        <f t="shared" ca="1" si="2"/>
        <v>18124.790793726042</v>
      </c>
      <c r="E20" s="23">
        <f t="shared" si="2"/>
        <v>401.69226228717173</v>
      </c>
      <c r="F20" s="23">
        <f t="shared" ca="1" si="2"/>
        <v>4901.2363880594248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31925.750511507802</v>
      </c>
      <c r="C26" s="39">
        <f>IF(ISERROR(B26*3.6/1000000/'E Balans VL '!Z12*100),0,B26*3.6/1000000/'E Balans VL '!Z12*100)</f>
        <v>0.67182447464274675</v>
      </c>
      <c r="D26" s="238" t="s">
        <v>718</v>
      </c>
      <c r="F26" s="6"/>
    </row>
    <row r="27" spans="1:18">
      <c r="A27" s="232" t="s">
        <v>52</v>
      </c>
      <c r="B27" s="33">
        <f>IF(ISERROR(TER_horeca_ele_kWh/1000),0,TER_horeca_ele_kWh/1000)</f>
        <v>5300.8749919400907</v>
      </c>
      <c r="C27" s="39">
        <f>IF(ISERROR(B27*3.6/1000000/'E Balans VL '!Z9*100),0,B27*3.6/1000000/'E Balans VL '!Z9*100)</f>
        <v>0.44881019024678015</v>
      </c>
      <c r="D27" s="238" t="s">
        <v>718</v>
      </c>
      <c r="F27" s="6"/>
    </row>
    <row r="28" spans="1:18">
      <c r="A28" s="172" t="s">
        <v>51</v>
      </c>
      <c r="B28" s="33">
        <f>IF(ISERROR(TER_handel_ele_kWh/1000),0,TER_handel_ele_kWh/1000)</f>
        <v>21587.340565967501</v>
      </c>
      <c r="C28" s="39">
        <f>IF(ISERROR(B28*3.6/1000000/'E Balans VL '!Z13*100),0,B28*3.6/1000000/'E Balans VL '!Z13*100)</f>
        <v>0.59764253849195736</v>
      </c>
      <c r="D28" s="238" t="s">
        <v>718</v>
      </c>
      <c r="F28" s="6"/>
    </row>
    <row r="29" spans="1:18">
      <c r="A29" s="232" t="s">
        <v>50</v>
      </c>
      <c r="B29" s="33">
        <f>IF(ISERROR(TER_gezond_ele_kWh/1000),0,TER_gezond_ele_kWh/1000)</f>
        <v>6644.0951663815395</v>
      </c>
      <c r="C29" s="39">
        <f>IF(ISERROR(B29*3.6/1000000/'E Balans VL '!Z10*100),0,B29*3.6/1000000/'E Balans VL '!Z10*100)</f>
        <v>0.8636587132468706</v>
      </c>
      <c r="D29" s="238" t="s">
        <v>718</v>
      </c>
      <c r="F29" s="6"/>
    </row>
    <row r="30" spans="1:18">
      <c r="A30" s="232" t="s">
        <v>49</v>
      </c>
      <c r="B30" s="33">
        <f>IF(ISERROR(TER_ander_ele_kWh/1000),0,TER_ander_ele_kWh/1000)</f>
        <v>17576.573200611801</v>
      </c>
      <c r="C30" s="39">
        <f>IF(ISERROR(B30*3.6/1000000/'E Balans VL '!Z14*100),0,B30*3.6/1000000/'E Balans VL '!Z14*100)</f>
        <v>1.3623456125370934</v>
      </c>
      <c r="D30" s="238" t="s">
        <v>718</v>
      </c>
      <c r="F30" s="6"/>
    </row>
    <row r="31" spans="1:18">
      <c r="A31" s="232" t="s">
        <v>54</v>
      </c>
      <c r="B31" s="33">
        <f>IF(ISERROR(TER_onderwijs_ele_kWh/1000),0,TER_onderwijs_ele_kWh/1000)</f>
        <v>2443.46693039098</v>
      </c>
      <c r="C31" s="39">
        <f>IF(ISERROR(B31*3.6/1000000/'E Balans VL '!Z11*100),0,B31*3.6/1000000/'E Balans VL '!Z11*100)</f>
        <v>0.46747685957918572</v>
      </c>
      <c r="D31" s="238" t="s">
        <v>718</v>
      </c>
    </row>
    <row r="32" spans="1:18">
      <c r="A32" s="232" t="s">
        <v>259</v>
      </c>
      <c r="B32" s="33">
        <f>IF(ISERROR(TER_rest_ele_kWh/1000),0,TER_rest_ele_kWh/1000)</f>
        <v>6080.6641939552901</v>
      </c>
      <c r="C32" s="39">
        <f>IF(ISERROR(B32*3.6/1000000/'E Balans VL '!Z8*100),0,B32*3.6/1000000/'E Balans VL '!Z8*100)</f>
        <v>5.0139745715830762E-2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5</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100443.5016359335</v>
      </c>
      <c r="C5" s="17">
        <f>IF(ISERROR('Eigen informatie GS &amp; warmtenet'!B59),0,'Eigen informatie GS &amp; warmtenet'!B59)</f>
        <v>0</v>
      </c>
      <c r="D5" s="30">
        <f>SUM(D6:D15)</f>
        <v>119307.80277251969</v>
      </c>
      <c r="E5" s="17">
        <f>SUM(E6:E15)</f>
        <v>646.1767284167347</v>
      </c>
      <c r="F5" s="17">
        <f>SUM(F6:F15)</f>
        <v>12639.18075845509</v>
      </c>
      <c r="G5" s="18"/>
      <c r="H5" s="17"/>
      <c r="I5" s="17"/>
      <c r="J5" s="17">
        <f>SUM(J6:J15)</f>
        <v>274.97131082383839</v>
      </c>
      <c r="K5" s="17"/>
      <c r="L5" s="17"/>
      <c r="M5" s="17"/>
      <c r="N5" s="17">
        <f>SUM(N6:N15)</f>
        <v>1391.2939185708856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2716.6518677142935</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1907.91438618855</v>
      </c>
      <c r="C8" s="33"/>
      <c r="D8" s="37">
        <f>IF( ISERROR(IND_metaal_Gas_kWH/1000),0,IND_metaal_Gas_kWH/1000)*0.902</f>
        <v>0</v>
      </c>
      <c r="E8" s="33">
        <f>C30*'E Balans VL '!I18/100/3.6*1000000</f>
        <v>13.406493429532585</v>
      </c>
      <c r="F8" s="33">
        <f>C30*'E Balans VL '!L18/100/3.6*1000000+C30*'E Balans VL '!N18/100/3.6*1000000</f>
        <v>209.47783720564513</v>
      </c>
      <c r="G8" s="34"/>
      <c r="H8" s="33"/>
      <c r="I8" s="33"/>
      <c r="J8" s="40">
        <f>C30*'E Balans VL '!D18/100/3.6*1000000+C30*'E Balans VL '!E18/100/3.6*1000000</f>
        <v>39.364386090040249</v>
      </c>
      <c r="K8" s="33"/>
      <c r="L8" s="33"/>
      <c r="M8" s="33"/>
      <c r="N8" s="33">
        <f>C30*'E Balans VL '!Y18/100/3.6*1000000</f>
        <v>7.1510005272813926</v>
      </c>
      <c r="O8" s="33"/>
      <c r="P8" s="33"/>
      <c r="R8" s="32"/>
    </row>
    <row r="9" spans="1:18">
      <c r="A9" s="6" t="s">
        <v>32</v>
      </c>
      <c r="B9" s="37">
        <f t="shared" si="0"/>
        <v>6661.6566331652893</v>
      </c>
      <c r="C9" s="33"/>
      <c r="D9" s="37">
        <f>IF( ISERROR(IND_andere_gas_kWh/1000),0,IND_andere_gas_kWh/1000)*0.902</f>
        <v>2411.9523601905366</v>
      </c>
      <c r="E9" s="33">
        <f>C31*'E Balans VL '!I19/100/3.6*1000000</f>
        <v>111.8906839439462</v>
      </c>
      <c r="F9" s="33">
        <f>C31*'E Balans VL '!L19/100/3.6*1000000+C31*'E Balans VL '!N19/100/3.6*1000000</f>
        <v>5207.7037361771427</v>
      </c>
      <c r="G9" s="34"/>
      <c r="H9" s="33"/>
      <c r="I9" s="33"/>
      <c r="J9" s="40">
        <f>C31*'E Balans VL '!D19/100/3.6*1000000+C31*'E Balans VL '!E19/100/3.6*1000000</f>
        <v>0.60082262330424518</v>
      </c>
      <c r="K9" s="33"/>
      <c r="L9" s="33"/>
      <c r="M9" s="33"/>
      <c r="N9" s="33">
        <f>C31*'E Balans VL '!Y19/100/3.6*1000000</f>
        <v>493.7356333890794</v>
      </c>
      <c r="O9" s="33"/>
      <c r="P9" s="33"/>
      <c r="R9" s="32"/>
    </row>
    <row r="10" spans="1:18">
      <c r="A10" s="6" t="s">
        <v>40</v>
      </c>
      <c r="B10" s="37">
        <f t="shared" si="0"/>
        <v>656.87943379424496</v>
      </c>
      <c r="C10" s="33"/>
      <c r="D10" s="37">
        <f>IF( ISERROR(IND_voed_gas_kWh/1000),0,IND_voed_gas_kWh/1000)*0.902</f>
        <v>716.81081005902467</v>
      </c>
      <c r="E10" s="33">
        <f>C32*'E Balans VL '!I20/100/3.6*1000000</f>
        <v>5.9930949877031017</v>
      </c>
      <c r="F10" s="33">
        <f>C32*'E Balans VL '!L20/100/3.6*1000000+C32*'E Balans VL '!N20/100/3.6*1000000</f>
        <v>105.97519865730783</v>
      </c>
      <c r="G10" s="34"/>
      <c r="H10" s="33"/>
      <c r="I10" s="33"/>
      <c r="J10" s="40">
        <f>C32*'E Balans VL '!D20/100/3.6*1000000+C32*'E Balans VL '!E20/100/3.6*1000000</f>
        <v>2.7054601793681607</v>
      </c>
      <c r="K10" s="33"/>
      <c r="L10" s="33"/>
      <c r="M10" s="33"/>
      <c r="N10" s="33">
        <f>C32*'E Balans VL '!Y20/100/3.6*1000000</f>
        <v>9.6096281524390452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255.30205200151599</v>
      </c>
      <c r="C12" s="33"/>
      <c r="D12" s="37">
        <f>IF( ISERROR(IND_min_gas_kWh/1000),0,IND_min_gas_kWh/1000)*0.902</f>
        <v>0</v>
      </c>
      <c r="E12" s="33">
        <f>C34*'E Balans VL '!I22/100/3.6*1000000</f>
        <v>6.3323208889438201</v>
      </c>
      <c r="F12" s="33">
        <f>C34*'E Balans VL '!L22/100/3.6*1000000+C34*'E Balans VL '!N22/100/3.6*1000000</f>
        <v>27.128287541354247</v>
      </c>
      <c r="G12" s="34"/>
      <c r="H12" s="33"/>
      <c r="I12" s="33"/>
      <c r="J12" s="40">
        <f>C34*'E Balans VL '!D22/100/3.6*1000000+C34*'E Balans VL '!E22/100/3.6*1000000</f>
        <v>1.4502654569628557</v>
      </c>
      <c r="K12" s="33"/>
      <c r="L12" s="33"/>
      <c r="M12" s="33"/>
      <c r="N12" s="33">
        <f>C34*'E Balans VL '!Y22/100/3.6*1000000</f>
        <v>0</v>
      </c>
      <c r="O12" s="33"/>
      <c r="P12" s="33"/>
      <c r="R12" s="32"/>
    </row>
    <row r="13" spans="1:18">
      <c r="A13" s="6" t="s">
        <v>38</v>
      </c>
      <c r="B13" s="37">
        <f t="shared" si="0"/>
        <v>254.5624854038</v>
      </c>
      <c r="C13" s="33"/>
      <c r="D13" s="37">
        <f>IF( ISERROR(IND_papier_gas_kWh/1000),0,IND_papier_gas_kWh/1000)*0.902</f>
        <v>195.64072537124795</v>
      </c>
      <c r="E13" s="33">
        <f>C35*'E Balans VL '!I23/100/3.6*1000000</f>
        <v>7.8322233269566022</v>
      </c>
      <c r="F13" s="33">
        <f>C35*'E Balans VL '!L23/100/3.6*1000000+C35*'E Balans VL '!N23/100/3.6*1000000</f>
        <v>54.0525120844691</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56422.5734494188</v>
      </c>
      <c r="C14" s="33"/>
      <c r="D14" s="37">
        <f>IF( ISERROR(IND_chemie_gas_kWh/1000),0,IND_chemie_gas_kWh/1000)*0.902</f>
        <v>74550.32293402651</v>
      </c>
      <c r="E14" s="33">
        <f>C36*'E Balans VL '!I24/100/3.6*1000000</f>
        <v>191.31138598295919</v>
      </c>
      <c r="F14" s="33">
        <f>C36*'E Balans VL '!L24/100/3.6*1000000+C36*'E Balans VL '!N24/100/3.6*1000000</f>
        <v>181.07370860384481</v>
      </c>
      <c r="G14" s="34"/>
      <c r="H14" s="33"/>
      <c r="I14" s="33"/>
      <c r="J14" s="40">
        <f>C36*'E Balans VL '!D24/100/3.6*1000000+C36*'E Balans VL '!E24/100/3.6*1000000</f>
        <v>0</v>
      </c>
      <c r="K14" s="33"/>
      <c r="L14" s="33"/>
      <c r="M14" s="33"/>
      <c r="N14" s="33">
        <f>C36*'E Balans VL '!Y24/100/3.6*1000000</f>
        <v>263.81666266001304</v>
      </c>
      <c r="O14" s="33"/>
      <c r="P14" s="33"/>
      <c r="R14" s="32"/>
    </row>
    <row r="15" spans="1:18">
      <c r="A15" s="6" t="s">
        <v>269</v>
      </c>
      <c r="B15" s="37">
        <f t="shared" si="0"/>
        <v>34284.613195961298</v>
      </c>
      <c r="C15" s="33"/>
      <c r="D15" s="37">
        <f>IF( ISERROR(IND_rest_gas_kWh/1000),0,IND_rest_gas_kWh/1000)*0.902</f>
        <v>38716.42407515808</v>
      </c>
      <c r="E15" s="33">
        <f>C37*'E Balans VL '!I15/100/3.6*1000000</f>
        <v>309.4105258566932</v>
      </c>
      <c r="F15" s="33">
        <f>C37*'E Balans VL '!L15/100/3.6*1000000+C37*'E Balans VL '!N15/100/3.6*1000000</f>
        <v>6853.7694781853243</v>
      </c>
      <c r="G15" s="34"/>
      <c r="H15" s="33"/>
      <c r="I15" s="33"/>
      <c r="J15" s="40">
        <f>C37*'E Balans VL '!D15/100/3.6*1000000+C37*'E Balans VL '!E15/100/3.6*1000000</f>
        <v>230.85037647416286</v>
      </c>
      <c r="K15" s="33"/>
      <c r="L15" s="33"/>
      <c r="M15" s="33"/>
      <c r="N15" s="33">
        <f>C37*'E Balans VL '!Y15/100/3.6*1000000</f>
        <v>616.98099384207273</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100443.5016359335</v>
      </c>
      <c r="C18" s="21">
        <f>C5+C16</f>
        <v>0</v>
      </c>
      <c r="D18" s="21">
        <f>MAX((D5+D16),0)</f>
        <v>119307.80277251969</v>
      </c>
      <c r="E18" s="21">
        <f>MAX((E5+E16),0)</f>
        <v>646.1767284167347</v>
      </c>
      <c r="F18" s="21">
        <f>MAX((F5+F16),0)</f>
        <v>12639.18075845509</v>
      </c>
      <c r="G18" s="21"/>
      <c r="H18" s="21"/>
      <c r="I18" s="21"/>
      <c r="J18" s="21">
        <f>MAX((J5+J16),0)</f>
        <v>274.97131082383839</v>
      </c>
      <c r="K18" s="21"/>
      <c r="L18" s="21">
        <f>MAX((L5+L16),0)</f>
        <v>0</v>
      </c>
      <c r="M18" s="21"/>
      <c r="N18" s="21">
        <f>MAX((N5+N16),0)</f>
        <v>1391.2939185708856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0.21199349966560133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21293.369430469094</v>
      </c>
      <c r="C22" s="23">
        <f ca="1">C18*C20</f>
        <v>0</v>
      </c>
      <c r="D22" s="23">
        <f>D18*D20</f>
        <v>24100.176160048977</v>
      </c>
      <c r="E22" s="23">
        <f>E18*E20</f>
        <v>146.68211735059879</v>
      </c>
      <c r="F22" s="23">
        <f>F18*F20</f>
        <v>3374.661262507509</v>
      </c>
      <c r="G22" s="23"/>
      <c r="H22" s="23"/>
      <c r="I22" s="23"/>
      <c r="J22" s="23">
        <f>J18*J20</f>
        <v>97.339844031638791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1907.91438618855</v>
      </c>
      <c r="C30" s="39">
        <f>IF(ISERROR(B30*3.6/1000000/'E Balans VL '!Z18*100),0,B30*3.6/1000000/'E Balans VL '!Z18*100)</f>
        <v>0.1270110257587268</v>
      </c>
      <c r="D30" s="238" t="s">
        <v>718</v>
      </c>
    </row>
    <row r="31" spans="1:18">
      <c r="A31" s="6" t="s">
        <v>32</v>
      </c>
      <c r="B31" s="37">
        <f>IF( ISERROR(IND_ander_ele_kWh/1000),0,IND_ander_ele_kWh/1000)</f>
        <v>6661.6566331652893</v>
      </c>
      <c r="C31" s="39">
        <f>IF(ISERROR(B31*3.6/1000000/'E Balans VL '!Z19*100),0,B31*3.6/1000000/'E Balans VL '!Z19*100)</f>
        <v>0.29528483875703521</v>
      </c>
      <c r="D31" s="238" t="s">
        <v>718</v>
      </c>
    </row>
    <row r="32" spans="1:18">
      <c r="A32" s="172" t="s">
        <v>40</v>
      </c>
      <c r="B32" s="37">
        <f>IF( ISERROR(IND_voed_ele_kWh/1000),0,IND_voed_ele_kWh/1000)</f>
        <v>656.87943379424496</v>
      </c>
      <c r="C32" s="39">
        <f>IF(ISERROR(B32*3.6/1000000/'E Balans VL '!Z20*100),0,B32*3.6/1000000/'E Balans VL '!Z20*100)</f>
        <v>2.1941657431941663E-2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255.30205200151599</v>
      </c>
      <c r="C34" s="39">
        <f>IF(ISERROR(B34*3.6/1000000/'E Balans VL '!Z22*100),0,B34*3.6/1000000/'E Balans VL '!Z22*100)</f>
        <v>4.9653444780661589E-2</v>
      </c>
      <c r="D34" s="238" t="s">
        <v>718</v>
      </c>
    </row>
    <row r="35" spans="1:5">
      <c r="A35" s="172" t="s">
        <v>38</v>
      </c>
      <c r="B35" s="37">
        <f>IF( ISERROR(IND_papier_ele_kWh/1000),0,IND_papier_ele_kWh/1000)</f>
        <v>254.5624854038</v>
      </c>
      <c r="C35" s="39">
        <f>IF(ISERROR(B35*3.6/1000000/'E Balans VL '!Z22*100),0,B35*3.6/1000000/'E Balans VL '!Z22*100)</f>
        <v>4.9509607201083133E-2</v>
      </c>
      <c r="D35" s="238" t="s">
        <v>718</v>
      </c>
    </row>
    <row r="36" spans="1:5">
      <c r="A36" s="172" t="s">
        <v>33</v>
      </c>
      <c r="B36" s="37">
        <f>IF( ISERROR(IND_chemie_ele_kWh/1000),0,IND_chemie_ele_kWh/1000)</f>
        <v>56422.5734494188</v>
      </c>
      <c r="C36" s="39">
        <f>IF(ISERROR(B36*3.6/1000000/'E Balans VL '!Z24*100),0,B36*3.6/1000000/'E Balans VL '!Z24*100)</f>
        <v>1.3249539930610754</v>
      </c>
      <c r="D36" s="238" t="s">
        <v>718</v>
      </c>
    </row>
    <row r="37" spans="1:5">
      <c r="A37" s="172" t="s">
        <v>269</v>
      </c>
      <c r="B37" s="37">
        <f>IF( ISERROR(IND_rest_ele_kWh/1000),0,IND_rest_ele_kWh/1000)</f>
        <v>34284.613195961298</v>
      </c>
      <c r="C37" s="39">
        <f>IF(ISERROR(B37*3.6/1000000/'E Balans VL '!Z15*100),0,B37*3.6/1000000/'E Balans VL '!Z15*100)</f>
        <v>0.2550216677653116</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4335.0293542883128</v>
      </c>
      <c r="C5" s="17">
        <f>'Eigen informatie GS &amp; warmtenet'!B60</f>
        <v>0</v>
      </c>
      <c r="D5" s="30">
        <f>IF(ISERROR(SUM(LB_lb_gas_kWh,LB_rest_gas_kWh)/1000),0,SUM(LB_lb_gas_kWh,LB_rest_gas_kWh)/1000)*0.902</f>
        <v>335.46646738077521</v>
      </c>
      <c r="E5" s="17">
        <f>B17*'E Balans VL '!I25/3.6*1000000/100</f>
        <v>45.397365893690775</v>
      </c>
      <c r="F5" s="17">
        <f>B17*('E Balans VL '!L25/3.6*1000000+'E Balans VL '!N25/3.6*1000000)/100</f>
        <v>18557.219559102214</v>
      </c>
      <c r="G5" s="18"/>
      <c r="H5" s="17"/>
      <c r="I5" s="17"/>
      <c r="J5" s="17">
        <f>('E Balans VL '!D25+'E Balans VL '!E25)/3.6*1000000*landbouw!B17/100</f>
        <v>387.15697686891093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4335.0293542883128</v>
      </c>
      <c r="C8" s="21">
        <f>C5+C6</f>
        <v>0</v>
      </c>
      <c r="D8" s="21">
        <f>MAX((D5+D6),0)</f>
        <v>335.46646738077521</v>
      </c>
      <c r="E8" s="21">
        <f>MAX((E5+E6),0)</f>
        <v>45.397365893690775</v>
      </c>
      <c r="F8" s="21">
        <f>MAX((F5+F6),0)</f>
        <v>18557.219559102214</v>
      </c>
      <c r="G8" s="21"/>
      <c r="H8" s="21"/>
      <c r="I8" s="21"/>
      <c r="J8" s="21">
        <f>MAX((J5+J6),0)</f>
        <v>387.15697686891093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0.21199349966560133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918.99804396869138</v>
      </c>
      <c r="C12" s="23">
        <f ca="1">C8*C10</f>
        <v>0</v>
      </c>
      <c r="D12" s="23">
        <f>D8*D10</f>
        <v>67.764226410916592</v>
      </c>
      <c r="E12" s="23">
        <f>E8*E10</f>
        <v>10.305202057867806</v>
      </c>
      <c r="F12" s="23">
        <f>F8*F10</f>
        <v>4954.7776222802913</v>
      </c>
      <c r="G12" s="23"/>
      <c r="H12" s="23"/>
      <c r="I12" s="23"/>
      <c r="J12" s="23">
        <f>J8*J10</f>
        <v>137.05356981159446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0.66724469915572515</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849.30821160816538</v>
      </c>
      <c r="C26" s="248">
        <f>B26*'GWP N2O_CH4'!B5</f>
        <v>17835.472443771472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296.04726625951116</v>
      </c>
      <c r="C27" s="248">
        <f>B27*'GWP N2O_CH4'!B5</f>
        <v>6216.9925914497344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19.280534610211763</v>
      </c>
      <c r="C28" s="248">
        <f>B28*'GWP N2O_CH4'!B4</f>
        <v>5976.9657291656467</v>
      </c>
      <c r="D28" s="50"/>
    </row>
    <row r="29" spans="1:4">
      <c r="A29" s="41" t="s">
        <v>276</v>
      </c>
      <c r="B29" s="248">
        <f>B34*'ha_N2O bodem landbouw'!B4</f>
        <v>47.702424663518443</v>
      </c>
      <c r="C29" s="248">
        <f>B29*'GWP N2O_CH4'!B4</f>
        <v>14787.751645690718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7.88345218482547E-3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9.918383438431665E-6</v>
      </c>
      <c r="C5" s="443" t="s">
        <v>210</v>
      </c>
      <c r="D5" s="428">
        <f>SUM(D6:D11)</f>
        <v>5.154548339250675E-5</v>
      </c>
      <c r="E5" s="428">
        <f>SUM(E6:E11)</f>
        <v>5.485435331750812E-3</v>
      </c>
      <c r="F5" s="441" t="s">
        <v>210</v>
      </c>
      <c r="G5" s="428">
        <f>SUM(G6:G11)</f>
        <v>1.1044762653074094</v>
      </c>
      <c r="H5" s="428">
        <f>SUM(H6:H11)</f>
        <v>0.17975117579532937</v>
      </c>
      <c r="I5" s="443" t="s">
        <v>210</v>
      </c>
      <c r="J5" s="443" t="s">
        <v>210</v>
      </c>
      <c r="K5" s="443" t="s">
        <v>210</v>
      </c>
      <c r="L5" s="443" t="s">
        <v>210</v>
      </c>
      <c r="M5" s="428">
        <f>SUM(M6:M11)</f>
        <v>5.5852987141123606E-2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6.6704800238982903E-6</v>
      </c>
      <c r="C6" s="429"/>
      <c r="D6" s="429">
        <f>vkm_GW_PW*SUMIFS(TableVerdeelsleutelVkm[CNG],TableVerdeelsleutelVkm[Voertuigtype],"Lichte voertuigen")*SUMIFS(TableECFTransport[EnergieConsumptieFactor (PJ per km)],TableECFTransport[Index],CONCATENATE($A6,"_CNG_CNG"))</f>
        <v>3.163978935241923E-5</v>
      </c>
      <c r="E6" s="431">
        <f>vkm_GW_PW*SUMIFS(TableVerdeelsleutelVkm[LPG],TableVerdeelsleutelVkm[Voertuigtype],"Lichte voertuigen")*SUMIFS(TableECFTransport[EnergieConsumptieFactor (PJ per km)],TableECFTransport[Index],CONCATENATE($A6,"_LPG_LPG"))</f>
        <v>3.2740581848408972E-3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0.44346320305216519</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0.11041737652403512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2.4185997888425986E-2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0.21475924814659986</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5.9643614398658748E-6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9.2519246078396778E-3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1.3975416720064799E-6</v>
      </c>
      <c r="C8" s="429"/>
      <c r="D8" s="431">
        <f>vkm_NGW_PW*SUMIFS(TableVerdeelsleutelVkm[CNG],TableVerdeelsleutelVkm[Voertuigtype],"Lichte voertuigen")*SUMIFS(TableECFTransport[EnergieConsumptieFactor (PJ per km)],TableECFTransport[Index],CONCATENATE($A8,"_CNG_CNG"))</f>
        <v>1.1214851262165912E-5</v>
      </c>
      <c r="E8" s="431">
        <f>vkm_NGW_PW*SUMIFS(TableVerdeelsleutelVkm[LPG],TableVerdeelsleutelVkm[Voertuigtype],"Lichte voertuigen")*SUMIFS(TableECFTransport[EnergieConsumptieFactor (PJ per km)],TableECFTransport[Index],CONCATENATE($A8,"_LPG_LPG"))</f>
        <v>1.0873396638491485E-3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0.14116244019859539</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3.7076011528934548E-2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7.7875880267122572E-3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1.1169603042484984E-2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3.7350510277450113E-7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4.81194415660585E-4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1.8503617425268948E-6</v>
      </c>
      <c r="C10" s="429"/>
      <c r="D10" s="431">
        <f>vkm_SW_PW*SUMIFS(TableVerdeelsleutelVkm[CNG],TableVerdeelsleutelVkm[Voertuigtype],"Lichte voertuigen")*SUMIFS(TableECFTransport[EnergieConsumptieFactor (PJ per km)],TableECFTransport[Index],CONCATENATE($A10,"_CNG_CNG"))</f>
        <v>8.6908427779216112E-6</v>
      </c>
      <c r="E10" s="431">
        <f>vkm_SW_PW*SUMIFS(TableVerdeelsleutelVkm[LPG],TableVerdeelsleutelVkm[Voertuigtype],"Lichte voertuigen")*SUMIFS(TableECFTransport[EnergieConsumptieFactor (PJ per km)],TableECFTransport[Index],CONCATENATE($A10,"_LPG_LPG"))</f>
        <v>1.1240374830607661E-3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0.1400130921299893</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3.2246959938202341E-2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7.5158174616157163E-3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0.15390867873757472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4.4899376147218011E-6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6.6304647408693797E-3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2.7551065106754624</v>
      </c>
      <c r="C14" s="21"/>
      <c r="D14" s="21">
        <f t="shared" ref="D14:M14" si="0">((D5)*10^9/3600)+D12</f>
        <v>14.318189831251875</v>
      </c>
      <c r="E14" s="21">
        <f t="shared" si="0"/>
        <v>1523.7320365974479</v>
      </c>
      <c r="F14" s="21"/>
      <c r="G14" s="21">
        <f t="shared" si="0"/>
        <v>306798.96258539148</v>
      </c>
      <c r="H14" s="21">
        <f t="shared" si="0"/>
        <v>49930.882165369265</v>
      </c>
      <c r="I14" s="21"/>
      <c r="J14" s="21"/>
      <c r="K14" s="21"/>
      <c r="L14" s="21"/>
      <c r="M14" s="21">
        <f t="shared" si="0"/>
        <v>15514.718650312114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0.21199349966560133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0.58406467114957472</v>
      </c>
      <c r="C18" s="23"/>
      <c r="D18" s="23">
        <f t="shared" ref="D18:M18" si="1">D14*D16</f>
        <v>2.8922743459128788</v>
      </c>
      <c r="E18" s="23">
        <f t="shared" si="1"/>
        <v>345.88717230762069</v>
      </c>
      <c r="F18" s="23"/>
      <c r="G18" s="23">
        <f t="shared" si="1"/>
        <v>81915.323010299529</v>
      </c>
      <c r="H18" s="23">
        <f t="shared" si="1"/>
        <v>12432.789659176948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1.424581657090857E-2</v>
      </c>
      <c r="H50" s="320">
        <f t="shared" si="2"/>
        <v>0</v>
      </c>
      <c r="I50" s="320">
        <f t="shared" si="2"/>
        <v>0</v>
      </c>
      <c r="J50" s="320">
        <f t="shared" si="2"/>
        <v>0</v>
      </c>
      <c r="K50" s="320">
        <f t="shared" si="2"/>
        <v>0</v>
      </c>
      <c r="L50" s="320">
        <f t="shared" si="2"/>
        <v>0</v>
      </c>
      <c r="M50" s="320">
        <f t="shared" si="2"/>
        <v>6.0578450178346151E-4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1.424581657090857E-2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6.0578450178346151E-4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3957.1712696968252</v>
      </c>
      <c r="H54" s="21">
        <f t="shared" si="3"/>
        <v>0</v>
      </c>
      <c r="I54" s="21">
        <f t="shared" si="3"/>
        <v>0</v>
      </c>
      <c r="J54" s="21">
        <f t="shared" si="3"/>
        <v>0</v>
      </c>
      <c r="K54" s="21">
        <f t="shared" si="3"/>
        <v>0</v>
      </c>
      <c r="L54" s="21">
        <f t="shared" si="3"/>
        <v>0</v>
      </c>
      <c r="M54" s="21">
        <f t="shared" si="3"/>
        <v>168.27347271762821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0.21199349966560133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1056.5647290090524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93271.184560755006</v>
      </c>
      <c r="D10" s="684">
        <f ca="1">tertiair!C16</f>
        <v>0</v>
      </c>
      <c r="E10" s="684">
        <f ca="1">tertiair!D16</f>
        <v>89726.687097653674</v>
      </c>
      <c r="F10" s="684">
        <f>tertiair!E16</f>
        <v>1769.5694373884216</v>
      </c>
      <c r="G10" s="684">
        <f ca="1">tertiair!F16</f>
        <v>18356.690591982864</v>
      </c>
      <c r="H10" s="684">
        <f>tertiair!G16</f>
        <v>0</v>
      </c>
      <c r="I10" s="684">
        <f>tertiair!H16</f>
        <v>0</v>
      </c>
      <c r="J10" s="684">
        <f>tertiair!I16</f>
        <v>0</v>
      </c>
      <c r="K10" s="684">
        <f>tertiair!J16</f>
        <v>0</v>
      </c>
      <c r="L10" s="684">
        <f>tertiair!K16</f>
        <v>0</v>
      </c>
      <c r="M10" s="684">
        <f ca="1">tertiair!L16</f>
        <v>0</v>
      </c>
      <c r="N10" s="684">
        <f>tertiair!M16</f>
        <v>0</v>
      </c>
      <c r="O10" s="684">
        <f ca="1">tertiair!N16</f>
        <v>4544.9801542344549</v>
      </c>
      <c r="P10" s="684">
        <f>tertiair!O16</f>
        <v>0</v>
      </c>
      <c r="Q10" s="685">
        <f>tertiair!P16</f>
        <v>95.333333333333343</v>
      </c>
      <c r="R10" s="687">
        <f ca="1">SUM(C10:Q10)</f>
        <v>207764.44517534773</v>
      </c>
      <c r="S10" s="67"/>
    </row>
    <row r="11" spans="1:19" s="453" customFormat="1">
      <c r="A11" s="799" t="s">
        <v>224</v>
      </c>
      <c r="B11" s="804"/>
      <c r="C11" s="684">
        <f>huishoudens!B8</f>
        <v>66035.985396127813</v>
      </c>
      <c r="D11" s="684">
        <f>huishoudens!C8</f>
        <v>0</v>
      </c>
      <c r="E11" s="684">
        <f>huishoudens!D8</f>
        <v>145226.7647858338</v>
      </c>
      <c r="F11" s="684">
        <f>huishoudens!E8</f>
        <v>38763.382366035308</v>
      </c>
      <c r="G11" s="684">
        <f>huishoudens!F8</f>
        <v>60934.507522020947</v>
      </c>
      <c r="H11" s="684">
        <f>huishoudens!G8</f>
        <v>0</v>
      </c>
      <c r="I11" s="684">
        <f>huishoudens!H8</f>
        <v>0</v>
      </c>
      <c r="J11" s="684">
        <f>huishoudens!I8</f>
        <v>0</v>
      </c>
      <c r="K11" s="684">
        <f>huishoudens!J8</f>
        <v>0</v>
      </c>
      <c r="L11" s="684">
        <f>huishoudens!K8</f>
        <v>0</v>
      </c>
      <c r="M11" s="684">
        <f>huishoudens!L8</f>
        <v>0</v>
      </c>
      <c r="N11" s="684">
        <f>huishoudens!M8</f>
        <v>0</v>
      </c>
      <c r="O11" s="684">
        <f>huishoudens!N8</f>
        <v>38946.77558146407</v>
      </c>
      <c r="P11" s="684">
        <f>huishoudens!O8</f>
        <v>268.89333333333332</v>
      </c>
      <c r="Q11" s="685">
        <f>huishoudens!P8</f>
        <v>1258.4000000000001</v>
      </c>
      <c r="R11" s="687">
        <f>SUM(C11:Q11)</f>
        <v>351434.70898481528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100443.5016359335</v>
      </c>
      <c r="D13" s="684">
        <f>industrie!C18</f>
        <v>0</v>
      </c>
      <c r="E13" s="684">
        <f>industrie!D18</f>
        <v>119307.80277251969</v>
      </c>
      <c r="F13" s="684">
        <f>industrie!E18</f>
        <v>646.1767284167347</v>
      </c>
      <c r="G13" s="684">
        <f>industrie!F18</f>
        <v>12639.18075845509</v>
      </c>
      <c r="H13" s="684">
        <f>industrie!G18</f>
        <v>0</v>
      </c>
      <c r="I13" s="684">
        <f>industrie!H18</f>
        <v>0</v>
      </c>
      <c r="J13" s="684">
        <f>industrie!I18</f>
        <v>0</v>
      </c>
      <c r="K13" s="684">
        <f>industrie!J18</f>
        <v>274.97131082383839</v>
      </c>
      <c r="L13" s="684">
        <f>industrie!K18</f>
        <v>0</v>
      </c>
      <c r="M13" s="684">
        <f>industrie!L18</f>
        <v>0</v>
      </c>
      <c r="N13" s="684">
        <f>industrie!M18</f>
        <v>0</v>
      </c>
      <c r="O13" s="684">
        <f>industrie!N18</f>
        <v>1391.2939185708856</v>
      </c>
      <c r="P13" s="684">
        <f>industrie!O18</f>
        <v>0</v>
      </c>
      <c r="Q13" s="685">
        <f>industrie!P18</f>
        <v>0</v>
      </c>
      <c r="R13" s="687">
        <f>SUM(C13:Q13)</f>
        <v>234702.92712471972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259750.67159281633</v>
      </c>
      <c r="D16" s="717">
        <f t="shared" ref="D16:R16" ca="1" si="0">SUM(D9:D15)</f>
        <v>0</v>
      </c>
      <c r="E16" s="717">
        <f t="shared" ca="1" si="0"/>
        <v>354261.25465600716</v>
      </c>
      <c r="F16" s="717">
        <f t="shared" si="0"/>
        <v>41179.128531840463</v>
      </c>
      <c r="G16" s="717">
        <f t="shared" ca="1" si="0"/>
        <v>91930.378872458896</v>
      </c>
      <c r="H16" s="717">
        <f t="shared" si="0"/>
        <v>0</v>
      </c>
      <c r="I16" s="717">
        <f t="shared" si="0"/>
        <v>0</v>
      </c>
      <c r="J16" s="717">
        <f t="shared" si="0"/>
        <v>0</v>
      </c>
      <c r="K16" s="717">
        <f t="shared" si="0"/>
        <v>274.97131082383839</v>
      </c>
      <c r="L16" s="717">
        <f t="shared" si="0"/>
        <v>0</v>
      </c>
      <c r="M16" s="717">
        <f t="shared" ca="1" si="0"/>
        <v>0</v>
      </c>
      <c r="N16" s="717">
        <f t="shared" si="0"/>
        <v>0</v>
      </c>
      <c r="O16" s="717">
        <f t="shared" ca="1" si="0"/>
        <v>44883.049654269416</v>
      </c>
      <c r="P16" s="717">
        <f t="shared" si="0"/>
        <v>268.89333333333332</v>
      </c>
      <c r="Q16" s="717">
        <f t="shared" si="0"/>
        <v>1353.7333333333333</v>
      </c>
      <c r="R16" s="717">
        <f t="shared" ca="1" si="0"/>
        <v>793902.08128488273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3957.1712696968252</v>
      </c>
      <c r="I19" s="684">
        <f>transport!H54</f>
        <v>0</v>
      </c>
      <c r="J19" s="684">
        <f>transport!I54</f>
        <v>0</v>
      </c>
      <c r="K19" s="684">
        <f>transport!J54</f>
        <v>0</v>
      </c>
      <c r="L19" s="684">
        <f>transport!K54</f>
        <v>0</v>
      </c>
      <c r="M19" s="684">
        <f>transport!L54</f>
        <v>0</v>
      </c>
      <c r="N19" s="684">
        <f>transport!M54</f>
        <v>168.27347271762821</v>
      </c>
      <c r="O19" s="684">
        <f>transport!N54</f>
        <v>0</v>
      </c>
      <c r="P19" s="684">
        <f>transport!O54</f>
        <v>0</v>
      </c>
      <c r="Q19" s="685">
        <f>transport!P54</f>
        <v>0</v>
      </c>
      <c r="R19" s="687">
        <f>SUM(C19:Q19)</f>
        <v>4125.4447424144537</v>
      </c>
      <c r="S19" s="67"/>
    </row>
    <row r="20" spans="1:19" s="453" customFormat="1">
      <c r="A20" s="799" t="s">
        <v>306</v>
      </c>
      <c r="B20" s="804"/>
      <c r="C20" s="684">
        <f>transport!B14</f>
        <v>2.7551065106754624</v>
      </c>
      <c r="D20" s="684">
        <f>transport!C14</f>
        <v>0</v>
      </c>
      <c r="E20" s="684">
        <f>transport!D14</f>
        <v>14.318189831251875</v>
      </c>
      <c r="F20" s="684">
        <f>transport!E14</f>
        <v>1523.7320365974479</v>
      </c>
      <c r="G20" s="684">
        <f>transport!F14</f>
        <v>0</v>
      </c>
      <c r="H20" s="684">
        <f>transport!G14</f>
        <v>306798.96258539148</v>
      </c>
      <c r="I20" s="684">
        <f>transport!H14</f>
        <v>49930.882165369265</v>
      </c>
      <c r="J20" s="684">
        <f>transport!I14</f>
        <v>0</v>
      </c>
      <c r="K20" s="684">
        <f>transport!J14</f>
        <v>0</v>
      </c>
      <c r="L20" s="684">
        <f>transport!K14</f>
        <v>0</v>
      </c>
      <c r="M20" s="684">
        <f>transport!L14</f>
        <v>0</v>
      </c>
      <c r="N20" s="684">
        <f>transport!M14</f>
        <v>15514.718650312114</v>
      </c>
      <c r="O20" s="684">
        <f>transport!N14</f>
        <v>0</v>
      </c>
      <c r="P20" s="684">
        <f>transport!O14</f>
        <v>0</v>
      </c>
      <c r="Q20" s="685">
        <f>transport!P14</f>
        <v>0</v>
      </c>
      <c r="R20" s="687">
        <f>SUM(C20:Q20)</f>
        <v>373785.36873401224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2.7551065106754624</v>
      </c>
      <c r="D22" s="802">
        <f t="shared" ref="D22:R22" si="1">SUM(D18:D21)</f>
        <v>0</v>
      </c>
      <c r="E22" s="802">
        <f t="shared" si="1"/>
        <v>14.318189831251875</v>
      </c>
      <c r="F22" s="802">
        <f t="shared" si="1"/>
        <v>1523.7320365974479</v>
      </c>
      <c r="G22" s="802">
        <f t="shared" si="1"/>
        <v>0</v>
      </c>
      <c r="H22" s="802">
        <f t="shared" si="1"/>
        <v>310756.13385508832</v>
      </c>
      <c r="I22" s="802">
        <f t="shared" si="1"/>
        <v>49930.882165369265</v>
      </c>
      <c r="J22" s="802">
        <f t="shared" si="1"/>
        <v>0</v>
      </c>
      <c r="K22" s="802">
        <f t="shared" si="1"/>
        <v>0</v>
      </c>
      <c r="L22" s="802">
        <f t="shared" si="1"/>
        <v>0</v>
      </c>
      <c r="M22" s="802">
        <f t="shared" si="1"/>
        <v>0</v>
      </c>
      <c r="N22" s="802">
        <f t="shared" si="1"/>
        <v>15682.992123029742</v>
      </c>
      <c r="O22" s="802">
        <f t="shared" si="1"/>
        <v>0</v>
      </c>
      <c r="P22" s="802">
        <f t="shared" si="1"/>
        <v>0</v>
      </c>
      <c r="Q22" s="802">
        <f t="shared" si="1"/>
        <v>0</v>
      </c>
      <c r="R22" s="802">
        <f t="shared" si="1"/>
        <v>377910.8134764267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4335.0293542883128</v>
      </c>
      <c r="D24" s="684">
        <f>+landbouw!C8</f>
        <v>0</v>
      </c>
      <c r="E24" s="684">
        <f>+landbouw!D8</f>
        <v>335.46646738077521</v>
      </c>
      <c r="F24" s="684">
        <f>+landbouw!E8</f>
        <v>45.397365893690775</v>
      </c>
      <c r="G24" s="684">
        <f>+landbouw!F8</f>
        <v>18557.219559102214</v>
      </c>
      <c r="H24" s="684">
        <f>+landbouw!G8</f>
        <v>0</v>
      </c>
      <c r="I24" s="684">
        <f>+landbouw!H8</f>
        <v>0</v>
      </c>
      <c r="J24" s="684">
        <f>+landbouw!I8</f>
        <v>0</v>
      </c>
      <c r="K24" s="684">
        <f>+landbouw!J8</f>
        <v>387.15697686891093</v>
      </c>
      <c r="L24" s="684">
        <f>+landbouw!K8</f>
        <v>0</v>
      </c>
      <c r="M24" s="684">
        <f>+landbouw!L8</f>
        <v>0</v>
      </c>
      <c r="N24" s="684">
        <f>+landbouw!M8</f>
        <v>0</v>
      </c>
      <c r="O24" s="684">
        <f>+landbouw!N8</f>
        <v>0</v>
      </c>
      <c r="P24" s="684">
        <f>+landbouw!O8</f>
        <v>0</v>
      </c>
      <c r="Q24" s="685">
        <f>+landbouw!P8</f>
        <v>0</v>
      </c>
      <c r="R24" s="687">
        <f>SUM(C24:Q24)</f>
        <v>23660.269723533904</v>
      </c>
      <c r="S24" s="67"/>
    </row>
    <row r="25" spans="1:19" s="453" customFormat="1" ht="15" thickBot="1">
      <c r="A25" s="821" t="s">
        <v>912</v>
      </c>
      <c r="B25" s="978"/>
      <c r="C25" s="979">
        <f>IF(Onbekend_ele_kWh="---",0,Onbekend_ele_kWh)/1000+IF(REST_rest_ele_kWh="---",0,REST_rest_ele_kWh)/1000</f>
        <v>6615.1861522016598</v>
      </c>
      <c r="D25" s="979"/>
      <c r="E25" s="979">
        <f>IF(onbekend_gas_kWh="---",0,onbekend_gas_kWh)/1000+IF(REST_rest_gas_kWh="---",0,REST_rest_gas_kWh)/1000</f>
        <v>7259.8371846456203</v>
      </c>
      <c r="F25" s="979"/>
      <c r="G25" s="979"/>
      <c r="H25" s="979"/>
      <c r="I25" s="979"/>
      <c r="J25" s="979"/>
      <c r="K25" s="979"/>
      <c r="L25" s="979"/>
      <c r="M25" s="979"/>
      <c r="N25" s="979"/>
      <c r="O25" s="979"/>
      <c r="P25" s="979"/>
      <c r="Q25" s="980"/>
      <c r="R25" s="687">
        <f>SUM(C25:Q25)</f>
        <v>13875.02333684728</v>
      </c>
      <c r="S25" s="67"/>
    </row>
    <row r="26" spans="1:19" s="453" customFormat="1" ht="15.75" thickBot="1">
      <c r="A26" s="690" t="s">
        <v>913</v>
      </c>
      <c r="B26" s="807"/>
      <c r="C26" s="802">
        <f>SUM(C24:C25)</f>
        <v>10950.215506489973</v>
      </c>
      <c r="D26" s="802">
        <f t="shared" ref="D26:R26" si="2">SUM(D24:D25)</f>
        <v>0</v>
      </c>
      <c r="E26" s="802">
        <f t="shared" si="2"/>
        <v>7595.3036520263959</v>
      </c>
      <c r="F26" s="802">
        <f t="shared" si="2"/>
        <v>45.397365893690775</v>
      </c>
      <c r="G26" s="802">
        <f t="shared" si="2"/>
        <v>18557.219559102214</v>
      </c>
      <c r="H26" s="802">
        <f t="shared" si="2"/>
        <v>0</v>
      </c>
      <c r="I26" s="802">
        <f t="shared" si="2"/>
        <v>0</v>
      </c>
      <c r="J26" s="802">
        <f t="shared" si="2"/>
        <v>0</v>
      </c>
      <c r="K26" s="802">
        <f t="shared" si="2"/>
        <v>387.15697686891093</v>
      </c>
      <c r="L26" s="802">
        <f t="shared" si="2"/>
        <v>0</v>
      </c>
      <c r="M26" s="802">
        <f t="shared" si="2"/>
        <v>0</v>
      </c>
      <c r="N26" s="802">
        <f t="shared" si="2"/>
        <v>0</v>
      </c>
      <c r="O26" s="802">
        <f t="shared" si="2"/>
        <v>0</v>
      </c>
      <c r="P26" s="802">
        <f t="shared" si="2"/>
        <v>0</v>
      </c>
      <c r="Q26" s="802">
        <f t="shared" si="2"/>
        <v>0</v>
      </c>
      <c r="R26" s="802">
        <f t="shared" si="2"/>
        <v>37535.293060381184</v>
      </c>
      <c r="S26" s="67"/>
    </row>
    <row r="27" spans="1:19" s="453" customFormat="1" ht="17.25" thickTop="1" thickBot="1">
      <c r="A27" s="691" t="s">
        <v>115</v>
      </c>
      <c r="B27" s="794"/>
      <c r="C27" s="692">
        <f ca="1">C22+C16+C26</f>
        <v>270703.64220581698</v>
      </c>
      <c r="D27" s="692">
        <f t="shared" ref="D27:R27" ca="1" si="3">D22+D16+D26</f>
        <v>0</v>
      </c>
      <c r="E27" s="692">
        <f t="shared" ca="1" si="3"/>
        <v>361870.87649786484</v>
      </c>
      <c r="F27" s="692">
        <f t="shared" si="3"/>
        <v>42748.257934331596</v>
      </c>
      <c r="G27" s="692">
        <f t="shared" ca="1" si="3"/>
        <v>110487.59843156111</v>
      </c>
      <c r="H27" s="692">
        <f t="shared" si="3"/>
        <v>310756.13385508832</v>
      </c>
      <c r="I27" s="692">
        <f t="shared" si="3"/>
        <v>49930.882165369265</v>
      </c>
      <c r="J27" s="692">
        <f t="shared" si="3"/>
        <v>0</v>
      </c>
      <c r="K27" s="692">
        <f t="shared" si="3"/>
        <v>662.12828769274938</v>
      </c>
      <c r="L27" s="692">
        <f t="shared" si="3"/>
        <v>0</v>
      </c>
      <c r="M27" s="692">
        <f t="shared" ca="1" si="3"/>
        <v>0</v>
      </c>
      <c r="N27" s="692">
        <f t="shared" si="3"/>
        <v>15682.992123029742</v>
      </c>
      <c r="O27" s="692">
        <f t="shared" ca="1" si="3"/>
        <v>44883.049654269416</v>
      </c>
      <c r="P27" s="692">
        <f t="shared" si="3"/>
        <v>268.89333333333332</v>
      </c>
      <c r="Q27" s="692">
        <f t="shared" si="3"/>
        <v>1353.7333333333333</v>
      </c>
      <c r="R27" s="692">
        <f t="shared" ca="1" si="3"/>
        <v>1209348.1878216907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19772.884832990658</v>
      </c>
      <c r="D40" s="684">
        <f ca="1">tertiair!C20</f>
        <v>0</v>
      </c>
      <c r="E40" s="684">
        <f ca="1">tertiair!D20</f>
        <v>18124.790793726042</v>
      </c>
      <c r="F40" s="684">
        <f>tertiair!E20</f>
        <v>401.69226228717173</v>
      </c>
      <c r="G40" s="684">
        <f ca="1">tertiair!F20</f>
        <v>4901.2363880594248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43200.604277063299</v>
      </c>
    </row>
    <row r="41" spans="1:18">
      <c r="A41" s="812" t="s">
        <v>224</v>
      </c>
      <c r="B41" s="819"/>
      <c r="C41" s="684">
        <f ca="1">huishoudens!B12</f>
        <v>13999.199647991676</v>
      </c>
      <c r="D41" s="684">
        <f ca="1">huishoudens!C12</f>
        <v>0</v>
      </c>
      <c r="E41" s="684">
        <f>huishoudens!D12</f>
        <v>29335.806486738431</v>
      </c>
      <c r="F41" s="684">
        <f>huishoudens!E12</f>
        <v>8799.2877970900154</v>
      </c>
      <c r="G41" s="684">
        <f>huishoudens!F12</f>
        <v>16269.513508379594</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68403.807440199715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21293.369430469094</v>
      </c>
      <c r="D43" s="684">
        <f ca="1">industrie!C22</f>
        <v>0</v>
      </c>
      <c r="E43" s="684">
        <f>industrie!D22</f>
        <v>24100.176160048977</v>
      </c>
      <c r="F43" s="684">
        <f>industrie!E22</f>
        <v>146.68211735059879</v>
      </c>
      <c r="G43" s="684">
        <f>industrie!F22</f>
        <v>3374.661262507509</v>
      </c>
      <c r="H43" s="684">
        <f>industrie!G22</f>
        <v>0</v>
      </c>
      <c r="I43" s="684">
        <f>industrie!H22</f>
        <v>0</v>
      </c>
      <c r="J43" s="684">
        <f>industrie!I22</f>
        <v>0</v>
      </c>
      <c r="K43" s="684">
        <f>industrie!J22</f>
        <v>97.339844031638791</v>
      </c>
      <c r="L43" s="684">
        <f>industrie!K22</f>
        <v>0</v>
      </c>
      <c r="M43" s="684">
        <f>industrie!L22</f>
        <v>0</v>
      </c>
      <c r="N43" s="684">
        <f>industrie!M22</f>
        <v>0</v>
      </c>
      <c r="O43" s="684">
        <f>industrie!N22</f>
        <v>0</v>
      </c>
      <c r="P43" s="684">
        <f>industrie!O22</f>
        <v>0</v>
      </c>
      <c r="Q43" s="759">
        <f>industrie!P22</f>
        <v>0</v>
      </c>
      <c r="R43" s="839">
        <f t="shared" ca="1" si="4"/>
        <v>49012.228814407812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55065.453911451426</v>
      </c>
      <c r="D46" s="717">
        <f t="shared" ref="D46:Q46" ca="1" si="5">SUM(D39:D45)</f>
        <v>0</v>
      </c>
      <c r="E46" s="717">
        <f t="shared" ca="1" si="5"/>
        <v>71560.77344051344</v>
      </c>
      <c r="F46" s="717">
        <f t="shared" si="5"/>
        <v>9347.6621767277866</v>
      </c>
      <c r="G46" s="717">
        <f t="shared" ca="1" si="5"/>
        <v>24545.411158946528</v>
      </c>
      <c r="H46" s="717">
        <f t="shared" si="5"/>
        <v>0</v>
      </c>
      <c r="I46" s="717">
        <f t="shared" si="5"/>
        <v>0</v>
      </c>
      <c r="J46" s="717">
        <f t="shared" si="5"/>
        <v>0</v>
      </c>
      <c r="K46" s="717">
        <f t="shared" si="5"/>
        <v>97.339844031638791</v>
      </c>
      <c r="L46" s="717">
        <f t="shared" si="5"/>
        <v>0</v>
      </c>
      <c r="M46" s="717">
        <f t="shared" ca="1" si="5"/>
        <v>0</v>
      </c>
      <c r="N46" s="717">
        <f t="shared" si="5"/>
        <v>0</v>
      </c>
      <c r="O46" s="717">
        <f t="shared" ca="1" si="5"/>
        <v>0</v>
      </c>
      <c r="P46" s="717">
        <f t="shared" si="5"/>
        <v>0</v>
      </c>
      <c r="Q46" s="717">
        <f t="shared" si="5"/>
        <v>0</v>
      </c>
      <c r="R46" s="717">
        <f ca="1">SUM(R39:R45)</f>
        <v>160616.64053167083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1056.5647290090524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1056.5647290090524</v>
      </c>
    </row>
    <row r="50" spans="1:18">
      <c r="A50" s="815" t="s">
        <v>306</v>
      </c>
      <c r="B50" s="825"/>
      <c r="C50" s="985">
        <f ca="1">transport!B18</f>
        <v>0.58406467114957472</v>
      </c>
      <c r="D50" s="985">
        <f>transport!C18</f>
        <v>0</v>
      </c>
      <c r="E50" s="985">
        <f>transport!D18</f>
        <v>2.8922743459128788</v>
      </c>
      <c r="F50" s="985">
        <f>transport!E18</f>
        <v>345.88717230762069</v>
      </c>
      <c r="G50" s="985">
        <f>transport!F18</f>
        <v>0</v>
      </c>
      <c r="H50" s="985">
        <f>transport!G18</f>
        <v>81915.323010299529</v>
      </c>
      <c r="I50" s="985">
        <f>transport!H18</f>
        <v>12432.789659176948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94697.476180801168</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0.58406467114957472</v>
      </c>
      <c r="D52" s="717">
        <f t="shared" ref="D52:Q52" ca="1" si="6">SUM(D48:D51)</f>
        <v>0</v>
      </c>
      <c r="E52" s="717">
        <f t="shared" si="6"/>
        <v>2.8922743459128788</v>
      </c>
      <c r="F52" s="717">
        <f t="shared" si="6"/>
        <v>345.88717230762069</v>
      </c>
      <c r="G52" s="717">
        <f t="shared" si="6"/>
        <v>0</v>
      </c>
      <c r="H52" s="717">
        <f t="shared" si="6"/>
        <v>82971.887739308586</v>
      </c>
      <c r="I52" s="717">
        <f t="shared" si="6"/>
        <v>12432.789659176948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95754.040909810225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918.99804396869138</v>
      </c>
      <c r="D54" s="985">
        <f ca="1">+landbouw!C12</f>
        <v>0</v>
      </c>
      <c r="E54" s="985">
        <f>+landbouw!D12</f>
        <v>67.764226410916592</v>
      </c>
      <c r="F54" s="985">
        <f>+landbouw!E12</f>
        <v>10.305202057867806</v>
      </c>
      <c r="G54" s="985">
        <f>+landbouw!F12</f>
        <v>4954.7776222802913</v>
      </c>
      <c r="H54" s="985">
        <f>+landbouw!G12</f>
        <v>0</v>
      </c>
      <c r="I54" s="985">
        <f>+landbouw!H12</f>
        <v>0</v>
      </c>
      <c r="J54" s="985">
        <f>+landbouw!I12</f>
        <v>0</v>
      </c>
      <c r="K54" s="985">
        <f>+landbouw!J12</f>
        <v>137.05356981159446</v>
      </c>
      <c r="L54" s="985">
        <f>+landbouw!K12</f>
        <v>0</v>
      </c>
      <c r="M54" s="985">
        <f>+landbouw!L12</f>
        <v>0</v>
      </c>
      <c r="N54" s="985">
        <f>+landbouw!M12</f>
        <v>0</v>
      </c>
      <c r="O54" s="985">
        <f>+landbouw!N12</f>
        <v>0</v>
      </c>
      <c r="P54" s="985">
        <f>+landbouw!O12</f>
        <v>0</v>
      </c>
      <c r="Q54" s="986">
        <f>+landbouw!P12</f>
        <v>0</v>
      </c>
      <c r="R54" s="716">
        <f ca="1">SUM(C54:Q54)</f>
        <v>6088.8986645293617</v>
      </c>
    </row>
    <row r="55" spans="1:18" ht="15" thickBot="1">
      <c r="A55" s="815" t="s">
        <v>912</v>
      </c>
      <c r="B55" s="825"/>
      <c r="C55" s="985">
        <f ca="1">C25*'EF ele_warmte'!B12</f>
        <v>1402.3764633446531</v>
      </c>
      <c r="D55" s="985"/>
      <c r="E55" s="985">
        <f>E25*EF_CO2_aardgas</f>
        <v>1466.4871112984154</v>
      </c>
      <c r="F55" s="985"/>
      <c r="G55" s="985"/>
      <c r="H55" s="985"/>
      <c r="I55" s="985"/>
      <c r="J55" s="985"/>
      <c r="K55" s="985"/>
      <c r="L55" s="985"/>
      <c r="M55" s="985"/>
      <c r="N55" s="985"/>
      <c r="O55" s="985"/>
      <c r="P55" s="985"/>
      <c r="Q55" s="986"/>
      <c r="R55" s="716">
        <f ca="1">SUM(C55:Q55)</f>
        <v>2868.8635746430682</v>
      </c>
    </row>
    <row r="56" spans="1:18" ht="15.75" thickBot="1">
      <c r="A56" s="813" t="s">
        <v>913</v>
      </c>
      <c r="B56" s="826"/>
      <c r="C56" s="717">
        <f ca="1">SUM(C54:C55)</f>
        <v>2321.3745073133446</v>
      </c>
      <c r="D56" s="717">
        <f t="shared" ref="D56:Q56" ca="1" si="7">SUM(D54:D55)</f>
        <v>0</v>
      </c>
      <c r="E56" s="717">
        <f t="shared" si="7"/>
        <v>1534.2513377093319</v>
      </c>
      <c r="F56" s="717">
        <f t="shared" si="7"/>
        <v>10.305202057867806</v>
      </c>
      <c r="G56" s="717">
        <f t="shared" si="7"/>
        <v>4954.7776222802913</v>
      </c>
      <c r="H56" s="717">
        <f t="shared" si="7"/>
        <v>0</v>
      </c>
      <c r="I56" s="717">
        <f t="shared" si="7"/>
        <v>0</v>
      </c>
      <c r="J56" s="717">
        <f t="shared" si="7"/>
        <v>0</v>
      </c>
      <c r="K56" s="717">
        <f t="shared" si="7"/>
        <v>137.05356981159446</v>
      </c>
      <c r="L56" s="717">
        <f t="shared" si="7"/>
        <v>0</v>
      </c>
      <c r="M56" s="717">
        <f t="shared" si="7"/>
        <v>0</v>
      </c>
      <c r="N56" s="717">
        <f t="shared" si="7"/>
        <v>0</v>
      </c>
      <c r="O56" s="717">
        <f t="shared" si="7"/>
        <v>0</v>
      </c>
      <c r="P56" s="717">
        <f t="shared" si="7"/>
        <v>0</v>
      </c>
      <c r="Q56" s="718">
        <f t="shared" si="7"/>
        <v>0</v>
      </c>
      <c r="R56" s="719">
        <f ca="1">SUM(R54:R55)</f>
        <v>8957.762239172429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57387.412483435925</v>
      </c>
      <c r="D61" s="725">
        <f t="shared" ref="D61:Q61" ca="1" si="8">D46+D52+D56</f>
        <v>0</v>
      </c>
      <c r="E61" s="725">
        <f t="shared" ca="1" si="8"/>
        <v>73097.917052568679</v>
      </c>
      <c r="F61" s="725">
        <f t="shared" si="8"/>
        <v>9703.8545510932745</v>
      </c>
      <c r="G61" s="725">
        <f t="shared" ca="1" si="8"/>
        <v>29500.188781226818</v>
      </c>
      <c r="H61" s="725">
        <f t="shared" si="8"/>
        <v>82971.887739308586</v>
      </c>
      <c r="I61" s="725">
        <f t="shared" si="8"/>
        <v>12432.789659176948</v>
      </c>
      <c r="J61" s="725">
        <f t="shared" si="8"/>
        <v>0</v>
      </c>
      <c r="K61" s="725">
        <f t="shared" si="8"/>
        <v>234.39341384323325</v>
      </c>
      <c r="L61" s="725">
        <f t="shared" si="8"/>
        <v>0</v>
      </c>
      <c r="M61" s="725">
        <f t="shared" ca="1" si="8"/>
        <v>0</v>
      </c>
      <c r="N61" s="725">
        <f t="shared" si="8"/>
        <v>0</v>
      </c>
      <c r="O61" s="725">
        <f t="shared" ca="1" si="8"/>
        <v>0</v>
      </c>
      <c r="P61" s="725">
        <f t="shared" si="8"/>
        <v>0</v>
      </c>
      <c r="Q61" s="725">
        <f t="shared" si="8"/>
        <v>0</v>
      </c>
      <c r="R61" s="725">
        <f ca="1">R46+R52+R56</f>
        <v>265328.44368065346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0.21199349966560133</v>
      </c>
      <c r="D63" s="769">
        <f t="shared" ca="1" si="9"/>
        <v>0</v>
      </c>
      <c r="E63" s="987">
        <f t="shared" ca="1" si="9"/>
        <v>0.20199999999999996</v>
      </c>
      <c r="F63" s="769">
        <f t="shared" si="9"/>
        <v>0.22700000000000006</v>
      </c>
      <c r="G63" s="769">
        <f t="shared" ca="1" si="9"/>
        <v>0.26700000000000002</v>
      </c>
      <c r="H63" s="769">
        <f t="shared" si="9"/>
        <v>0.26700000000000002</v>
      </c>
      <c r="I63" s="769">
        <f t="shared" si="9"/>
        <v>0.24900000000000003</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11032.092507011886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11032.092507011886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11032.092507011886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11032.092507011886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66035.985396127813</v>
      </c>
      <c r="C4" s="457">
        <f>huishoudens!C8</f>
        <v>0</v>
      </c>
      <c r="D4" s="457">
        <f>huishoudens!D8</f>
        <v>145226.7647858338</v>
      </c>
      <c r="E4" s="457">
        <f>huishoudens!E8</f>
        <v>38763.382366035308</v>
      </c>
      <c r="F4" s="457">
        <f>huishoudens!F8</f>
        <v>60934.507522020947</v>
      </c>
      <c r="G4" s="457">
        <f>huishoudens!G8</f>
        <v>0</v>
      </c>
      <c r="H4" s="457">
        <f>huishoudens!H8</f>
        <v>0</v>
      </c>
      <c r="I4" s="457">
        <f>huishoudens!I8</f>
        <v>0</v>
      </c>
      <c r="J4" s="457">
        <f>huishoudens!J8</f>
        <v>0</v>
      </c>
      <c r="K4" s="457">
        <f>huishoudens!K8</f>
        <v>0</v>
      </c>
      <c r="L4" s="457">
        <f>huishoudens!L8</f>
        <v>0</v>
      </c>
      <c r="M4" s="457">
        <f>huishoudens!M8</f>
        <v>0</v>
      </c>
      <c r="N4" s="457">
        <f>huishoudens!N8</f>
        <v>38946.77558146407</v>
      </c>
      <c r="O4" s="457">
        <f>huishoudens!O8</f>
        <v>268.89333333333332</v>
      </c>
      <c r="P4" s="458">
        <f>huishoudens!P8</f>
        <v>1258.4000000000001</v>
      </c>
      <c r="Q4" s="459">
        <f>SUM(B4:P4)</f>
        <v>351434.70898481528</v>
      </c>
    </row>
    <row r="5" spans="1:17">
      <c r="A5" s="456" t="s">
        <v>155</v>
      </c>
      <c r="B5" s="457">
        <f ca="1">tertiair!B16</f>
        <v>91558.765560755011</v>
      </c>
      <c r="C5" s="457">
        <f ca="1">tertiair!C16</f>
        <v>0</v>
      </c>
      <c r="D5" s="457">
        <f ca="1">tertiair!D16</f>
        <v>89726.687097653674</v>
      </c>
      <c r="E5" s="457">
        <f>tertiair!E16</f>
        <v>1769.5694373884216</v>
      </c>
      <c r="F5" s="457">
        <f ca="1">tertiair!F16</f>
        <v>18356.690591982864</v>
      </c>
      <c r="G5" s="457">
        <f>tertiair!G16</f>
        <v>0</v>
      </c>
      <c r="H5" s="457">
        <f>tertiair!H16</f>
        <v>0</v>
      </c>
      <c r="I5" s="457">
        <f>tertiair!I16</f>
        <v>0</v>
      </c>
      <c r="J5" s="457">
        <f>tertiair!J16</f>
        <v>0</v>
      </c>
      <c r="K5" s="457">
        <f>tertiair!K16</f>
        <v>0</v>
      </c>
      <c r="L5" s="457">
        <f ca="1">tertiair!L16</f>
        <v>0</v>
      </c>
      <c r="M5" s="457">
        <f>tertiair!M16</f>
        <v>0</v>
      </c>
      <c r="N5" s="457">
        <f ca="1">tertiair!N16</f>
        <v>4544.9801542344549</v>
      </c>
      <c r="O5" s="457">
        <f>tertiair!O16</f>
        <v>0</v>
      </c>
      <c r="P5" s="458">
        <f>tertiair!P16</f>
        <v>95.333333333333343</v>
      </c>
      <c r="Q5" s="456">
        <f t="shared" ref="Q5:Q14" ca="1" si="0">SUM(B5:P5)</f>
        <v>206052.02617534774</v>
      </c>
    </row>
    <row r="6" spans="1:17">
      <c r="A6" s="456" t="s">
        <v>193</v>
      </c>
      <c r="B6" s="457">
        <f>'openbare verlichting'!B8</f>
        <v>1712.4190000000001</v>
      </c>
      <c r="C6" s="457"/>
      <c r="D6" s="457"/>
      <c r="E6" s="457"/>
      <c r="F6" s="457"/>
      <c r="G6" s="457"/>
      <c r="H6" s="457"/>
      <c r="I6" s="457"/>
      <c r="J6" s="457"/>
      <c r="K6" s="457"/>
      <c r="L6" s="457"/>
      <c r="M6" s="457"/>
      <c r="N6" s="457"/>
      <c r="O6" s="457"/>
      <c r="P6" s="458"/>
      <c r="Q6" s="456">
        <f t="shared" si="0"/>
        <v>1712.4190000000001</v>
      </c>
    </row>
    <row r="7" spans="1:17">
      <c r="A7" s="456" t="s">
        <v>111</v>
      </c>
      <c r="B7" s="457">
        <f>landbouw!B8</f>
        <v>4335.0293542883128</v>
      </c>
      <c r="C7" s="457">
        <f>landbouw!C8</f>
        <v>0</v>
      </c>
      <c r="D7" s="457">
        <f>landbouw!D8</f>
        <v>335.46646738077521</v>
      </c>
      <c r="E7" s="457">
        <f>landbouw!E8</f>
        <v>45.397365893690775</v>
      </c>
      <c r="F7" s="457">
        <f>landbouw!F8</f>
        <v>18557.219559102214</v>
      </c>
      <c r="G7" s="457">
        <f>landbouw!G8</f>
        <v>0</v>
      </c>
      <c r="H7" s="457">
        <f>landbouw!H8</f>
        <v>0</v>
      </c>
      <c r="I7" s="457">
        <f>landbouw!I8</f>
        <v>0</v>
      </c>
      <c r="J7" s="457">
        <f>landbouw!J8</f>
        <v>387.15697686891093</v>
      </c>
      <c r="K7" s="457">
        <f>landbouw!K8</f>
        <v>0</v>
      </c>
      <c r="L7" s="457">
        <f>landbouw!L8</f>
        <v>0</v>
      </c>
      <c r="M7" s="457">
        <f>landbouw!M8</f>
        <v>0</v>
      </c>
      <c r="N7" s="457">
        <f>landbouw!N8</f>
        <v>0</v>
      </c>
      <c r="O7" s="457">
        <f>landbouw!O8</f>
        <v>0</v>
      </c>
      <c r="P7" s="458">
        <f>landbouw!P8</f>
        <v>0</v>
      </c>
      <c r="Q7" s="456">
        <f t="shared" si="0"/>
        <v>23660.269723533904</v>
      </c>
    </row>
    <row r="8" spans="1:17">
      <c r="A8" s="456" t="s">
        <v>654</v>
      </c>
      <c r="B8" s="457">
        <f>industrie!B18</f>
        <v>100443.5016359335</v>
      </c>
      <c r="C8" s="457">
        <f>industrie!C18</f>
        <v>0</v>
      </c>
      <c r="D8" s="457">
        <f>industrie!D18</f>
        <v>119307.80277251969</v>
      </c>
      <c r="E8" s="457">
        <f>industrie!E18</f>
        <v>646.1767284167347</v>
      </c>
      <c r="F8" s="457">
        <f>industrie!F18</f>
        <v>12639.18075845509</v>
      </c>
      <c r="G8" s="457">
        <f>industrie!G18</f>
        <v>0</v>
      </c>
      <c r="H8" s="457">
        <f>industrie!H18</f>
        <v>0</v>
      </c>
      <c r="I8" s="457">
        <f>industrie!I18</f>
        <v>0</v>
      </c>
      <c r="J8" s="457">
        <f>industrie!J18</f>
        <v>274.97131082383839</v>
      </c>
      <c r="K8" s="457">
        <f>industrie!K18</f>
        <v>0</v>
      </c>
      <c r="L8" s="457">
        <f>industrie!L18</f>
        <v>0</v>
      </c>
      <c r="M8" s="457">
        <f>industrie!M18</f>
        <v>0</v>
      </c>
      <c r="N8" s="457">
        <f>industrie!N18</f>
        <v>1391.2939185708856</v>
      </c>
      <c r="O8" s="457">
        <f>industrie!O18</f>
        <v>0</v>
      </c>
      <c r="P8" s="458">
        <f>industrie!P18</f>
        <v>0</v>
      </c>
      <c r="Q8" s="456">
        <f t="shared" si="0"/>
        <v>234702.92712471972</v>
      </c>
    </row>
    <row r="9" spans="1:17" s="462" customFormat="1">
      <c r="A9" s="460" t="s">
        <v>572</v>
      </c>
      <c r="B9" s="461">
        <f>transport!B14</f>
        <v>2.7551065106754624</v>
      </c>
      <c r="C9" s="461">
        <f>transport!C14</f>
        <v>0</v>
      </c>
      <c r="D9" s="461">
        <f>transport!D14</f>
        <v>14.318189831251875</v>
      </c>
      <c r="E9" s="461">
        <f>transport!E14</f>
        <v>1523.7320365974479</v>
      </c>
      <c r="F9" s="461">
        <f>transport!F14</f>
        <v>0</v>
      </c>
      <c r="G9" s="461">
        <f>transport!G14</f>
        <v>306798.96258539148</v>
      </c>
      <c r="H9" s="461">
        <f>transport!H14</f>
        <v>49930.882165369265</v>
      </c>
      <c r="I9" s="461">
        <f>transport!I14</f>
        <v>0</v>
      </c>
      <c r="J9" s="461">
        <f>transport!J14</f>
        <v>0</v>
      </c>
      <c r="K9" s="461">
        <f>transport!K14</f>
        <v>0</v>
      </c>
      <c r="L9" s="461">
        <f>transport!L14</f>
        <v>0</v>
      </c>
      <c r="M9" s="461">
        <f>transport!M14</f>
        <v>15514.718650312114</v>
      </c>
      <c r="N9" s="461">
        <f>transport!N14</f>
        <v>0</v>
      </c>
      <c r="O9" s="461">
        <f>transport!O14</f>
        <v>0</v>
      </c>
      <c r="P9" s="461">
        <f>transport!P14</f>
        <v>0</v>
      </c>
      <c r="Q9" s="460">
        <f>SUM(B9:P9)</f>
        <v>373785.36873401224</v>
      </c>
    </row>
    <row r="10" spans="1:17">
      <c r="A10" s="456" t="s">
        <v>562</v>
      </c>
      <c r="B10" s="457">
        <f>transport!B54</f>
        <v>0</v>
      </c>
      <c r="C10" s="457">
        <f>transport!C54</f>
        <v>0</v>
      </c>
      <c r="D10" s="457">
        <f>transport!D54</f>
        <v>0</v>
      </c>
      <c r="E10" s="457">
        <f>transport!E54</f>
        <v>0</v>
      </c>
      <c r="F10" s="457">
        <f>transport!F54</f>
        <v>0</v>
      </c>
      <c r="G10" s="457">
        <f>transport!G54</f>
        <v>3957.1712696968252</v>
      </c>
      <c r="H10" s="457">
        <f>transport!H54</f>
        <v>0</v>
      </c>
      <c r="I10" s="457">
        <f>transport!I54</f>
        <v>0</v>
      </c>
      <c r="J10" s="457">
        <f>transport!J54</f>
        <v>0</v>
      </c>
      <c r="K10" s="457">
        <f>transport!K54</f>
        <v>0</v>
      </c>
      <c r="L10" s="457">
        <f>transport!L54</f>
        <v>0</v>
      </c>
      <c r="M10" s="457">
        <f>transport!M54</f>
        <v>168.27347271762821</v>
      </c>
      <c r="N10" s="457">
        <f>transport!N54</f>
        <v>0</v>
      </c>
      <c r="O10" s="457">
        <f>transport!O54</f>
        <v>0</v>
      </c>
      <c r="P10" s="458">
        <f>transport!P54</f>
        <v>0</v>
      </c>
      <c r="Q10" s="456">
        <f t="shared" si="0"/>
        <v>4125.4447424144537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6615.1861522016598</v>
      </c>
      <c r="C14" s="464"/>
      <c r="D14" s="464">
        <f>'SEAP template'!E25</f>
        <v>7259.8371846456203</v>
      </c>
      <c r="E14" s="464"/>
      <c r="F14" s="464"/>
      <c r="G14" s="464"/>
      <c r="H14" s="464"/>
      <c r="I14" s="464"/>
      <c r="J14" s="464"/>
      <c r="K14" s="464"/>
      <c r="L14" s="464"/>
      <c r="M14" s="464"/>
      <c r="N14" s="464"/>
      <c r="O14" s="464"/>
      <c r="P14" s="465"/>
      <c r="Q14" s="456">
        <f t="shared" si="0"/>
        <v>13875.02333684728</v>
      </c>
    </row>
    <row r="15" spans="1:17" s="469" customFormat="1">
      <c r="A15" s="466" t="s">
        <v>566</v>
      </c>
      <c r="B15" s="467">
        <f ca="1">SUM(B4:B14)</f>
        <v>270703.64220581693</v>
      </c>
      <c r="C15" s="467">
        <f t="shared" ref="C15:Q15" ca="1" si="1">SUM(C4:C14)</f>
        <v>0</v>
      </c>
      <c r="D15" s="467">
        <f t="shared" ca="1" si="1"/>
        <v>361870.87649786484</v>
      </c>
      <c r="E15" s="467">
        <f t="shared" si="1"/>
        <v>42748.257934331596</v>
      </c>
      <c r="F15" s="467">
        <f t="shared" ca="1" si="1"/>
        <v>110487.59843156111</v>
      </c>
      <c r="G15" s="467">
        <f t="shared" si="1"/>
        <v>310756.13385508832</v>
      </c>
      <c r="H15" s="467">
        <f t="shared" si="1"/>
        <v>49930.882165369265</v>
      </c>
      <c r="I15" s="467">
        <f t="shared" si="1"/>
        <v>0</v>
      </c>
      <c r="J15" s="467">
        <f t="shared" si="1"/>
        <v>662.12828769274938</v>
      </c>
      <c r="K15" s="467">
        <f t="shared" si="1"/>
        <v>0</v>
      </c>
      <c r="L15" s="467">
        <f t="shared" ca="1" si="1"/>
        <v>0</v>
      </c>
      <c r="M15" s="467">
        <f t="shared" si="1"/>
        <v>15682.992123029742</v>
      </c>
      <c r="N15" s="467">
        <f t="shared" ca="1" si="1"/>
        <v>44883.049654269416</v>
      </c>
      <c r="O15" s="467">
        <f t="shared" si="1"/>
        <v>268.89333333333332</v>
      </c>
      <c r="P15" s="467">
        <f t="shared" si="1"/>
        <v>1353.7333333333333</v>
      </c>
      <c r="Q15" s="467">
        <f t="shared" ca="1" si="1"/>
        <v>1209348.1878216907</v>
      </c>
    </row>
    <row r="17" spans="1:17">
      <c r="A17" s="470" t="s">
        <v>567</v>
      </c>
      <c r="B17" s="774">
        <f ca="1">huishoudens!B10</f>
        <v>0.21199349966560133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13999.199647991676</v>
      </c>
      <c r="C22" s="457">
        <f t="shared" ref="C22:C32" ca="1" si="3">C4*$C$17</f>
        <v>0</v>
      </c>
      <c r="D22" s="457">
        <f t="shared" ref="D22:D32" si="4">D4*$D$17</f>
        <v>29335.806486738431</v>
      </c>
      <c r="E22" s="457">
        <f t="shared" ref="E22:E32" si="5">E4*$E$17</f>
        <v>8799.2877970900154</v>
      </c>
      <c r="F22" s="457">
        <f t="shared" ref="F22:F32" si="6">F4*$F$17</f>
        <v>16269.513508379594</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68403.807440199715</v>
      </c>
    </row>
    <row r="23" spans="1:17">
      <c r="A23" s="456" t="s">
        <v>155</v>
      </c>
      <c r="B23" s="457">
        <f t="shared" ca="1" si="2"/>
        <v>19409.863136286789</v>
      </c>
      <c r="C23" s="457">
        <f t="shared" ca="1" si="3"/>
        <v>0</v>
      </c>
      <c r="D23" s="457">
        <f t="shared" ca="1" si="4"/>
        <v>18124.790793726042</v>
      </c>
      <c r="E23" s="457">
        <f t="shared" si="5"/>
        <v>401.69226228717173</v>
      </c>
      <c r="F23" s="457">
        <f t="shared" ca="1" si="6"/>
        <v>4901.2363880594248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42837.582580359434</v>
      </c>
    </row>
    <row r="24" spans="1:17">
      <c r="A24" s="456" t="s">
        <v>193</v>
      </c>
      <c r="B24" s="457">
        <f t="shared" ca="1" si="2"/>
        <v>363.0216967038694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363.0216967038694</v>
      </c>
    </row>
    <row r="25" spans="1:17">
      <c r="A25" s="456" t="s">
        <v>111</v>
      </c>
      <c r="B25" s="457">
        <f t="shared" ca="1" si="2"/>
        <v>918.99804396869138</v>
      </c>
      <c r="C25" s="457">
        <f t="shared" ca="1" si="3"/>
        <v>0</v>
      </c>
      <c r="D25" s="457">
        <f t="shared" si="4"/>
        <v>67.764226410916592</v>
      </c>
      <c r="E25" s="457">
        <f t="shared" si="5"/>
        <v>10.305202057867806</v>
      </c>
      <c r="F25" s="457">
        <f t="shared" si="6"/>
        <v>4954.7776222802913</v>
      </c>
      <c r="G25" s="457">
        <f t="shared" si="7"/>
        <v>0</v>
      </c>
      <c r="H25" s="457">
        <f t="shared" si="8"/>
        <v>0</v>
      </c>
      <c r="I25" s="457">
        <f t="shared" si="9"/>
        <v>0</v>
      </c>
      <c r="J25" s="457">
        <f t="shared" si="10"/>
        <v>137.05356981159446</v>
      </c>
      <c r="K25" s="457">
        <f t="shared" si="11"/>
        <v>0</v>
      </c>
      <c r="L25" s="457">
        <f t="shared" si="12"/>
        <v>0</v>
      </c>
      <c r="M25" s="457">
        <f t="shared" si="13"/>
        <v>0</v>
      </c>
      <c r="N25" s="457">
        <f t="shared" si="14"/>
        <v>0</v>
      </c>
      <c r="O25" s="457">
        <f t="shared" si="15"/>
        <v>0</v>
      </c>
      <c r="P25" s="458">
        <f t="shared" si="16"/>
        <v>0</v>
      </c>
      <c r="Q25" s="456">
        <f t="shared" ca="1" si="17"/>
        <v>6088.8986645293617</v>
      </c>
    </row>
    <row r="26" spans="1:17">
      <c r="A26" s="456" t="s">
        <v>654</v>
      </c>
      <c r="B26" s="457">
        <f t="shared" ca="1" si="2"/>
        <v>21293.369430469094</v>
      </c>
      <c r="C26" s="457">
        <f t="shared" ca="1" si="3"/>
        <v>0</v>
      </c>
      <c r="D26" s="457">
        <f t="shared" si="4"/>
        <v>24100.176160048977</v>
      </c>
      <c r="E26" s="457">
        <f t="shared" si="5"/>
        <v>146.68211735059879</v>
      </c>
      <c r="F26" s="457">
        <f t="shared" si="6"/>
        <v>3374.661262507509</v>
      </c>
      <c r="G26" s="457">
        <f t="shared" si="7"/>
        <v>0</v>
      </c>
      <c r="H26" s="457">
        <f t="shared" si="8"/>
        <v>0</v>
      </c>
      <c r="I26" s="457">
        <f t="shared" si="9"/>
        <v>0</v>
      </c>
      <c r="J26" s="457">
        <f t="shared" si="10"/>
        <v>97.339844031638791</v>
      </c>
      <c r="K26" s="457">
        <f t="shared" si="11"/>
        <v>0</v>
      </c>
      <c r="L26" s="457">
        <f t="shared" si="12"/>
        <v>0</v>
      </c>
      <c r="M26" s="457">
        <f t="shared" si="13"/>
        <v>0</v>
      </c>
      <c r="N26" s="457">
        <f t="shared" si="14"/>
        <v>0</v>
      </c>
      <c r="O26" s="457">
        <f t="shared" si="15"/>
        <v>0</v>
      </c>
      <c r="P26" s="458">
        <f t="shared" si="16"/>
        <v>0</v>
      </c>
      <c r="Q26" s="456">
        <f t="shared" ca="1" si="17"/>
        <v>49012.228814407812</v>
      </c>
    </row>
    <row r="27" spans="1:17" s="462" customFormat="1">
      <c r="A27" s="460" t="s">
        <v>572</v>
      </c>
      <c r="B27" s="768">
        <f t="shared" ca="1" si="2"/>
        <v>0.58406467114957472</v>
      </c>
      <c r="C27" s="461">
        <f t="shared" ca="1" si="3"/>
        <v>0</v>
      </c>
      <c r="D27" s="461">
        <f t="shared" si="4"/>
        <v>2.8922743459128788</v>
      </c>
      <c r="E27" s="461">
        <f t="shared" si="5"/>
        <v>345.88717230762069</v>
      </c>
      <c r="F27" s="461">
        <f t="shared" si="6"/>
        <v>0</v>
      </c>
      <c r="G27" s="461">
        <f t="shared" si="7"/>
        <v>81915.323010299529</v>
      </c>
      <c r="H27" s="461">
        <f t="shared" si="8"/>
        <v>12432.789659176948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94697.476180801168</v>
      </c>
    </row>
    <row r="28" spans="1:17">
      <c r="A28" s="456" t="s">
        <v>562</v>
      </c>
      <c r="B28" s="457">
        <f t="shared" ca="1" si="2"/>
        <v>0</v>
      </c>
      <c r="C28" s="457">
        <f t="shared" ca="1" si="3"/>
        <v>0</v>
      </c>
      <c r="D28" s="457">
        <f t="shared" si="4"/>
        <v>0</v>
      </c>
      <c r="E28" s="457">
        <f t="shared" si="5"/>
        <v>0</v>
      </c>
      <c r="F28" s="457">
        <f t="shared" si="6"/>
        <v>0</v>
      </c>
      <c r="G28" s="457">
        <f t="shared" si="7"/>
        <v>1056.5647290090524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1056.5647290090524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1402.3764633446531</v>
      </c>
      <c r="C32" s="457">
        <f t="shared" ca="1" si="3"/>
        <v>0</v>
      </c>
      <c r="D32" s="457">
        <f t="shared" si="4"/>
        <v>1466.4871112984154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2868.8635746430682</v>
      </c>
    </row>
    <row r="33" spans="1:17" s="469" customFormat="1">
      <c r="A33" s="466" t="s">
        <v>566</v>
      </c>
      <c r="B33" s="467">
        <f ca="1">SUM(B22:B32)</f>
        <v>57387.412483435932</v>
      </c>
      <c r="C33" s="467">
        <f t="shared" ref="C33:Q33" ca="1" si="19">SUM(C22:C32)</f>
        <v>0</v>
      </c>
      <c r="D33" s="467">
        <f t="shared" ca="1" si="19"/>
        <v>73097.917052568679</v>
      </c>
      <c r="E33" s="467">
        <f t="shared" si="19"/>
        <v>9703.8545510932745</v>
      </c>
      <c r="F33" s="467">
        <f t="shared" ca="1" si="19"/>
        <v>29500.188781226821</v>
      </c>
      <c r="G33" s="467">
        <f t="shared" si="19"/>
        <v>82971.887739308586</v>
      </c>
      <c r="H33" s="467">
        <f t="shared" si="19"/>
        <v>12432.789659176948</v>
      </c>
      <c r="I33" s="467">
        <f t="shared" si="19"/>
        <v>0</v>
      </c>
      <c r="J33" s="467">
        <f t="shared" si="19"/>
        <v>234.39341384323325</v>
      </c>
      <c r="K33" s="467">
        <f t="shared" si="19"/>
        <v>0</v>
      </c>
      <c r="L33" s="467">
        <f t="shared" ca="1" si="19"/>
        <v>0</v>
      </c>
      <c r="M33" s="467">
        <f t="shared" si="19"/>
        <v>0</v>
      </c>
      <c r="N33" s="467">
        <f t="shared" ca="1" si="19"/>
        <v>0</v>
      </c>
      <c r="O33" s="467">
        <f t="shared" si="19"/>
        <v>0</v>
      </c>
      <c r="P33" s="467">
        <f t="shared" si="19"/>
        <v>0</v>
      </c>
      <c r="Q33" s="467">
        <f t="shared" ca="1" si="19"/>
        <v>265328.44368065352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11032.092507011886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11032.092507011886</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0.21199349966560133</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0.21199349966560133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2020-06-20T16:36:51Z</dcterms:modified>
</cp:coreProperties>
</file>