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D10" i="18" s="1"/>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D20" i="18"/>
  <c r="G12" i="18"/>
  <c r="F12" i="18"/>
  <c r="E12" i="18"/>
  <c r="D12" i="18"/>
  <c r="C12" i="18"/>
  <c r="L10" i="18"/>
  <c r="K10" i="18"/>
  <c r="G10" i="18"/>
  <c r="B6" i="18"/>
  <c r="B5" i="18"/>
  <c r="B4" i="18"/>
  <c r="F20" i="18" l="1"/>
  <c r="G20" i="18"/>
  <c r="K20" i="18"/>
  <c r="B47" i="18"/>
  <c r="I51" i="18" s="1"/>
  <c r="H17" i="18" s="1"/>
  <c r="J9" i="18"/>
  <c r="O9" i="18" s="1"/>
  <c r="B17" i="18"/>
  <c r="B20" i="18" s="1"/>
  <c r="C47" i="18"/>
  <c r="H50" i="18" s="1"/>
  <c r="O19" i="18"/>
  <c r="O18" i="18"/>
  <c r="L20" i="18"/>
  <c r="B10" i="18"/>
  <c r="D51"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R25" i="14"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E55" i="14" l="1"/>
  <c r="B14" i="48"/>
  <c r="Q14" i="48" s="1"/>
  <c r="B51" i="18"/>
  <c r="C17" i="18" s="1"/>
  <c r="D87" i="14" s="1"/>
  <c r="D17" i="55" s="1"/>
  <c r="D20" i="55" s="1"/>
  <c r="L20" i="55"/>
  <c r="F51" i="18"/>
  <c r="J77" i="14"/>
  <c r="J9" i="55" s="1"/>
  <c r="H51" i="18"/>
  <c r="H20" i="18"/>
  <c r="M87" i="14"/>
  <c r="M17" i="55" s="1"/>
  <c r="M20" i="55" s="1"/>
  <c r="C51" i="18"/>
  <c r="E51" i="18"/>
  <c r="E17" i="18" s="1"/>
  <c r="G51" i="18"/>
  <c r="I17" i="18" s="1"/>
  <c r="K10" i="55"/>
  <c r="C50" i="18"/>
  <c r="E50" i="18"/>
  <c r="E8" i="18" s="1"/>
  <c r="G50" i="18"/>
  <c r="I50" i="18"/>
  <c r="H8" i="18" s="1"/>
  <c r="B50" i="18"/>
  <c r="C8" i="18" s="1"/>
  <c r="D76" i="14" s="1"/>
  <c r="D8" i="55" s="1"/>
  <c r="D10" i="55" s="1"/>
  <c r="D50" i="18"/>
  <c r="F50"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Q87" i="14" s="1"/>
  <c r="I8" i="18"/>
  <c r="I10" i="18" s="1"/>
  <c r="H10" i="18"/>
  <c r="M76" i="14"/>
  <c r="E10" i="18"/>
  <c r="F76" i="14"/>
  <c r="O17" i="18"/>
  <c r="O20" i="18" s="1"/>
  <c r="P9" i="55"/>
  <c r="I76" i="14"/>
  <c r="I8" i="55" s="1"/>
  <c r="I10" i="55" s="1"/>
  <c r="I20" i="18"/>
  <c r="I87" i="14"/>
  <c r="I17" i="55" s="1"/>
  <c r="I20" i="55" s="1"/>
  <c r="O8" i="18"/>
  <c r="O10" i="18" s="1"/>
  <c r="J10" i="18"/>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C18" i="16"/>
  <c r="C8" i="48" s="1"/>
  <c r="D4" i="48"/>
  <c r="D22" i="48" s="1"/>
  <c r="E11" i="14"/>
  <c r="O4" i="48"/>
  <c r="O22" i="48" s="1"/>
  <c r="P11" i="14"/>
  <c r="B8" i="9"/>
  <c r="B6" i="48" s="1"/>
  <c r="Q6" i="48" s="1"/>
  <c r="P4" i="48"/>
  <c r="P22" i="48" s="1"/>
  <c r="Q11" i="14"/>
  <c r="Q10" i="14"/>
  <c r="P5" i="48"/>
  <c r="C19" i="14"/>
  <c r="B10" i="48"/>
  <c r="H12" i="22"/>
  <c r="I18" i="14"/>
  <c r="H13" i="48"/>
  <c r="H31" i="48" s="1"/>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O8" i="48"/>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P63" i="14" s="1"/>
  <c r="D18" i="22"/>
  <c r="E50" i="14" s="1"/>
  <c r="E52" i="14" s="1"/>
  <c r="E18" i="22"/>
  <c r="F50" i="14" s="1"/>
  <c r="F52" i="14" s="1"/>
  <c r="M58" i="22"/>
  <c r="N49" i="14" s="1"/>
  <c r="G18" i="22"/>
  <c r="H50" i="14" s="1"/>
  <c r="G58" i="22"/>
  <c r="H49" i="14" s="1"/>
  <c r="J20" i="15"/>
  <c r="K40"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<sst xmlns="http://schemas.openxmlformats.org/spreadsheetml/2006/main" count="2540" uniqueCount="984">
  <si>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</si>
  <si>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</si>
  <si>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</si>
  <si>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</si>
  <si>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</si>
  <si>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</si>
  <si>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</si>
  <si>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</si>
  <si>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</si>
  <si>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</si>
  <si>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</si>
  <si>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</si>
  <si>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</si>
  <si>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</si>
  <si>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</si>
  <si>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</si>
  <si>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</si>
  <si>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</si>
  <si>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</si>
  <si>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</si>
  <si>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</si>
  <si>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</si>
  <si>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</si>
  <si>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</si>
  <si>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</si>
  <si>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</si>
  <si>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</si>
  <si>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</si>
  <si>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</si>
  <si>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</si>
  <si>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</si>
  <si>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</si>
  <si>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</si>
  <si>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</si>
  <si>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</si>
  <si>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</si>
  <si>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</si>
  <si>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</si>
  <si>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</si>
  <si>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</si>
  <si>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</si>
  <si>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</si>
  <si>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</si>
  <si>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</si>
  <si>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</si>
  <si>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</si>
  <si>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</si>
  <si>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</si>
  <si>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</si>
  <si>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</si>
  <si>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</si>
  <si>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</si>
  <si>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</si>
  <si>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</si>
  <si>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</si>
  <si>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</si>
  <si>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</si>
  <si>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</si>
  <si>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</si>
  <si>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</si>
  <si>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</si>
  <si>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</si>
  <si>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</si>
  <si>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</si>
  <si>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</si>
  <si>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</si>
  <si>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</si>
  <si>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</si>
  <si>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</si>
  <si>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</si>
  <si>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</si>
  <si>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</si>
  <si>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</si>
  <si>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</si>
  <si>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</si>
  <si>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</si>
  <si>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</si>
  <si>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</si>
  <si>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</si>
  <si>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</si>
  <si>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</si>
  <si>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</si>
  <si>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</si>
  <si>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</si>
  <si>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</si>
  <si>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</si>
  <si>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</si>
  <si>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</si>
  <si>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</si>
  <si>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</si>
  <si>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</si>
  <si>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</si>
  <si>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</si>
  <si>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</si>
  <si>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</si>
  <si>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</si>
  <si>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</si>
  <si>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</si>
  <si>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</si>
  <si>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</si>
  <si>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</si>
  <si>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</si>
  <si>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</si>
  <si>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</si>
  <si>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</si>
  <si>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</si>
  <si>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</si>
  <si>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</si>
  <si>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</si>
  <si>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</si>
  <si>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</si>
  <si>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</si>
  <si>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</si>
  <si>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</si>
  <si>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</si>
  <si>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</si>
  <si>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</si>
  <si>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</si>
  <si>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</si>
  <si>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</si>
  <si>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</si>
  <si>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</si>
  <si>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</si>
  <si>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</si>
  <si>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</si>
  <si>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</si>
  <si>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</si>
  <si>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</si>
  <si>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</si>
  <si>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</si>
  <si>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</si>
  <si>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</si>
  <si>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</si>
  <si>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</si>
  <si>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</si>
  <si>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</si>
  <si>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</si>
  <si>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</si>
  <si>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</si>
  <si>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</si>
  <si>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</si>
  <si>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</si>
  <si>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</si>
  <si>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</si>
  <si>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</si>
  <si>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</si>
  <si>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</si>
  <si>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</si>
  <si>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</si>
  <si>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</si>
  <si>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</si>
  <si>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</si>
  <si>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</si>
  <si>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</si>
  <si>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</si>
  <si>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</si>
  <si>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</si>
  <si>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</si>
  <si>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</si>
  <si>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</si>
  <si>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</si>
  <si>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</si>
  <si>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</si>
  <si>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</si>
  <si>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</si>
  <si>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</si>
  <si>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</si>
  <si>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</si>
  <si>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</si>
  <si>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</si>
  <si>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</si>
  <si>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</si>
  <si>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</si>
  <si>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</si>
  <si>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</si>
  <si>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</si>
  <si>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</si>
  <si>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</si>
  <si>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</si>
  <si>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</si>
  <si>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</si>
  <si>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</si>
  <si>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</si>
  <si>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</si>
  <si>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</si>
  <si>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</si>
  <si>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</si>
  <si>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</si>
  <si>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</si>
  <si>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</si>
  <si>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</si>
  <si>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</si>
  <si>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</si>
  <si>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</si>
  <si>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</si>
  <si>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</si>
  <si>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</si>
  <si>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</si>
  <si>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</si>
  <si>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</si>
  <si>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</si>
  <si>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</si>
  <si>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</si>
  <si>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</si>
  <si>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</si>
  <si>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</si>
  <si>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</si>
  <si>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</si>
  <si>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</si>
  <si>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</si>
  <si>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</si>
  <si>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</si>
  <si>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</si>
  <si>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</si>
  <si>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</si>
  <si>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</si>
  <si>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</si>
  <si>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</si>
  <si>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</si>
  <si>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</si>
  <si>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</si>
  <si>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</si>
  <si>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</si>
  <si>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</si>
  <si>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</si>
  <si>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</si>
  <si>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</si>
  <si>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</si>
  <si>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</si>
  <si>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</si>
  <si>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</si>
  <si>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</si>
  <si>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</si>
  <si>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</si>
  <si>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</si>
  <si>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</si>
  <si>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</si>
  <si>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</si>
  <si>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</si>
  <si>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</si>
  <si>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</si>
  <si>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</si>
  <si>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</si>
  <si>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</si>
  <si>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</si>
  <si>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</si>
  <si>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</si>
  <si>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</si>
  <si>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</si>
  <si>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</si>
  <si>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</si>
  <si>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</si>
  <si>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</si>
  <si>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</si>
  <si>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</si>
  <si>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</si>
  <si>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</si>
  <si>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</si>
  <si>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</si>
  <si>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</si>
  <si>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</si>
  <si>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</si>
  <si>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</si>
  <si>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</si>
  <si>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</si>
  <si>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</si>
  <si>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</si>
  <si>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</si>
  <si>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</si>
  <si>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</si>
  <si>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</si>
  <si>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</si>
  <si>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</si>
  <si>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</si>
  <si>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</si>
  <si>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</si>
  <si>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</si>
  <si>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</si>
  <si>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</si>
  <si>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</si>
  <si>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</si>
  <si>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</si>
  <si>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</si>
  <si>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</si>
  <si>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</si>
  <si>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</si>
  <si>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</si>
  <si>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</si>
  <si>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</si>
  <si>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</si>
  <si>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</si>
  <si>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</si>
  <si>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</si>
  <si>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</si>
  <si>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</si>
  <si>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</si>
  <si>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</si>
  <si>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</si>
  <si>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</si>
  <si>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</si>
  <si>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</si>
  <si>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</si>
  <si>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</si>
  <si>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</si>
  <si>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</si>
  <si>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</si>
  <si>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</si>
  <si>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</si>
  <si>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</si>
  <si>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</si>
  <si>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</si>
  <si>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</si>
  <si>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</si>
  <si>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</si>
  <si>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</si>
  <si>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</si>
  <si>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</si>
  <si>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</si>
  <si>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</si>
  <si>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</si>
  <si>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</si>
  <si>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</si>
  <si>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</si>
  <si>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</si>
  <si>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</si>
  <si>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</si>
  <si>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</si>
  <si>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</si>
  <si>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</si>
  <si>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</si>
  <si>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</si>
  <si>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</si>
  <si>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</si>
  <si>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</si>
  <si>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</si>
  <si>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</si>
  <si>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</si>
  <si>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</si>
  <si>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</si>
  <si>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</si>
  <si>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</si>
  <si>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</si>
  <si>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</si>
  <si>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</si>
  <si>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</si>
  <si>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</si>
  <si>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</si>
  <si>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</si>
  <si>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</si>
  <si>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</si>
  <si>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</si>
  <si>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</si>
  <si>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</si>
  <si>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</si>
  <si>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</si>
  <si>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</si>
  <si>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</si>
  <si>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</si>
  <si>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</si>
  <si>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</si>
  <si>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</si>
  <si>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</si>
  <si>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</si>
  <si>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</si>
  <si>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</si>
  <si>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</si>
  <si>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</si>
  <si>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</si>
  <si>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</si>
  <si>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</si>
  <si>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</si>
  <si>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</si>
  <si>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</si>
  <si>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</si>
  <si>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</si>
  <si>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</si>
  <si>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</si>
  <si>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</si>
  <si>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</si>
  <si>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</si>
  <si>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</si>
  <si>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</si>
  <si>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</si>
  <si>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</si>
  <si>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</si>
  <si>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</si>
  <si>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</si>
  <si>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</si>
  <si>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</si>
  <si>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</si>
  <si>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</si>
  <si>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</si>
  <si>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</si>
  <si>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</si>
  <si>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</si>
  <si>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</si>
  <si>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</si>
  <si>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</si>
  <si>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</si>
  <si>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</si>
  <si>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</si>
  <si>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</si>
  <si>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</si>
  <si>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</si>
  <si>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</si>
  <si>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</si>
  <si>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</si>
  <si>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</si>
  <si>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</si>
  <si>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</si>
  <si>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</si>
  <si>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</si>
  <si>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</si>
  <si>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</si>
  <si>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</si>
  <si>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</si>
  <si>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</si>
  <si>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</si>
  <si>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</si>
  <si>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</si>
  <si>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</si>
  <si>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</si>
  <si>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</si>
  <si>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</si>
  <si>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</si>
  <si>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</si>
  <si>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</si>
  <si>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</si>
  <si>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</si>
  <si>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</si>
  <si>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</si>
  <si>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</si>
  <si>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</si>
  <si>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</si>
  <si>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</si>
  <si>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</si>
  <si>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</si>
  <si>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</si>
  <si>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</si>
  <si>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</si>
  <si>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</si>
  <si>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</si>
  <si>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</si>
  <si>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</si>
  <si>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</si>
  <si>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</si>
  <si>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</si>
  <si>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</si>
  <si>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</si>
  <si>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</si>
  <si>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</si>
  <si>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</si>
  <si>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</si>
  <si>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</si>
  <si>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</si>
  <si>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</si>
  <si>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</si>
  <si>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</si>
  <si>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</si>
  <si>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</si>
  <si>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</si>
  <si>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</si>
  <si>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</si>
  <si>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</si>
  <si>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</si>
  <si>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</si>
  <si>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</si>
  <si>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</si>
  <si>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</si>
  <si>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</si>
  <si>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</si>
  <si>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</si>
  <si>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</si>
  <si>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</si>
  <si>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</si>
  <si>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</si>
  <si>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</si>
  <si>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</si>
  <si>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</si>
  <si>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</si>
  <si>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</si>
  <si>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</si>
  <si>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</si>
  <si>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</si>
  <si>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</si>
  <si>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</si>
  <si>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</si>
  <si>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</si>
  <si>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</si>
  <si>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</si>
  <si>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</si>
  <si>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</si>
  <si>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</si>
  <si>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</si>
  <si>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</si>
  <si>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</si>
  <si>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</si>
  <si>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</si>
  <si>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</si>
  <si>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</si>
  <si>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</si>
  <si>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</si>
  <si>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</si>
  <si>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</si>
  <si>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</si>
  <si>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</si>
  <si>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</si>
  <si>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</si>
  <si>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</si>
  <si>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</si>
  <si>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</si>
  <si>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</si>
  <si>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</si>
  <si>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</si>
  <si>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</si>
  <si>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</si>
  <si>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</si>
  <si>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</si>
  <si>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</si>
  <si>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</si>
  <si>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</si>
  <si>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</si>
  <si>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</si>
  <si>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</si>
  <si>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</si>
  <si>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</si>
  <si>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</si>
  <si>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</si>
  <si>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</si>
  <si>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</si>
  <si>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</si>
  <si>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</si>
  <si>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</si>
  <si>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</si>
  <si>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</si>
  <si>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</si>
  <si>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</si>
  <si>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</si>
  <si>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</si>
  <si>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</si>
  <si>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</si>
  <si>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</si>
  <si>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</si>
  <si>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</si>
  <si>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</si>
  <si>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</si>
  <si>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</si>
  <si>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</si>
  <si>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</si>
  <si>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</si>
  <si>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</si>
  <si>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</si>
  <si>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</si>
  <si>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</si>
  <si>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</si>
  <si>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</si>
  <si>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</si>
  <si>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</si>
  <si>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</si>
  <si>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</si>
  <si>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</si>
  <si>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</si>
  <si>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</si>
  <si>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</si>
  <si>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</si>
  <si>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</si>
  <si>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</si>
  <si>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</si>
  <si>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</si>
  <si>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</si>
  <si>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</si>
  <si>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</si>
  <si>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</si>
  <si>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</si>
  <si>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</si>
  <si>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</si>
  <si>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</si>
  <si>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</si>
  <si>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</si>
  <si>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</si>
  <si>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</si>
  <si>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</si>
  <si>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</si>
  <si>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</si>
  <si>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</si>
  <si>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</si>
  <si>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</si>
  <si>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</si>
  <si>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</si>
  <si>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</si>
  <si>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</si>
  <si>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</si>
  <si>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</si>
  <si>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</si>
  <si>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</si>
  <si>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</si>
  <si>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</si>
  <si>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</si>
  <si>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</si>
  <si>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</si>
  <si>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</si>
  <si>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</si>
  <si>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</si>
  <si>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</si>
  <si>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</si>
  <si>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</si>
  <si>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</si>
  <si>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</si>
  <si>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</si>
  <si>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</si>
  <si>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</si>
  <si>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</si>
  <si>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</si>
  <si>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</si>
  <si>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</si>
  <si>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</si>
  <si>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</si>
  <si>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</si>
  <si>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</si>
  <si>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</si>
  <si>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</si>
  <si>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</si>
  <si>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</si>
  <si>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</si>
  <si>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</si>
  <si>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</si>
  <si>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</si>
  <si>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</si>
  <si>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</si>
  <si>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</si>
  <si>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</si>
  <si>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</si>
  <si>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</si>
  <si>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</si>
  <si>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</si>
  <si>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</si>
  <si>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</si>
  <si>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</si>
  <si>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</si>
  <si>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</si>
  <si>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</si>
  <si>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</si>
  <si>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</si>
  <si>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</si>
  <si>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</si>
  <si>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</si>
  <si>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</si>
  <si>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</si>
  <si>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</si>
  <si>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</si>
  <si>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</si>
  <si>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</si>
  <si>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</si>
  <si>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</si>
  <si>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</si>
  <si>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</si>
  <si>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</si>
  <si>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</si>
  <si>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</si>
  <si>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</si>
  <si>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</si>
  <si>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</si>
  <si>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</si>
  <si>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</si>
  <si>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</si>
  <si>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</si>
  <si>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</si>
  <si>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</si>
  <si>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</si>
  <si>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</si>
  <si>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</si>
  <si>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</si>
  <si>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</si>
  <si>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</si>
  <si>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</si>
  <si>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</si>
  <si>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</si>
  <si>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</si>
  <si>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</si>
  <si>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</si>
  <si>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</si>
  <si>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</si>
  <si>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</si>
  <si>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</si>
  <si>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</si>
  <si>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</si>
  <si>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</si>
  <si>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</si>
  <si>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</si>
  <si>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</si>
  <si>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</si>
  <si>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</si>
  <si>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</si>
  <si>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</si>
  <si>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</si>
  <si>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</si>
  <si>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</si>
  <si>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</si>
  <si>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</si>
  <si>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</si>
  <si>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</si>
  <si>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</si>
  <si>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</si>
  <si>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</si>
  <si>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</si>
  <si>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</si>
  <si>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</si>
  <si>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</si>
  <si>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</si>
  <si>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</si>
  <si>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</si>
  <si>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</si>
  <si>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</si>
  <si>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</si>
  <si>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</si>
  <si>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</si>
  <si>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</si>
  <si>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</si>
  <si>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</si>
  <si>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</si>
  <si>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</si>
  <si>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</si>
  <si>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</si>
  <si>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</si>
  <si>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</si>
  <si>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</si>
  <si>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</si>
  <si>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</si>
  <si>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</si>
  <si>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</si>
  <si>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</si>
  <si>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</si>
  <si>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</si>
  <si>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</si>
  <si>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</si>
  <si>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</si>
  <si>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</si>
  <si>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</si>
  <si>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</si>
  <si>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</si>
  <si>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</si>
  <si>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</si>
  <si>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</si>
  <si>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</si>
  <si>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</si>
  <si>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</si>
  <si>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</si>
  <si>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</si>
  <si>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</si>
  <si>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</si>
  <si>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</si>
  <si>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</si>
  <si>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</si>
  <si>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</si>
  <si>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</si>
  <si>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</si>
  <si>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</si>
  <si>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</si>
  <si>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</si>
  <si>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</si>
  <si>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</si>
  <si>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</si>
  <si>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</si>
  <si>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</si>
  <si>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</si>
  <si>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</si>
  <si>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</si>
  <si>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</si>
  <si>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</si>
  <si>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</si>
  <si>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</si>
  <si>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</si>
  <si>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</si>
  <si>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</si>
  <si>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</si>
  <si>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</si>
  <si>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</si>
  <si>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</si>
  <si>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</si>
  <si>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</si>
  <si>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</si>
  <si>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</si>
  <si>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</si>
  <si>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</si>
  <si>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</si>
  <si>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</si>
  <si>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</si>
  <si>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</si>
  <si>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</si>
  <si>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</si>
  <si>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</si>
  <si>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</si>
  <si>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</si>
  <si>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</si>
  <si>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</si>
  <si>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</si>
  <si>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</si>
  <si>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</si>
  <si>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</si>
  <si>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</si>
  <si>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</si>
  <si>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</si>
  <si>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</si>
  <si>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</si>
  <si>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</si>
  <si>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</si>
  <si>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</si>
  <si>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</si>
  <si>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</si>
  <si>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</si>
  <si>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</si>
  <si>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</si>
  <si>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</si>
  <si>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</si>
  <si>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</si>
  <si>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</si>
  <si>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</si>
  <si>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</si>
  <si>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</si>
  <si>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</si>
  <si>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</si>
  <si>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</si>
  <si>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</si>
  <si>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</si>
  <si>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</si>
  <si>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</si>
  <si>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</si>
  <si>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</si>
  <si>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</si>
  <si>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</si>
  <si>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</si>
  <si>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</si>
  <si>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</si>
  <si>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</si>
  <si>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</si>
  <si>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</si>
  <si>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</si>
  <si>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</si>
  <si>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</si>
  <si>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</si>
  <si>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</si>
  <si>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</si>
  <si>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</si>
  <si>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</si>
  <si>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</si>
  <si>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</si>
  <si>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</si>
  <si>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</si>
  <si>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</si>
  <si>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</si>
  <si>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</si>
  <si>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</si>
  <si>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</si>
  <si>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</si>
  <si>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</si>
  <si>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</si>
  <si>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</si>
  <si>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</si>
  <si>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</si>
  <si>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</si>
  <si>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</si>
  <si>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</si>
  <si>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</si>
  <si>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</si>
  <si>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</si>
  <si>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</si>
  <si>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</si>
  <si>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</si>
  <si>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</si>
  <si>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</si>
  <si>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</si>
  <si>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</si>
  <si>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</si>
  <si>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</si>
  <si>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</si>
  <si>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</si>
  <si>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</si>
  <si>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</si>
  <si>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</si>
  <si>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</si>
  <si>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</si>
  <si>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</si>
  <si>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</si>
  <si>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</si>
  <si>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</si>
  <si>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</si>
  <si>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</si>
  <si>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</si>
  <si>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</si>
  <si>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</si>
  <si>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</si>
  <si>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</si>
  <si>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</si>
  <si>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</si>
  <si>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</si>
  <si>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</si>
  <si>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</si>
  <si>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</si>
  <si>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</si>
  <si>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</si>
  <si>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</si>
  <si>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</si>
  <si>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</si>
  <si>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</si>
  <si>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</si>
  <si>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</si>
  <si>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</si>
  <si>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</si>
  <si>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</si>
  <si>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</si>
  <si>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</si>
  <si>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</si>
  <si>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</si>
  <si>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</si>
  <si>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</si>
  <si>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</si>
  <si>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</si>
  <si>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</si>
  <si>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</si>
  <si>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</si>
  <si>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</si>
  <si>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</si>
  <si>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</si>
  <si>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</si>
  <si>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</si>
  <si>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</si>
  <si>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</si>
  <si>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</si>
  <si>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</si>
  <si>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</si>
  <si>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</si>
  <si>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</si>
  <si>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</si>
  <si>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</si>
  <si>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</si>
  <si>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</si>
  <si>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</si>
  <si>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</si>
  <si>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</si>
  <si>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</si>
  <si>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</si>
  <si>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</si>
  <si>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</si>
  <si>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</si>
  <si>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</si>
  <si>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</si>
  <si>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</si>
  <si>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</si>
  <si>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</si>
  <si>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</si>
  <si>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</si>
  <si>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</si>
  <si>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</si>
  <si>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</si>
  <si>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</si>
  <si>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</si>
  <si>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</si>
  <si>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</si>
  <si>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</si>
  <si>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</si>
  <si>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</si>
  <si>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</si>
  <si>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</si>
  <si>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</si>
  <si>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11056</t>
  </si>
  <si>
    <t>ZWIJNDRECHT</t>
  </si>
  <si>
    <t>Paarden&amp;pony's 200 - 600 kg</t>
  </si>
  <si>
    <t>Paarden&amp;pony's &lt; 200 kg</t>
  </si>
  <si>
    <t>Fluvius</t>
  </si>
  <si>
    <t xml:space="preserve">Bron: </t>
  </si>
  <si>
    <t>referentietaak LNE (2017); Jaarverslag De Lijn</t>
  </si>
  <si>
    <t>Keeponrunning bvba</t>
  </si>
  <si>
    <t>Westpoort 68 , 2070 Zwijndrecht</t>
  </si>
  <si>
    <t>WKK-0365 Keeponrunning</t>
  </si>
  <si>
    <t>interne verbrandingsmotor</t>
  </si>
  <si>
    <t>WKK interne verbrandinsgmotor (gas)</t>
  </si>
  <si>
    <t>IMEA</t>
  </si>
  <si>
    <t>Vitaetom bvba</t>
  </si>
  <si>
    <t>Krijgsbaan 151 , 2070 Zwijndrecht</t>
  </si>
  <si>
    <t>WKK-0246 Vitaetom</t>
  </si>
  <si>
    <t>Herdi BVBA</t>
  </si>
  <si>
    <t>Blauwe Hoevestraat 17 , 2070 Zwijndrecht</t>
  </si>
  <si>
    <t>WKK-0044 De Langhe</t>
  </si>
  <si>
    <t>Blauwe Hoevestraat 15, 2070 Zwijndrecht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</si>
</sst>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11056</v>
      </c>
      <c r="B6" s="394"/>
      <c r="C6" s="395"/>
    </row>
    <row r="7" spans="1:7" s="392" customFormat="1" ht="15.75" customHeight="1">
      <c r="A7" s="396" t="str">
        <f>txtMunicipality</f>
        <v>ZWIJNDRECHT</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26692.137243413894</v>
      </c>
      <c r="D10" s="684">
        <f ca="1">tertiair!C16</f>
        <v>2.6785714285714288</v>
      </c>
      <c r="E10" s="684">
        <f ca="1">tertiair!D16</f>
        <v>24444.132802314514</v>
      </c>
      <c r="F10" s="684">
        <f>tertiair!E16</f>
        <v>510.83367936430579</v>
      </c>
      <c r="G10" s="684">
        <f ca="1">tertiair!F16</f>
        <v>4648.6020421371368</v>
      </c>
      <c r="H10" s="684">
        <f>tertiair!G16</f>
        <v>0</v>
      </c>
      <c r="I10" s="684">
        <f>tertiair!H16</f>
        <v>0</v>
      </c>
      <c r="J10" s="684">
        <f>tertiair!I16</f>
        <v>0</v>
      </c>
      <c r="K10" s="684">
        <f>tertiair!J16</f>
        <v>0</v>
      </c>
      <c r="L10" s="684">
        <f>tertiair!K16</f>
        <v>0</v>
      </c>
      <c r="M10" s="684">
        <f ca="1">tertiair!L16</f>
        <v>0</v>
      </c>
      <c r="N10" s="684">
        <f>tertiair!M16</f>
        <v>0</v>
      </c>
      <c r="O10" s="684">
        <f ca="1">tertiair!N16</f>
        <v>992.85103342150865</v>
      </c>
      <c r="P10" s="684">
        <f>tertiair!O16</f>
        <v>0</v>
      </c>
      <c r="Q10" s="685">
        <f>tertiair!P16</f>
        <v>19.066666666666666</v>
      </c>
      <c r="R10" s="687">
        <f ca="1">SUM(C10:Q10)</f>
        <v>57310.302038746595</v>
      </c>
      <c r="S10" s="67"/>
    </row>
    <row r="11" spans="1:19" s="453" customFormat="1">
      <c r="A11" s="799" t="s">
        <v>224</v>
      </c>
      <c r="B11" s="804"/>
      <c r="C11" s="684">
        <f>huishoudens!B8</f>
        <v>33933.535807919645</v>
      </c>
      <c r="D11" s="684">
        <f>huishoudens!C8</f>
        <v>0</v>
      </c>
      <c r="E11" s="684">
        <f>huishoudens!D8</f>
        <v>86894.40386943116</v>
      </c>
      <c r="F11" s="684">
        <f>huishoudens!E8</f>
        <v>1398.1963599275907</v>
      </c>
      <c r="G11" s="684">
        <f>huishoudens!F8</f>
        <v>0</v>
      </c>
      <c r="H11" s="684">
        <f>huishoudens!G8</f>
        <v>0</v>
      </c>
      <c r="I11" s="684">
        <f>huishoudens!H8</f>
        <v>0</v>
      </c>
      <c r="J11" s="684">
        <f>huishoudens!I8</f>
        <v>0</v>
      </c>
      <c r="K11" s="684">
        <f>huishoudens!J8</f>
        <v>759.03164534264226</v>
      </c>
      <c r="L11" s="684">
        <f>huishoudens!K8</f>
        <v>0</v>
      </c>
      <c r="M11" s="684">
        <f>huishoudens!L8</f>
        <v>0</v>
      </c>
      <c r="N11" s="684">
        <f>huishoudens!M8</f>
        <v>0</v>
      </c>
      <c r="O11" s="684">
        <f>huishoudens!N8</f>
        <v>4685.3242237968443</v>
      </c>
      <c r="P11" s="684">
        <f>huishoudens!O8</f>
        <v>59.406666666666666</v>
      </c>
      <c r="Q11" s="685">
        <f>huishoudens!P8</f>
        <v>76.266666666666666</v>
      </c>
      <c r="R11" s="687">
        <f>SUM(C11:Q11)</f>
        <v>127806.16523975121</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39347.006339375279</v>
      </c>
      <c r="D13" s="684">
        <f>industrie!C18</f>
        <v>0</v>
      </c>
      <c r="E13" s="684">
        <f>industrie!D18</f>
        <v>10310.187072619932</v>
      </c>
      <c r="F13" s="684">
        <f>industrie!E18</f>
        <v>351.25654873953226</v>
      </c>
      <c r="G13" s="684">
        <f>industrie!F18</f>
        <v>8253.6021498769005</v>
      </c>
      <c r="H13" s="684">
        <f>industrie!G18</f>
        <v>0</v>
      </c>
      <c r="I13" s="684">
        <f>industrie!H18</f>
        <v>0</v>
      </c>
      <c r="J13" s="684">
        <f>industrie!I18</f>
        <v>0</v>
      </c>
      <c r="K13" s="684">
        <f>industrie!J18</f>
        <v>229.93724025491144</v>
      </c>
      <c r="L13" s="684">
        <f>industrie!K18</f>
        <v>0</v>
      </c>
      <c r="M13" s="684">
        <f>industrie!L18</f>
        <v>0</v>
      </c>
      <c r="N13" s="684">
        <f>industrie!M18</f>
        <v>0</v>
      </c>
      <c r="O13" s="684">
        <f>industrie!N18</f>
        <v>763.89296641270198</v>
      </c>
      <c r="P13" s="684">
        <f>industrie!O18</f>
        <v>0</v>
      </c>
      <c r="Q13" s="685">
        <f>industrie!P18</f>
        <v>0</v>
      </c>
      <c r="R13" s="687">
        <f>SUM(C13:Q13)</f>
        <v>59255.882317279262</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99972.679390708814</v>
      </c>
      <c r="D16" s="717">
        <f t="shared" ref="D16:R16" ca="1" si="0">SUM(D9:D15)</f>
        <v>2.6785714285714288</v>
      </c>
      <c r="E16" s="717">
        <f t="shared" ca="1" si="0"/>
        <v>121648.7237443656</v>
      </c>
      <c r="F16" s="717">
        <f t="shared" si="0"/>
        <v>2260.2865880314289</v>
      </c>
      <c r="G16" s="717">
        <f t="shared" ca="1" si="0"/>
        <v>12902.204192014036</v>
      </c>
      <c r="H16" s="717">
        <f t="shared" si="0"/>
        <v>0</v>
      </c>
      <c r="I16" s="717">
        <f t="shared" si="0"/>
        <v>0</v>
      </c>
      <c r="J16" s="717">
        <f t="shared" si="0"/>
        <v>0</v>
      </c>
      <c r="K16" s="717">
        <f t="shared" si="0"/>
        <v>988.96888559755371</v>
      </c>
      <c r="L16" s="717">
        <f t="shared" si="0"/>
        <v>0</v>
      </c>
      <c r="M16" s="717">
        <f t="shared" ca="1" si="0"/>
        <v>0</v>
      </c>
      <c r="N16" s="717">
        <f t="shared" si="0"/>
        <v>0</v>
      </c>
      <c r="O16" s="717">
        <f t="shared" ca="1" si="0"/>
        <v>6442.0682236310549</v>
      </c>
      <c r="P16" s="717">
        <f t="shared" si="0"/>
        <v>59.406666666666666</v>
      </c>
      <c r="Q16" s="717">
        <f t="shared" si="0"/>
        <v>95.333333333333329</v>
      </c>
      <c r="R16" s="717">
        <f t="shared" ca="1" si="0"/>
        <v>244372.34959577708</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1041.7980625753512</v>
      </c>
      <c r="D19" s="684">
        <f>transport!C54</f>
        <v>0</v>
      </c>
      <c r="E19" s="684">
        <f>transport!D54</f>
        <v>0</v>
      </c>
      <c r="F19" s="684">
        <f>transport!E54</f>
        <v>0</v>
      </c>
      <c r="G19" s="684">
        <f>transport!F54</f>
        <v>0</v>
      </c>
      <c r="H19" s="684">
        <f>transport!G54</f>
        <v>1186.2565663089815</v>
      </c>
      <c r="I19" s="684">
        <f>transport!H54</f>
        <v>0</v>
      </c>
      <c r="J19" s="684">
        <f>transport!I54</f>
        <v>0</v>
      </c>
      <c r="K19" s="684">
        <f>transport!J54</f>
        <v>0</v>
      </c>
      <c r="L19" s="684">
        <f>transport!K54</f>
        <v>0</v>
      </c>
      <c r="M19" s="684">
        <f>transport!L54</f>
        <v>0</v>
      </c>
      <c r="N19" s="684">
        <f>transport!M54</f>
        <v>50.443991008303023</v>
      </c>
      <c r="O19" s="684">
        <f>transport!N54</f>
        <v>0</v>
      </c>
      <c r="P19" s="684">
        <f>transport!O54</f>
        <v>0</v>
      </c>
      <c r="Q19" s="685">
        <f>transport!P54</f>
        <v>0</v>
      </c>
      <c r="R19" s="687">
        <f>SUM(C19:Q19)</f>
        <v>2278.4986198926354</v>
      </c>
      <c r="S19" s="67"/>
    </row>
    <row r="20" spans="1:19" s="453" customFormat="1">
      <c r="A20" s="799" t="s">
        <v>306</v>
      </c>
      <c r="B20" s="804"/>
      <c r="C20" s="684">
        <f>transport!B14</f>
        <v>1.289984201613525</v>
      </c>
      <c r="D20" s="684">
        <f>transport!C14</f>
        <v>0</v>
      </c>
      <c r="E20" s="684">
        <f>transport!D14</f>
        <v>6.3557604297210073</v>
      </c>
      <c r="F20" s="684">
        <f>transport!E14</f>
        <v>768.73102533618157</v>
      </c>
      <c r="G20" s="684">
        <f>transport!F14</f>
        <v>0</v>
      </c>
      <c r="H20" s="684">
        <f>transport!G14</f>
        <v>189435.15187012858</v>
      </c>
      <c r="I20" s="684">
        <f>transport!H14</f>
        <v>23042.535082429742</v>
      </c>
      <c r="J20" s="684">
        <f>transport!I14</f>
        <v>0</v>
      </c>
      <c r="K20" s="684">
        <f>transport!J14</f>
        <v>0</v>
      </c>
      <c r="L20" s="684">
        <f>transport!K14</f>
        <v>0</v>
      </c>
      <c r="M20" s="684">
        <f>transport!L14</f>
        <v>0</v>
      </c>
      <c r="N20" s="684">
        <f>transport!M14</f>
        <v>9221.2441437356883</v>
      </c>
      <c r="O20" s="684">
        <f>transport!N14</f>
        <v>0</v>
      </c>
      <c r="P20" s="684">
        <f>transport!O14</f>
        <v>0</v>
      </c>
      <c r="Q20" s="685">
        <f>transport!P14</f>
        <v>0</v>
      </c>
      <c r="R20" s="687">
        <f>SUM(C20:Q20)</f>
        <v>222475.30786626152</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1043.0880467769648</v>
      </c>
      <c r="D22" s="802">
        <f t="shared" ref="D22:R22" si="1">SUM(D18:D21)</f>
        <v>0</v>
      </c>
      <c r="E22" s="802">
        <f t="shared" si="1"/>
        <v>6.3557604297210073</v>
      </c>
      <c r="F22" s="802">
        <f t="shared" si="1"/>
        <v>768.73102533618157</v>
      </c>
      <c r="G22" s="802">
        <f t="shared" si="1"/>
        <v>0</v>
      </c>
      <c r="H22" s="802">
        <f t="shared" si="1"/>
        <v>190621.40843643757</v>
      </c>
      <c r="I22" s="802">
        <f t="shared" si="1"/>
        <v>23042.535082429742</v>
      </c>
      <c r="J22" s="802">
        <f t="shared" si="1"/>
        <v>0</v>
      </c>
      <c r="K22" s="802">
        <f t="shared" si="1"/>
        <v>0</v>
      </c>
      <c r="L22" s="802">
        <f t="shared" si="1"/>
        <v>0</v>
      </c>
      <c r="M22" s="802">
        <f t="shared" si="1"/>
        <v>0</v>
      </c>
      <c r="N22" s="802">
        <f t="shared" si="1"/>
        <v>9271.6881347439921</v>
      </c>
      <c r="O22" s="802">
        <f t="shared" si="1"/>
        <v>0</v>
      </c>
      <c r="P22" s="802">
        <f t="shared" si="1"/>
        <v>0</v>
      </c>
      <c r="Q22" s="802">
        <f t="shared" si="1"/>
        <v>0</v>
      </c>
      <c r="R22" s="802">
        <f t="shared" si="1"/>
        <v>224753.80648615415</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1015.1460662446906</v>
      </c>
      <c r="D24" s="684">
        <f>+landbouw!C8</f>
        <v>44145</v>
      </c>
      <c r="E24" s="684">
        <f>+landbouw!D8</f>
        <v>0</v>
      </c>
      <c r="F24" s="684">
        <f>+landbouw!E8</f>
        <v>10.630829375875564</v>
      </c>
      <c r="G24" s="684">
        <f>+landbouw!F8</f>
        <v>4345.5965107194415</v>
      </c>
      <c r="H24" s="684">
        <f>+landbouw!G8</f>
        <v>0</v>
      </c>
      <c r="I24" s="684">
        <f>+landbouw!H8</f>
        <v>0</v>
      </c>
      <c r="J24" s="684">
        <f>+landbouw!I8</f>
        <v>0</v>
      </c>
      <c r="K24" s="684">
        <f>+landbouw!J8</f>
        <v>90.661642625066918</v>
      </c>
      <c r="L24" s="684">
        <f>+landbouw!K8</f>
        <v>0</v>
      </c>
      <c r="M24" s="684">
        <f>+landbouw!L8</f>
        <v>0</v>
      </c>
      <c r="N24" s="684">
        <f>+landbouw!M8</f>
        <v>0</v>
      </c>
      <c r="O24" s="684">
        <f>+landbouw!N8</f>
        <v>0</v>
      </c>
      <c r="P24" s="684">
        <f>+landbouw!O8</f>
        <v>0</v>
      </c>
      <c r="Q24" s="685">
        <f>+landbouw!P8</f>
        <v>0</v>
      </c>
      <c r="R24" s="687">
        <f>SUM(C24:Q24)</f>
        <v>49607.035048965081</v>
      </c>
      <c r="S24" s="67"/>
    </row>
    <row r="25" spans="1:19" s="453" customFormat="1" ht="15" thickBot="1">
      <c r="A25" s="821" t="s">
        <v>912</v>
      </c>
      <c r="B25" s="978"/>
      <c r="C25" s="979">
        <f>IF(Onbekend_ele_kWh="---",0,Onbekend_ele_kWh)/1000+IF(REST_rest_ele_kWh="---",0,REST_rest_ele_kWh)/1000</f>
        <v>1906.1028087484101</v>
      </c>
      <c r="D25" s="979"/>
      <c r="E25" s="979">
        <f>IF(onbekend_gas_kWh="---",0,onbekend_gas_kWh)/1000+IF(REST_rest_gas_kWh="---",0,REST_rest_gas_kWh)/1000</f>
        <v>4131.0865372364196</v>
      </c>
      <c r="F25" s="979"/>
      <c r="G25" s="979"/>
      <c r="H25" s="979"/>
      <c r="I25" s="979"/>
      <c r="J25" s="979"/>
      <c r="K25" s="979"/>
      <c r="L25" s="979"/>
      <c r="M25" s="979"/>
      <c r="N25" s="979"/>
      <c r="O25" s="979"/>
      <c r="P25" s="979"/>
      <c r="Q25" s="980"/>
      <c r="R25" s="687">
        <f>SUM(C25:Q25)</f>
        <v>6037.1893459848297</v>
      </c>
      <c r="S25" s="67"/>
    </row>
    <row r="26" spans="1:19" s="453" customFormat="1" ht="15.75" thickBot="1">
      <c r="A26" s="690" t="s">
        <v>913</v>
      </c>
      <c r="B26" s="807"/>
      <c r="C26" s="802">
        <f>SUM(C24:C25)</f>
        <v>2921.2488749931008</v>
      </c>
      <c r="D26" s="802">
        <f t="shared" ref="D26:R26" si="2">SUM(D24:D25)</f>
        <v>44145</v>
      </c>
      <c r="E26" s="802">
        <f t="shared" si="2"/>
        <v>4131.0865372364196</v>
      </c>
      <c r="F26" s="802">
        <f t="shared" si="2"/>
        <v>10.630829375875564</v>
      </c>
      <c r="G26" s="802">
        <f t="shared" si="2"/>
        <v>4345.5965107194415</v>
      </c>
      <c r="H26" s="802">
        <f t="shared" si="2"/>
        <v>0</v>
      </c>
      <c r="I26" s="802">
        <f t="shared" si="2"/>
        <v>0</v>
      </c>
      <c r="J26" s="802">
        <f t="shared" si="2"/>
        <v>0</v>
      </c>
      <c r="K26" s="802">
        <f t="shared" si="2"/>
        <v>90.661642625066918</v>
      </c>
      <c r="L26" s="802">
        <f t="shared" si="2"/>
        <v>0</v>
      </c>
      <c r="M26" s="802">
        <f t="shared" si="2"/>
        <v>0</v>
      </c>
      <c r="N26" s="802">
        <f t="shared" si="2"/>
        <v>0</v>
      </c>
      <c r="O26" s="802">
        <f t="shared" si="2"/>
        <v>0</v>
      </c>
      <c r="P26" s="802">
        <f t="shared" si="2"/>
        <v>0</v>
      </c>
      <c r="Q26" s="802">
        <f t="shared" si="2"/>
        <v>0</v>
      </c>
      <c r="R26" s="802">
        <f t="shared" si="2"/>
        <v>55644.22439494991</v>
      </c>
      <c r="S26" s="67"/>
    </row>
    <row r="27" spans="1:19" s="453" customFormat="1" ht="17.25" thickTop="1" thickBot="1">
      <c r="A27" s="691" t="s">
        <v>115</v>
      </c>
      <c r="B27" s="794"/>
      <c r="C27" s="692">
        <f ca="1">C22+C16+C26</f>
        <v>103937.01631247888</v>
      </c>
      <c r="D27" s="692">
        <f t="shared" ref="D27:R27" ca="1" si="3">D22+D16+D26</f>
        <v>44147.678571428572</v>
      </c>
      <c r="E27" s="692">
        <f t="shared" ca="1" si="3"/>
        <v>125786.16604203175</v>
      </c>
      <c r="F27" s="692">
        <f t="shared" si="3"/>
        <v>3039.6484427434862</v>
      </c>
      <c r="G27" s="692">
        <f t="shared" ca="1" si="3"/>
        <v>17247.800702733479</v>
      </c>
      <c r="H27" s="692">
        <f t="shared" si="3"/>
        <v>190621.40843643757</v>
      </c>
      <c r="I27" s="692">
        <f t="shared" si="3"/>
        <v>23042.535082429742</v>
      </c>
      <c r="J27" s="692">
        <f t="shared" si="3"/>
        <v>0</v>
      </c>
      <c r="K27" s="692">
        <f t="shared" si="3"/>
        <v>1079.6305282226206</v>
      </c>
      <c r="L27" s="692">
        <f t="shared" si="3"/>
        <v>0</v>
      </c>
      <c r="M27" s="692">
        <f t="shared" ca="1" si="3"/>
        <v>0</v>
      </c>
      <c r="N27" s="692">
        <f t="shared" si="3"/>
        <v>9271.6881347439921</v>
      </c>
      <c r="O27" s="692">
        <f t="shared" ca="1" si="3"/>
        <v>6442.0682236310549</v>
      </c>
      <c r="P27" s="692">
        <f t="shared" si="3"/>
        <v>59.406666666666666</v>
      </c>
      <c r="Q27" s="692">
        <f t="shared" si="3"/>
        <v>95.333333333333329</v>
      </c>
      <c r="R27" s="692">
        <f t="shared" ca="1" si="3"/>
        <v>524770.38047688105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5906.9537028222667</v>
      </c>
      <c r="D40" s="684">
        <f ca="1">tertiair!C20</f>
        <v>0.63655462184873957</v>
      </c>
      <c r="E40" s="684">
        <f ca="1">tertiair!D20</f>
        <v>4937.7148260675322</v>
      </c>
      <c r="F40" s="684">
        <f>tertiair!E20</f>
        <v>115.95924521569742</v>
      </c>
      <c r="G40" s="684">
        <f ca="1">tertiair!F20</f>
        <v>1241.1767452506156</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12202.441073977961</v>
      </c>
    </row>
    <row r="41" spans="1:18">
      <c r="A41" s="812" t="s">
        <v>224</v>
      </c>
      <c r="B41" s="819"/>
      <c r="C41" s="684">
        <f ca="1">huishoudens!B12</f>
        <v>7509.4707914369455</v>
      </c>
      <c r="D41" s="684">
        <f ca="1">huishoudens!C12</f>
        <v>0</v>
      </c>
      <c r="E41" s="684">
        <f>huishoudens!D12</f>
        <v>17552.669581625094</v>
      </c>
      <c r="F41" s="684">
        <f>huishoudens!E12</f>
        <v>317.39057370356312</v>
      </c>
      <c r="G41" s="684">
        <f>huishoudens!F12</f>
        <v>0</v>
      </c>
      <c r="H41" s="684">
        <f>huishoudens!G12</f>
        <v>0</v>
      </c>
      <c r="I41" s="684">
        <f>huishoudens!H12</f>
        <v>0</v>
      </c>
      <c r="J41" s="684">
        <f>huishoudens!I12</f>
        <v>0</v>
      </c>
      <c r="K41" s="684">
        <f>huishoudens!J12</f>
        <v>268.69720245129537</v>
      </c>
      <c r="L41" s="684">
        <f>huishoudens!K12</f>
        <v>0</v>
      </c>
      <c r="M41" s="684">
        <f>huishoudens!L12</f>
        <v>0</v>
      </c>
      <c r="N41" s="684">
        <f>huishoudens!M12</f>
        <v>0</v>
      </c>
      <c r="O41" s="684">
        <f>huishoudens!N12</f>
        <v>0</v>
      </c>
      <c r="P41" s="684">
        <f>huishoudens!O12</f>
        <v>0</v>
      </c>
      <c r="Q41" s="759">
        <f>huishoudens!P12</f>
        <v>0</v>
      </c>
      <c r="R41" s="840">
        <f t="shared" ca="1" si="4"/>
        <v>25648.228149216899</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8707.4685204794641</v>
      </c>
      <c r="D43" s="684">
        <f ca="1">industrie!C22</f>
        <v>0</v>
      </c>
      <c r="E43" s="684">
        <f>industrie!D22</f>
        <v>2082.6577886692266</v>
      </c>
      <c r="F43" s="684">
        <f>industrie!E22</f>
        <v>79.735236563873826</v>
      </c>
      <c r="G43" s="684">
        <f>industrie!F22</f>
        <v>2203.7117740171325</v>
      </c>
      <c r="H43" s="684">
        <f>industrie!G22</f>
        <v>0</v>
      </c>
      <c r="I43" s="684">
        <f>industrie!H22</f>
        <v>0</v>
      </c>
      <c r="J43" s="684">
        <f>industrie!I22</f>
        <v>0</v>
      </c>
      <c r="K43" s="684">
        <f>industrie!J22</f>
        <v>81.397783050238644</v>
      </c>
      <c r="L43" s="684">
        <f>industrie!K22</f>
        <v>0</v>
      </c>
      <c r="M43" s="684">
        <f>industrie!L22</f>
        <v>0</v>
      </c>
      <c r="N43" s="684">
        <f>industrie!M22</f>
        <v>0</v>
      </c>
      <c r="O43" s="684">
        <f>industrie!N22</f>
        <v>0</v>
      </c>
      <c r="P43" s="684">
        <f>industrie!O22</f>
        <v>0</v>
      </c>
      <c r="Q43" s="759">
        <f>industrie!P22</f>
        <v>0</v>
      </c>
      <c r="R43" s="839">
        <f t="shared" ca="1" si="4"/>
        <v>13154.971102779937</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22123.893014738678</v>
      </c>
      <c r="D46" s="717">
        <f t="shared" ref="D46:Q46" ca="1" si="5">SUM(D39:D45)</f>
        <v>0.63655462184873957</v>
      </c>
      <c r="E46" s="717">
        <f t="shared" ca="1" si="5"/>
        <v>24573.04219636185</v>
      </c>
      <c r="F46" s="717">
        <f t="shared" si="5"/>
        <v>513.0850554831344</v>
      </c>
      <c r="G46" s="717">
        <f t="shared" ca="1" si="5"/>
        <v>3444.8885192677481</v>
      </c>
      <c r="H46" s="717">
        <f t="shared" si="5"/>
        <v>0</v>
      </c>
      <c r="I46" s="717">
        <f t="shared" si="5"/>
        <v>0</v>
      </c>
      <c r="J46" s="717">
        <f t="shared" si="5"/>
        <v>0</v>
      </c>
      <c r="K46" s="717">
        <f t="shared" si="5"/>
        <v>350.09498550153398</v>
      </c>
      <c r="L46" s="717">
        <f t="shared" si="5"/>
        <v>0</v>
      </c>
      <c r="M46" s="717">
        <f t="shared" ca="1" si="5"/>
        <v>0</v>
      </c>
      <c r="N46" s="717">
        <f t="shared" si="5"/>
        <v>0</v>
      </c>
      <c r="O46" s="717">
        <f t="shared" ca="1" si="5"/>
        <v>0</v>
      </c>
      <c r="P46" s="717">
        <f t="shared" si="5"/>
        <v>0</v>
      </c>
      <c r="Q46" s="717">
        <f t="shared" si="5"/>
        <v>0</v>
      </c>
      <c r="R46" s="717">
        <f ca="1">SUM(R39:R45)</f>
        <v>51005.640325974797</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230.54927626078185</v>
      </c>
      <c r="D49" s="684">
        <f ca="1">transport!C58</f>
        <v>0</v>
      </c>
      <c r="E49" s="684">
        <f>transport!D58</f>
        <v>0</v>
      </c>
      <c r="F49" s="684">
        <f>transport!E58</f>
        <v>0</v>
      </c>
      <c r="G49" s="684">
        <f>transport!F58</f>
        <v>0</v>
      </c>
      <c r="H49" s="684">
        <f>transport!G58</f>
        <v>316.73050320449806</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547.27977946527994</v>
      </c>
    </row>
    <row r="50" spans="1:18">
      <c r="A50" s="815" t="s">
        <v>306</v>
      </c>
      <c r="B50" s="825"/>
      <c r="C50" s="985">
        <f ca="1">transport!B18</f>
        <v>0.28547271755780401</v>
      </c>
      <c r="D50" s="985">
        <f>transport!C18</f>
        <v>0</v>
      </c>
      <c r="E50" s="985">
        <f>transport!D18</f>
        <v>1.2838636068036435</v>
      </c>
      <c r="F50" s="985">
        <f>transport!E18</f>
        <v>174.50194275131324</v>
      </c>
      <c r="G50" s="985">
        <f>transport!F18</f>
        <v>0</v>
      </c>
      <c r="H50" s="985">
        <f>transport!G18</f>
        <v>50579.185549324335</v>
      </c>
      <c r="I50" s="985">
        <f>transport!H18</f>
        <v>5737.5912355250057</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56492.848063925012</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230.83474897833966</v>
      </c>
      <c r="D52" s="717">
        <f t="shared" ref="D52:Q52" ca="1" si="6">SUM(D48:D51)</f>
        <v>0</v>
      </c>
      <c r="E52" s="717">
        <f t="shared" si="6"/>
        <v>1.2838636068036435</v>
      </c>
      <c r="F52" s="717">
        <f t="shared" si="6"/>
        <v>174.50194275131324</v>
      </c>
      <c r="G52" s="717">
        <f t="shared" si="6"/>
        <v>0</v>
      </c>
      <c r="H52" s="717">
        <f t="shared" si="6"/>
        <v>50895.916052528832</v>
      </c>
      <c r="I52" s="717">
        <f t="shared" si="6"/>
        <v>5737.5912355250057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57040.127843390292</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224.65120571748557</v>
      </c>
      <c r="D54" s="985">
        <f ca="1">+landbouw!C12</f>
        <v>10490.929411764706</v>
      </c>
      <c r="E54" s="985">
        <f>+landbouw!D12</f>
        <v>0</v>
      </c>
      <c r="F54" s="985">
        <f>+landbouw!E12</f>
        <v>2.4131982683237529</v>
      </c>
      <c r="G54" s="985">
        <f>+landbouw!F12</f>
        <v>1160.2742683620909</v>
      </c>
      <c r="H54" s="985">
        <f>+landbouw!G12</f>
        <v>0</v>
      </c>
      <c r="I54" s="985">
        <f>+landbouw!H12</f>
        <v>0</v>
      </c>
      <c r="J54" s="985">
        <f>+landbouw!I12</f>
        <v>0</v>
      </c>
      <c r="K54" s="985">
        <f>+landbouw!J12</f>
        <v>32.094221489273686</v>
      </c>
      <c r="L54" s="985">
        <f>+landbouw!K12</f>
        <v>0</v>
      </c>
      <c r="M54" s="985">
        <f>+landbouw!L12</f>
        <v>0</v>
      </c>
      <c r="N54" s="985">
        <f>+landbouw!M12</f>
        <v>0</v>
      </c>
      <c r="O54" s="985">
        <f>+landbouw!N12</f>
        <v>0</v>
      </c>
      <c r="P54" s="985">
        <f>+landbouw!O12</f>
        <v>0</v>
      </c>
      <c r="Q54" s="986">
        <f>+landbouw!P12</f>
        <v>0</v>
      </c>
      <c r="R54" s="716">
        <f ca="1">SUM(C54:Q54)</f>
        <v>11910.362305601879</v>
      </c>
    </row>
    <row r="55" spans="1:18" ht="15" thickBot="1">
      <c r="A55" s="815" t="s">
        <v>912</v>
      </c>
      <c r="B55" s="825"/>
      <c r="C55" s="985">
        <f ca="1">C25*'EF ele_warmte'!B12</f>
        <v>421.81938978582502</v>
      </c>
      <c r="D55" s="985"/>
      <c r="E55" s="985">
        <f>E25*EF_CO2_aardgas</f>
        <v>834.47948052175684</v>
      </c>
      <c r="F55" s="985"/>
      <c r="G55" s="985"/>
      <c r="H55" s="985"/>
      <c r="I55" s="985"/>
      <c r="J55" s="985"/>
      <c r="K55" s="985"/>
      <c r="L55" s="985"/>
      <c r="M55" s="985"/>
      <c r="N55" s="985"/>
      <c r="O55" s="985"/>
      <c r="P55" s="985"/>
      <c r="Q55" s="986"/>
      <c r="R55" s="716">
        <f ca="1">SUM(C55:Q55)</f>
        <v>1256.2988703075819</v>
      </c>
    </row>
    <row r="56" spans="1:18" ht="15.75" thickBot="1">
      <c r="A56" s="813" t="s">
        <v>913</v>
      </c>
      <c r="B56" s="826"/>
      <c r="C56" s="717">
        <f ca="1">SUM(C54:C55)</f>
        <v>646.47059550331062</v>
      </c>
      <c r="D56" s="717">
        <f t="shared" ref="D56:Q56" ca="1" si="7">SUM(D54:D55)</f>
        <v>10490.929411764706</v>
      </c>
      <c r="E56" s="717">
        <f t="shared" si="7"/>
        <v>834.47948052175684</v>
      </c>
      <c r="F56" s="717">
        <f t="shared" si="7"/>
        <v>2.4131982683237529</v>
      </c>
      <c r="G56" s="717">
        <f t="shared" si="7"/>
        <v>1160.2742683620909</v>
      </c>
      <c r="H56" s="717">
        <f t="shared" si="7"/>
        <v>0</v>
      </c>
      <c r="I56" s="717">
        <f t="shared" si="7"/>
        <v>0</v>
      </c>
      <c r="J56" s="717">
        <f t="shared" si="7"/>
        <v>0</v>
      </c>
      <c r="K56" s="717">
        <f t="shared" si="7"/>
        <v>32.094221489273686</v>
      </c>
      <c r="L56" s="717">
        <f t="shared" si="7"/>
        <v>0</v>
      </c>
      <c r="M56" s="717">
        <f t="shared" si="7"/>
        <v>0</v>
      </c>
      <c r="N56" s="717">
        <f t="shared" si="7"/>
        <v>0</v>
      </c>
      <c r="O56" s="717">
        <f t="shared" si="7"/>
        <v>0</v>
      </c>
      <c r="P56" s="717">
        <f t="shared" si="7"/>
        <v>0</v>
      </c>
      <c r="Q56" s="718">
        <f t="shared" si="7"/>
        <v>0</v>
      </c>
      <c r="R56" s="719">
        <f ca="1">SUM(R54:R55)</f>
        <v>13166.661175909461</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23001.198359220329</v>
      </c>
      <c r="D61" s="725">
        <f t="shared" ref="D61:Q61" ca="1" si="8">D46+D52+D56</f>
        <v>10491.565966386555</v>
      </c>
      <c r="E61" s="725">
        <f t="shared" ca="1" si="8"/>
        <v>25408.805540490412</v>
      </c>
      <c r="F61" s="725">
        <f t="shared" si="8"/>
        <v>690.00019650277136</v>
      </c>
      <c r="G61" s="725">
        <f t="shared" ca="1" si="8"/>
        <v>4605.1627876298389</v>
      </c>
      <c r="H61" s="725">
        <f t="shared" si="8"/>
        <v>50895.916052528832</v>
      </c>
      <c r="I61" s="725">
        <f t="shared" si="8"/>
        <v>5737.5912355250057</v>
      </c>
      <c r="J61" s="725">
        <f t="shared" si="8"/>
        <v>0</v>
      </c>
      <c r="K61" s="725">
        <f t="shared" si="8"/>
        <v>382.18920699080769</v>
      </c>
      <c r="L61" s="725">
        <f t="shared" si="8"/>
        <v>0</v>
      </c>
      <c r="M61" s="725">
        <f t="shared" ca="1" si="8"/>
        <v>0</v>
      </c>
      <c r="N61" s="725">
        <f t="shared" si="8"/>
        <v>0</v>
      </c>
      <c r="O61" s="725">
        <f t="shared" ca="1" si="8"/>
        <v>0</v>
      </c>
      <c r="P61" s="725">
        <f t="shared" si="8"/>
        <v>0</v>
      </c>
      <c r="Q61" s="725">
        <f t="shared" si="8"/>
        <v>0</v>
      </c>
      <c r="R61" s="725">
        <f ca="1">R46+R52+R56</f>
        <v>121212.42934527456</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0.22129939048922612</v>
      </c>
      <c r="D63" s="769">
        <f t="shared" ca="1" si="9"/>
        <v>0.23764705882352943</v>
      </c>
      <c r="E63" s="987">
        <f t="shared" ca="1" si="9"/>
        <v>0.20199999999999999</v>
      </c>
      <c r="F63" s="769">
        <f t="shared" si="9"/>
        <v>0.22700000000000001</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2187.025100941617</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30903.375</v>
      </c>
      <c r="D76" s="997">
        <f>'lokale energieproductie'!C8</f>
        <v>36356.911764705881</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7344.096176470588</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2187.025100941617</v>
      </c>
      <c r="C78" s="740">
        <f>SUM(C72:C77)</f>
        <v>30903.375</v>
      </c>
      <c r="D78" s="741">
        <f t="shared" ref="D78:H78" si="10">SUM(D76:D77)</f>
        <v>36356.911764705881</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7344.096176470588</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44147.678571428572</v>
      </c>
      <c r="D87" s="762">
        <f>'lokale energieproductie'!C17</f>
        <v>51938.445378151257</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10491.565966386555</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44147.678571428572</v>
      </c>
      <c r="D90" s="740">
        <f t="shared" ref="D90:H90" si="12">SUM(D87:D89)</f>
        <v>51938.445378151257</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10491.565966386555</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33933.535807919645</v>
      </c>
      <c r="C4" s="457">
        <f>huishoudens!C8</f>
        <v>0</v>
      </c>
      <c r="D4" s="457">
        <f>huishoudens!D8</f>
        <v>86894.40386943116</v>
      </c>
      <c r="E4" s="457">
        <f>huishoudens!E8</f>
        <v>1398.1963599275907</v>
      </c>
      <c r="F4" s="457">
        <f>huishoudens!F8</f>
        <v>0</v>
      </c>
      <c r="G4" s="457">
        <f>huishoudens!G8</f>
        <v>0</v>
      </c>
      <c r="H4" s="457">
        <f>huishoudens!H8</f>
        <v>0</v>
      </c>
      <c r="I4" s="457">
        <f>huishoudens!I8</f>
        <v>0</v>
      </c>
      <c r="J4" s="457">
        <f>huishoudens!J8</f>
        <v>759.03164534264226</v>
      </c>
      <c r="K4" s="457">
        <f>huishoudens!K8</f>
        <v>0</v>
      </c>
      <c r="L4" s="457">
        <f>huishoudens!L8</f>
        <v>0</v>
      </c>
      <c r="M4" s="457">
        <f>huishoudens!M8</f>
        <v>0</v>
      </c>
      <c r="N4" s="457">
        <f>huishoudens!N8</f>
        <v>4685.3242237968443</v>
      </c>
      <c r="O4" s="457">
        <f>huishoudens!O8</f>
        <v>59.406666666666666</v>
      </c>
      <c r="P4" s="458">
        <f>huishoudens!P8</f>
        <v>76.266666666666666</v>
      </c>
      <c r="Q4" s="459">
        <f>SUM(B4:P4)</f>
        <v>127806.16523975121</v>
      </c>
    </row>
    <row r="5" spans="1:17">
      <c r="A5" s="456" t="s">
        <v>155</v>
      </c>
      <c r="B5" s="457">
        <f ca="1">tertiair!B16</f>
        <v>25667.426243413895</v>
      </c>
      <c r="C5" s="457">
        <f ca="1">tertiair!C16</f>
        <v>2.6785714285714288</v>
      </c>
      <c r="D5" s="457">
        <f ca="1">tertiair!D16</f>
        <v>24444.132802314514</v>
      </c>
      <c r="E5" s="457">
        <f>tertiair!E16</f>
        <v>510.83367936430579</v>
      </c>
      <c r="F5" s="457">
        <f ca="1">tertiair!F16</f>
        <v>4648.6020421371368</v>
      </c>
      <c r="G5" s="457">
        <f>tertiair!G16</f>
        <v>0</v>
      </c>
      <c r="H5" s="457">
        <f>tertiair!H16</f>
        <v>0</v>
      </c>
      <c r="I5" s="457">
        <f>tertiair!I16</f>
        <v>0</v>
      </c>
      <c r="J5" s="457">
        <f>tertiair!J16</f>
        <v>0</v>
      </c>
      <c r="K5" s="457">
        <f>tertiair!K16</f>
        <v>0</v>
      </c>
      <c r="L5" s="457">
        <f ca="1">tertiair!L16</f>
        <v>0</v>
      </c>
      <c r="M5" s="457">
        <f>tertiair!M16</f>
        <v>0</v>
      </c>
      <c r="N5" s="457">
        <f ca="1">tertiair!N16</f>
        <v>992.85103342150865</v>
      </c>
      <c r="O5" s="457">
        <f>tertiair!O16</f>
        <v>0</v>
      </c>
      <c r="P5" s="458">
        <f>tertiair!P16</f>
        <v>19.066666666666666</v>
      </c>
      <c r="Q5" s="456">
        <f t="shared" ref="Q5:Q14" ca="1" si="0">SUM(B5:P5)</f>
        <v>56285.591038746592</v>
      </c>
    </row>
    <row r="6" spans="1:17">
      <c r="A6" s="456" t="s">
        <v>193</v>
      </c>
      <c r="B6" s="457">
        <f>'openbare verlichting'!B8</f>
        <v>1024.711</v>
      </c>
      <c r="C6" s="457"/>
      <c r="D6" s="457"/>
      <c r="E6" s="457"/>
      <c r="F6" s="457"/>
      <c r="G6" s="457"/>
      <c r="H6" s="457"/>
      <c r="I6" s="457"/>
      <c r="J6" s="457"/>
      <c r="K6" s="457"/>
      <c r="L6" s="457"/>
      <c r="M6" s="457"/>
      <c r="N6" s="457"/>
      <c r="O6" s="457"/>
      <c r="P6" s="458"/>
      <c r="Q6" s="456">
        <f t="shared" si="0"/>
        <v>1024.711</v>
      </c>
    </row>
    <row r="7" spans="1:17">
      <c r="A7" s="456" t="s">
        <v>111</v>
      </c>
      <c r="B7" s="457">
        <f>landbouw!B8</f>
        <v>1015.1460662446906</v>
      </c>
      <c r="C7" s="457">
        <f>landbouw!C8</f>
        <v>44145</v>
      </c>
      <c r="D7" s="457">
        <f>landbouw!D8</f>
        <v>0</v>
      </c>
      <c r="E7" s="457">
        <f>landbouw!E8</f>
        <v>10.630829375875564</v>
      </c>
      <c r="F7" s="457">
        <f>landbouw!F8</f>
        <v>4345.5965107194415</v>
      </c>
      <c r="G7" s="457">
        <f>landbouw!G8</f>
        <v>0</v>
      </c>
      <c r="H7" s="457">
        <f>landbouw!H8</f>
        <v>0</v>
      </c>
      <c r="I7" s="457">
        <f>landbouw!I8</f>
        <v>0</v>
      </c>
      <c r="J7" s="457">
        <f>landbouw!J8</f>
        <v>90.661642625066918</v>
      </c>
      <c r="K7" s="457">
        <f>landbouw!K8</f>
        <v>0</v>
      </c>
      <c r="L7" s="457">
        <f>landbouw!L8</f>
        <v>0</v>
      </c>
      <c r="M7" s="457">
        <f>landbouw!M8</f>
        <v>0</v>
      </c>
      <c r="N7" s="457">
        <f>landbouw!N8</f>
        <v>0</v>
      </c>
      <c r="O7" s="457">
        <f>landbouw!O8</f>
        <v>0</v>
      </c>
      <c r="P7" s="458">
        <f>landbouw!P8</f>
        <v>0</v>
      </c>
      <c r="Q7" s="456">
        <f t="shared" si="0"/>
        <v>49607.035048965081</v>
      </c>
    </row>
    <row r="8" spans="1:17">
      <c r="A8" s="456" t="s">
        <v>654</v>
      </c>
      <c r="B8" s="457">
        <f>industrie!B18</f>
        <v>39347.006339375279</v>
      </c>
      <c r="C8" s="457">
        <f>industrie!C18</f>
        <v>0</v>
      </c>
      <c r="D8" s="457">
        <f>industrie!D18</f>
        <v>10310.187072619932</v>
      </c>
      <c r="E8" s="457">
        <f>industrie!E18</f>
        <v>351.25654873953226</v>
      </c>
      <c r="F8" s="457">
        <f>industrie!F18</f>
        <v>8253.6021498769005</v>
      </c>
      <c r="G8" s="457">
        <f>industrie!G18</f>
        <v>0</v>
      </c>
      <c r="H8" s="457">
        <f>industrie!H18</f>
        <v>0</v>
      </c>
      <c r="I8" s="457">
        <f>industrie!I18</f>
        <v>0</v>
      </c>
      <c r="J8" s="457">
        <f>industrie!J18</f>
        <v>229.93724025491144</v>
      </c>
      <c r="K8" s="457">
        <f>industrie!K18</f>
        <v>0</v>
      </c>
      <c r="L8" s="457">
        <f>industrie!L18</f>
        <v>0</v>
      </c>
      <c r="M8" s="457">
        <f>industrie!M18</f>
        <v>0</v>
      </c>
      <c r="N8" s="457">
        <f>industrie!N18</f>
        <v>763.89296641270198</v>
      </c>
      <c r="O8" s="457">
        <f>industrie!O18</f>
        <v>0</v>
      </c>
      <c r="P8" s="458">
        <f>industrie!P18</f>
        <v>0</v>
      </c>
      <c r="Q8" s="456">
        <f t="shared" si="0"/>
        <v>59255.882317279262</v>
      </c>
    </row>
    <row r="9" spans="1:17" s="462" customFormat="1">
      <c r="A9" s="460" t="s">
        <v>572</v>
      </c>
      <c r="B9" s="461">
        <f>transport!B14</f>
        <v>1.289984201613525</v>
      </c>
      <c r="C9" s="461">
        <f>transport!C14</f>
        <v>0</v>
      </c>
      <c r="D9" s="461">
        <f>transport!D14</f>
        <v>6.3557604297210073</v>
      </c>
      <c r="E9" s="461">
        <f>transport!E14</f>
        <v>768.73102533618157</v>
      </c>
      <c r="F9" s="461">
        <f>transport!F14</f>
        <v>0</v>
      </c>
      <c r="G9" s="461">
        <f>transport!G14</f>
        <v>189435.15187012858</v>
      </c>
      <c r="H9" s="461">
        <f>transport!H14</f>
        <v>23042.535082429742</v>
      </c>
      <c r="I9" s="461">
        <f>transport!I14</f>
        <v>0</v>
      </c>
      <c r="J9" s="461">
        <f>transport!J14</f>
        <v>0</v>
      </c>
      <c r="K9" s="461">
        <f>transport!K14</f>
        <v>0</v>
      </c>
      <c r="L9" s="461">
        <f>transport!L14</f>
        <v>0</v>
      </c>
      <c r="M9" s="461">
        <f>transport!M14</f>
        <v>9221.2441437356883</v>
      </c>
      <c r="N9" s="461">
        <f>transport!N14</f>
        <v>0</v>
      </c>
      <c r="O9" s="461">
        <f>transport!O14</f>
        <v>0</v>
      </c>
      <c r="P9" s="461">
        <f>transport!P14</f>
        <v>0</v>
      </c>
      <c r="Q9" s="460">
        <f>SUM(B9:P9)</f>
        <v>222475.30786626152</v>
      </c>
    </row>
    <row r="10" spans="1:17">
      <c r="A10" s="456" t="s">
        <v>562</v>
      </c>
      <c r="B10" s="457">
        <f>transport!B54</f>
        <v>1041.7980625753512</v>
      </c>
      <c r="C10" s="457">
        <f>transport!C54</f>
        <v>0</v>
      </c>
      <c r="D10" s="457">
        <f>transport!D54</f>
        <v>0</v>
      </c>
      <c r="E10" s="457">
        <f>transport!E54</f>
        <v>0</v>
      </c>
      <c r="F10" s="457">
        <f>transport!F54</f>
        <v>0</v>
      </c>
      <c r="G10" s="457">
        <f>transport!G54</f>
        <v>1186.2565663089815</v>
      </c>
      <c r="H10" s="457">
        <f>transport!H54</f>
        <v>0</v>
      </c>
      <c r="I10" s="457">
        <f>transport!I54</f>
        <v>0</v>
      </c>
      <c r="J10" s="457">
        <f>transport!J54</f>
        <v>0</v>
      </c>
      <c r="K10" s="457">
        <f>transport!K54</f>
        <v>0</v>
      </c>
      <c r="L10" s="457">
        <f>transport!L54</f>
        <v>0</v>
      </c>
      <c r="M10" s="457">
        <f>transport!M54</f>
        <v>50.443991008303023</v>
      </c>
      <c r="N10" s="457">
        <f>transport!N54</f>
        <v>0</v>
      </c>
      <c r="O10" s="457">
        <f>transport!O54</f>
        <v>0</v>
      </c>
      <c r="P10" s="458">
        <f>transport!P54</f>
        <v>0</v>
      </c>
      <c r="Q10" s="456">
        <f t="shared" si="0"/>
        <v>2278.4986198926354</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1906.1028087484101</v>
      </c>
      <c r="C14" s="464"/>
      <c r="D14" s="464">
        <f>'SEAP template'!E25</f>
        <v>4131.0865372364196</v>
      </c>
      <c r="E14" s="464"/>
      <c r="F14" s="464"/>
      <c r="G14" s="464"/>
      <c r="H14" s="464"/>
      <c r="I14" s="464"/>
      <c r="J14" s="464"/>
      <c r="K14" s="464"/>
      <c r="L14" s="464"/>
      <c r="M14" s="464"/>
      <c r="N14" s="464"/>
      <c r="O14" s="464"/>
      <c r="P14" s="465"/>
      <c r="Q14" s="456">
        <f t="shared" si="0"/>
        <v>6037.1893459848297</v>
      </c>
    </row>
    <row r="15" spans="1:17" s="469" customFormat="1">
      <c r="A15" s="466" t="s">
        <v>566</v>
      </c>
      <c r="B15" s="467">
        <f ca="1">SUM(B4:B14)</f>
        <v>103937.01631247891</v>
      </c>
      <c r="C15" s="467">
        <f t="shared" ref="C15:Q15" ca="1" si="1">SUM(C4:C14)</f>
        <v>44147.678571428572</v>
      </c>
      <c r="D15" s="467">
        <f t="shared" ca="1" si="1"/>
        <v>125786.16604203175</v>
      </c>
      <c r="E15" s="467">
        <f t="shared" si="1"/>
        <v>3039.6484427434857</v>
      </c>
      <c r="F15" s="467">
        <f t="shared" ca="1" si="1"/>
        <v>17247.800702733479</v>
      </c>
      <c r="G15" s="467">
        <f t="shared" si="1"/>
        <v>190621.40843643757</v>
      </c>
      <c r="H15" s="467">
        <f t="shared" si="1"/>
        <v>23042.535082429742</v>
      </c>
      <c r="I15" s="467">
        <f t="shared" si="1"/>
        <v>0</v>
      </c>
      <c r="J15" s="467">
        <f t="shared" si="1"/>
        <v>1079.6305282226208</v>
      </c>
      <c r="K15" s="467">
        <f t="shared" si="1"/>
        <v>0</v>
      </c>
      <c r="L15" s="467">
        <f t="shared" ca="1" si="1"/>
        <v>0</v>
      </c>
      <c r="M15" s="467">
        <f t="shared" si="1"/>
        <v>9271.6881347439921</v>
      </c>
      <c r="N15" s="467">
        <f t="shared" ca="1" si="1"/>
        <v>6442.0682236310549</v>
      </c>
      <c r="O15" s="467">
        <f t="shared" si="1"/>
        <v>59.406666666666666</v>
      </c>
      <c r="P15" s="467">
        <f t="shared" si="1"/>
        <v>95.333333333333329</v>
      </c>
      <c r="Q15" s="467">
        <f t="shared" ca="1" si="1"/>
        <v>524770.38047688105</v>
      </c>
    </row>
    <row r="17" spans="1:17">
      <c r="A17" s="470" t="s">
        <v>567</v>
      </c>
      <c r="B17" s="774">
        <f ca="1">huishoudens!B10</f>
        <v>0.22129939048922609</v>
      </c>
      <c r="C17" s="774">
        <f ca="1">huishoudens!C10</f>
        <v>0.23764705882352943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7509.4707914369455</v>
      </c>
      <c r="C22" s="457">
        <f t="shared" ref="C22:C32" ca="1" si="3">C4*$C$17</f>
        <v>0</v>
      </c>
      <c r="D22" s="457">
        <f t="shared" ref="D22:D32" si="4">D4*$D$17</f>
        <v>17552.669581625094</v>
      </c>
      <c r="E22" s="457">
        <f t="shared" ref="E22:E32" si="5">E4*$E$17</f>
        <v>317.39057370356312</v>
      </c>
      <c r="F22" s="457">
        <f t="shared" ref="F22:F32" si="6">F4*$F$17</f>
        <v>0</v>
      </c>
      <c r="G22" s="457">
        <f t="shared" ref="G22:G32" si="7">G4*$G$17</f>
        <v>0</v>
      </c>
      <c r="H22" s="457">
        <f t="shared" ref="H22:H32" si="8">H4*$H$17</f>
        <v>0</v>
      </c>
      <c r="I22" s="457">
        <f t="shared" ref="I22:I32" si="9">I4*$I$17</f>
        <v>0</v>
      </c>
      <c r="J22" s="457">
        <f t="shared" ref="J22:J32" si="10">J4*$J$17</f>
        <v>268.69720245129537</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25648.228149216899</v>
      </c>
    </row>
    <row r="23" spans="1:17">
      <c r="A23" s="456" t="s">
        <v>155</v>
      </c>
      <c r="B23" s="457">
        <f t="shared" ca="1" si="2"/>
        <v>5680.185783094661</v>
      </c>
      <c r="C23" s="457">
        <f t="shared" ca="1" si="3"/>
        <v>0.63655462184873957</v>
      </c>
      <c r="D23" s="457">
        <f t="shared" ca="1" si="4"/>
        <v>4937.7148260675322</v>
      </c>
      <c r="E23" s="457">
        <f t="shared" si="5"/>
        <v>115.95924521569742</v>
      </c>
      <c r="F23" s="457">
        <f t="shared" ca="1" si="6"/>
        <v>1241.1767452506156</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11975.673154250355</v>
      </c>
    </row>
    <row r="24" spans="1:17">
      <c r="A24" s="456" t="s">
        <v>193</v>
      </c>
      <c r="B24" s="457">
        <f t="shared" ca="1" si="2"/>
        <v>226.76791972760535</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226.76791972760535</v>
      </c>
    </row>
    <row r="25" spans="1:17">
      <c r="A25" s="456" t="s">
        <v>111</v>
      </c>
      <c r="B25" s="457">
        <f t="shared" ca="1" si="2"/>
        <v>224.65120571748557</v>
      </c>
      <c r="C25" s="457">
        <f t="shared" ca="1" si="3"/>
        <v>10490.929411764706</v>
      </c>
      <c r="D25" s="457">
        <f t="shared" si="4"/>
        <v>0</v>
      </c>
      <c r="E25" s="457">
        <f t="shared" si="5"/>
        <v>2.4131982683237529</v>
      </c>
      <c r="F25" s="457">
        <f t="shared" si="6"/>
        <v>1160.2742683620909</v>
      </c>
      <c r="G25" s="457">
        <f t="shared" si="7"/>
        <v>0</v>
      </c>
      <c r="H25" s="457">
        <f t="shared" si="8"/>
        <v>0</v>
      </c>
      <c r="I25" s="457">
        <f t="shared" si="9"/>
        <v>0</v>
      </c>
      <c r="J25" s="457">
        <f t="shared" si="10"/>
        <v>32.094221489273686</v>
      </c>
      <c r="K25" s="457">
        <f t="shared" si="11"/>
        <v>0</v>
      </c>
      <c r="L25" s="457">
        <f t="shared" si="12"/>
        <v>0</v>
      </c>
      <c r="M25" s="457">
        <f t="shared" si="13"/>
        <v>0</v>
      </c>
      <c r="N25" s="457">
        <f t="shared" si="14"/>
        <v>0</v>
      </c>
      <c r="O25" s="457">
        <f t="shared" si="15"/>
        <v>0</v>
      </c>
      <c r="P25" s="458">
        <f t="shared" si="16"/>
        <v>0</v>
      </c>
      <c r="Q25" s="456">
        <f t="shared" ca="1" si="17"/>
        <v>11910.362305601879</v>
      </c>
    </row>
    <row r="26" spans="1:17">
      <c r="A26" s="456" t="s">
        <v>654</v>
      </c>
      <c r="B26" s="457">
        <f t="shared" ca="1" si="2"/>
        <v>8707.4685204794641</v>
      </c>
      <c r="C26" s="457">
        <f t="shared" ca="1" si="3"/>
        <v>0</v>
      </c>
      <c r="D26" s="457">
        <f t="shared" si="4"/>
        <v>2082.6577886692266</v>
      </c>
      <c r="E26" s="457">
        <f t="shared" si="5"/>
        <v>79.735236563873826</v>
      </c>
      <c r="F26" s="457">
        <f t="shared" si="6"/>
        <v>2203.7117740171325</v>
      </c>
      <c r="G26" s="457">
        <f t="shared" si="7"/>
        <v>0</v>
      </c>
      <c r="H26" s="457">
        <f t="shared" si="8"/>
        <v>0</v>
      </c>
      <c r="I26" s="457">
        <f t="shared" si="9"/>
        <v>0</v>
      </c>
      <c r="J26" s="457">
        <f t="shared" si="10"/>
        <v>81.397783050238644</v>
      </c>
      <c r="K26" s="457">
        <f t="shared" si="11"/>
        <v>0</v>
      </c>
      <c r="L26" s="457">
        <f t="shared" si="12"/>
        <v>0</v>
      </c>
      <c r="M26" s="457">
        <f t="shared" si="13"/>
        <v>0</v>
      </c>
      <c r="N26" s="457">
        <f t="shared" si="14"/>
        <v>0</v>
      </c>
      <c r="O26" s="457">
        <f t="shared" si="15"/>
        <v>0</v>
      </c>
      <c r="P26" s="458">
        <f t="shared" si="16"/>
        <v>0</v>
      </c>
      <c r="Q26" s="456">
        <f t="shared" ca="1" si="17"/>
        <v>13154.971102779937</v>
      </c>
    </row>
    <row r="27" spans="1:17" s="462" customFormat="1">
      <c r="A27" s="460" t="s">
        <v>572</v>
      </c>
      <c r="B27" s="768">
        <f t="shared" ca="1" si="2"/>
        <v>0.28547271755780401</v>
      </c>
      <c r="C27" s="461">
        <f t="shared" ca="1" si="3"/>
        <v>0</v>
      </c>
      <c r="D27" s="461">
        <f t="shared" si="4"/>
        <v>1.2838636068036435</v>
      </c>
      <c r="E27" s="461">
        <f t="shared" si="5"/>
        <v>174.50194275131324</v>
      </c>
      <c r="F27" s="461">
        <f t="shared" si="6"/>
        <v>0</v>
      </c>
      <c r="G27" s="461">
        <f t="shared" si="7"/>
        <v>50579.185549324335</v>
      </c>
      <c r="H27" s="461">
        <f t="shared" si="8"/>
        <v>5737.5912355250057</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56492.848063925012</v>
      </c>
    </row>
    <row r="28" spans="1:17">
      <c r="A28" s="456" t="s">
        <v>562</v>
      </c>
      <c r="B28" s="457">
        <f t="shared" ca="1" si="2"/>
        <v>230.54927626078185</v>
      </c>
      <c r="C28" s="457">
        <f t="shared" ca="1" si="3"/>
        <v>0</v>
      </c>
      <c r="D28" s="457">
        <f t="shared" si="4"/>
        <v>0</v>
      </c>
      <c r="E28" s="457">
        <f t="shared" si="5"/>
        <v>0</v>
      </c>
      <c r="F28" s="457">
        <f t="shared" si="6"/>
        <v>0</v>
      </c>
      <c r="G28" s="457">
        <f t="shared" si="7"/>
        <v>316.73050320449806</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547.27977946527994</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421.81938978582502</v>
      </c>
      <c r="C32" s="457">
        <f t="shared" ca="1" si="3"/>
        <v>0</v>
      </c>
      <c r="D32" s="457">
        <f t="shared" si="4"/>
        <v>834.47948052175684</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1256.2988703075819</v>
      </c>
    </row>
    <row r="33" spans="1:17" s="469" customFormat="1">
      <c r="A33" s="466" t="s">
        <v>566</v>
      </c>
      <c r="B33" s="467">
        <f ca="1">SUM(B22:B32)</f>
        <v>23001.198359220329</v>
      </c>
      <c r="C33" s="467">
        <f t="shared" ref="C33:Q33" ca="1" si="19">SUM(C22:C32)</f>
        <v>10491.565966386555</v>
      </c>
      <c r="D33" s="467">
        <f t="shared" ca="1" si="19"/>
        <v>25408.805540490412</v>
      </c>
      <c r="E33" s="467">
        <f t="shared" si="19"/>
        <v>690.00019650277136</v>
      </c>
      <c r="F33" s="467">
        <f t="shared" ca="1" si="19"/>
        <v>4605.1627876298389</v>
      </c>
      <c r="G33" s="467">
        <f t="shared" si="19"/>
        <v>50895.916052528832</v>
      </c>
      <c r="H33" s="467">
        <f t="shared" si="19"/>
        <v>5737.5912355250057</v>
      </c>
      <c r="I33" s="467">
        <f t="shared" si="19"/>
        <v>0</v>
      </c>
      <c r="J33" s="467">
        <f t="shared" si="19"/>
        <v>382.18920699080775</v>
      </c>
      <c r="K33" s="467">
        <f t="shared" si="19"/>
        <v>0</v>
      </c>
      <c r="L33" s="467">
        <f t="shared" ca="1" si="19"/>
        <v>0</v>
      </c>
      <c r="M33" s="467">
        <f t="shared" si="19"/>
        <v>0</v>
      </c>
      <c r="N33" s="467">
        <f t="shared" ca="1" si="19"/>
        <v>0</v>
      </c>
      <c r="O33" s="467">
        <f t="shared" si="19"/>
        <v>0</v>
      </c>
      <c r="P33" s="467">
        <f t="shared" si="19"/>
        <v>0</v>
      </c>
      <c r="Q33" s="467">
        <f t="shared" ca="1" si="19"/>
        <v>121212.42934527456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2187.025100941617</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30903.375</v>
      </c>
      <c r="D8" s="1018">
        <f>'SEAP template'!D76</f>
        <v>36356.911764705881</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7344.096176470588</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2187.025100941617</v>
      </c>
      <c r="C10" s="1022">
        <f>SUM(C4:C9)</f>
        <v>30903.375</v>
      </c>
      <c r="D10" s="1022">
        <f t="shared" ref="D10:H10" si="0">SUM(D8:D9)</f>
        <v>36356.911764705881</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7344.096176470588</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0.22129939048922609</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44147.678571428572</v>
      </c>
      <c r="D17" s="1019">
        <f>'SEAP template'!D87</f>
        <v>51938.445378151257</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10491.565966386555</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44147.678571428572</v>
      </c>
      <c r="D20" s="1022">
        <f t="shared" ref="D20:H20" si="2">SUM(D17:D19)</f>
        <v>51938.445378151257</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10491.565966386555</v>
      </c>
    </row>
    <row r="22" spans="1:16">
      <c r="A22" s="470" t="s">
        <v>933</v>
      </c>
      <c r="B22" s="774" t="s">
        <v>927</v>
      </c>
      <c r="C22" s="774">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0.22129939048922609</v>
      </c>
      <c r="C17" s="506">
        <f ca="1">'EF ele_warmte'!B22</f>
        <v>0.23764705882352943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0.22129939048922609</v>
      </c>
      <c r="C17" s="506">
        <f ca="1">'EF ele_warmte'!B22</f>
        <v>0.23764705882352943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0.22129939048922609</v>
      </c>
      <c r="C29" s="507">
        <f ca="1">'EF ele_warmte'!B22</f>
        <v>0.23764705882352943</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7932</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362</v>
      </c>
      <c r="C14" s="331"/>
      <c r="D14" s="331"/>
      <c r="E14" s="331"/>
      <c r="F14" s="331"/>
    </row>
    <row r="15" spans="1:6">
      <c r="A15" s="1290" t="s">
        <v>183</v>
      </c>
      <c r="B15" s="1291">
        <v>0</v>
      </c>
      <c r="C15" s="331"/>
      <c r="D15" s="331"/>
      <c r="E15" s="331"/>
      <c r="F15" s="331"/>
    </row>
    <row r="16" spans="1:6">
      <c r="A16" s="1290" t="s">
        <v>6</v>
      </c>
      <c r="B16" s="1291">
        <v>23</v>
      </c>
      <c r="C16" s="331"/>
      <c r="D16" s="331"/>
      <c r="E16" s="331"/>
      <c r="F16" s="331"/>
    </row>
    <row r="17" spans="1:6">
      <c r="A17" s="1290" t="s">
        <v>7</v>
      </c>
      <c r="B17" s="1291">
        <v>21</v>
      </c>
      <c r="C17" s="331"/>
      <c r="D17" s="331"/>
      <c r="E17" s="331"/>
      <c r="F17" s="331"/>
    </row>
    <row r="18" spans="1:6">
      <c r="A18" s="1290" t="s">
        <v>8</v>
      </c>
      <c r="B18" s="1291">
        <v>23</v>
      </c>
      <c r="C18" s="331"/>
      <c r="D18" s="331"/>
      <c r="E18" s="331"/>
      <c r="F18" s="331"/>
    </row>
    <row r="19" spans="1:6">
      <c r="A19" s="1290" t="s">
        <v>9</v>
      </c>
      <c r="B19" s="1291">
        <v>25</v>
      </c>
      <c r="C19" s="331"/>
      <c r="D19" s="331"/>
      <c r="E19" s="331"/>
      <c r="F19" s="331"/>
    </row>
    <row r="20" spans="1:6">
      <c r="A20" s="1290" t="s">
        <v>10</v>
      </c>
      <c r="B20" s="1291">
        <v>35</v>
      </c>
      <c r="C20" s="331"/>
      <c r="D20" s="331"/>
      <c r="E20" s="331"/>
      <c r="F20" s="331"/>
    </row>
    <row r="21" spans="1:6">
      <c r="A21" s="1290" t="s">
        <v>11</v>
      </c>
      <c r="B21" s="1291">
        <v>72</v>
      </c>
      <c r="C21" s="331"/>
      <c r="D21" s="331"/>
      <c r="E21" s="331"/>
      <c r="F21" s="331"/>
    </row>
    <row r="22" spans="1:6">
      <c r="A22" s="1290" t="s">
        <v>12</v>
      </c>
      <c r="B22" s="1291">
        <v>700</v>
      </c>
      <c r="C22" s="331"/>
      <c r="D22" s="331"/>
      <c r="E22" s="331"/>
      <c r="F22" s="331"/>
    </row>
    <row r="23" spans="1:6">
      <c r="A23" s="1290" t="s">
        <v>13</v>
      </c>
      <c r="B23" s="1291">
        <v>4</v>
      </c>
      <c r="C23" s="331"/>
      <c r="D23" s="331"/>
      <c r="E23" s="331"/>
      <c r="F23" s="331"/>
    </row>
    <row r="24" spans="1:6">
      <c r="A24" s="1290" t="s">
        <v>14</v>
      </c>
      <c r="B24" s="1291">
        <v>2</v>
      </c>
      <c r="C24" s="331"/>
      <c r="D24" s="331"/>
      <c r="E24" s="331"/>
      <c r="F24" s="331"/>
    </row>
    <row r="25" spans="1:6">
      <c r="A25" s="1290" t="s">
        <v>15</v>
      </c>
      <c r="B25" s="1291">
        <v>34</v>
      </c>
      <c r="C25" s="331"/>
      <c r="D25" s="331"/>
      <c r="E25" s="331"/>
      <c r="F25" s="331"/>
    </row>
    <row r="26" spans="1:6">
      <c r="A26" s="1290" t="s">
        <v>16</v>
      </c>
      <c r="B26" s="1291">
        <v>0</v>
      </c>
      <c r="C26" s="331"/>
      <c r="D26" s="331"/>
      <c r="E26" s="331"/>
      <c r="F26" s="331"/>
    </row>
    <row r="27" spans="1:6">
      <c r="A27" s="1290" t="s">
        <v>17</v>
      </c>
      <c r="B27" s="1291">
        <v>0</v>
      </c>
      <c r="C27" s="331"/>
      <c r="D27" s="331"/>
      <c r="E27" s="331"/>
      <c r="F27" s="331"/>
    </row>
    <row r="28" spans="1:6" s="43" customFormat="1">
      <c r="A28" s="1292" t="s">
        <v>18</v>
      </c>
      <c r="B28" s="1293">
        <v>0</v>
      </c>
      <c r="C28" s="337"/>
      <c r="D28" s="337"/>
      <c r="E28" s="337"/>
      <c r="F28" s="337"/>
    </row>
    <row r="29" spans="1:6">
      <c r="A29" s="1292" t="s">
        <v>966</v>
      </c>
      <c r="B29" s="1293">
        <v>2</v>
      </c>
      <c r="C29" s="337"/>
      <c r="D29" s="337"/>
      <c r="E29" s="337"/>
      <c r="F29" s="337"/>
    </row>
    <row r="30" spans="1:6">
      <c r="A30" s="1285" t="s">
        <v>967</v>
      </c>
      <c r="B30" s="1294">
        <v>0</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4</v>
      </c>
      <c r="D36" s="1291">
        <v>42648223.100703798</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2</v>
      </c>
      <c r="F38" s="1291">
        <v>9267.5194841119992</v>
      </c>
    </row>
    <row r="39" spans="1:6">
      <c r="A39" s="1290" t="s">
        <v>29</v>
      </c>
      <c r="B39" s="1290" t="s">
        <v>30</v>
      </c>
      <c r="C39" s="1291">
        <v>6273</v>
      </c>
      <c r="D39" s="1291">
        <v>96335259.278748497</v>
      </c>
      <c r="E39" s="1291">
        <v>7836</v>
      </c>
      <c r="F39" s="1291">
        <v>32954691.6061063</v>
      </c>
    </row>
    <row r="40" spans="1:6">
      <c r="A40" s="1290" t="s">
        <v>29</v>
      </c>
      <c r="B40" s="1290" t="s">
        <v>28</v>
      </c>
      <c r="C40" s="1291">
        <v>0</v>
      </c>
      <c r="D40" s="1291">
        <v>0</v>
      </c>
      <c r="E40" s="1291">
        <v>0</v>
      </c>
      <c r="F40" s="1291">
        <v>0</v>
      </c>
    </row>
    <row r="41" spans="1:6">
      <c r="A41" s="1290" t="s">
        <v>31</v>
      </c>
      <c r="B41" s="1290" t="s">
        <v>32</v>
      </c>
      <c r="C41" s="1291">
        <v>21</v>
      </c>
      <c r="D41" s="1291">
        <v>2376451.8869955898</v>
      </c>
      <c r="E41" s="1291">
        <v>61</v>
      </c>
      <c r="F41" s="1291">
        <v>1810873.3917385801</v>
      </c>
    </row>
    <row r="42" spans="1:6">
      <c r="A42" s="1290" t="s">
        <v>31</v>
      </c>
      <c r="B42" s="1290" t="s">
        <v>33</v>
      </c>
      <c r="C42" s="1291">
        <v>0</v>
      </c>
      <c r="D42" s="1291">
        <v>0</v>
      </c>
      <c r="E42" s="1291">
        <v>4</v>
      </c>
      <c r="F42" s="1291">
        <v>3319051.2746397499</v>
      </c>
    </row>
    <row r="43" spans="1:6">
      <c r="A43" s="1290" t="s">
        <v>31</v>
      </c>
      <c r="B43" s="1290" t="s">
        <v>34</v>
      </c>
      <c r="C43" s="1291">
        <v>0</v>
      </c>
      <c r="D43" s="1291">
        <v>0</v>
      </c>
      <c r="E43" s="1291">
        <v>0</v>
      </c>
      <c r="F43" s="1291">
        <v>0</v>
      </c>
    </row>
    <row r="44" spans="1:6">
      <c r="A44" s="1290" t="s">
        <v>31</v>
      </c>
      <c r="B44" s="1290" t="s">
        <v>35</v>
      </c>
      <c r="C44" s="1291">
        <v>0</v>
      </c>
      <c r="D44" s="1291">
        <v>0</v>
      </c>
      <c r="E44" s="1291">
        <v>0</v>
      </c>
      <c r="F44" s="1291">
        <v>0</v>
      </c>
    </row>
    <row r="45" spans="1:6">
      <c r="A45" s="1290" t="s">
        <v>31</v>
      </c>
      <c r="B45" s="1290" t="s">
        <v>36</v>
      </c>
      <c r="C45" s="1291">
        <v>3</v>
      </c>
      <c r="D45" s="1291">
        <v>41839.143587936902</v>
      </c>
      <c r="E45" s="1291">
        <v>4</v>
      </c>
      <c r="F45" s="1291">
        <v>48433.065977079401</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23</v>
      </c>
      <c r="D48" s="1291">
        <v>8515273.0694107693</v>
      </c>
      <c r="E48" s="1291">
        <v>35</v>
      </c>
      <c r="F48" s="1291">
        <v>33950359.866920702</v>
      </c>
    </row>
    <row r="49" spans="1:6">
      <c r="A49" s="1290" t="s">
        <v>31</v>
      </c>
      <c r="B49" s="1290" t="s">
        <v>39</v>
      </c>
      <c r="C49" s="1291">
        <v>0</v>
      </c>
      <c r="D49" s="1291">
        <v>0</v>
      </c>
      <c r="E49" s="1291">
        <v>0</v>
      </c>
      <c r="F49" s="1291">
        <v>0</v>
      </c>
    </row>
    <row r="50" spans="1:6">
      <c r="A50" s="1290" t="s">
        <v>31</v>
      </c>
      <c r="B50" s="1290" t="s">
        <v>40</v>
      </c>
      <c r="C50" s="1291">
        <v>3</v>
      </c>
      <c r="D50" s="1291">
        <v>496798.50823179301</v>
      </c>
      <c r="E50" s="1291">
        <v>4</v>
      </c>
      <c r="F50" s="1291">
        <v>218288.74009917199</v>
      </c>
    </row>
    <row r="51" spans="1:6">
      <c r="A51" s="1290" t="s">
        <v>41</v>
      </c>
      <c r="B51" s="1290" t="s">
        <v>42</v>
      </c>
      <c r="C51" s="1291">
        <v>12</v>
      </c>
      <c r="D51" s="1291">
        <v>233743.05794878301</v>
      </c>
      <c r="E51" s="1291">
        <v>34</v>
      </c>
      <c r="F51" s="1291">
        <v>996142.35005239304</v>
      </c>
    </row>
    <row r="52" spans="1:6">
      <c r="A52" s="1290" t="s">
        <v>41</v>
      </c>
      <c r="B52" s="1290" t="s">
        <v>28</v>
      </c>
      <c r="C52" s="1291">
        <v>4</v>
      </c>
      <c r="D52" s="1291">
        <v>54430194.619408198</v>
      </c>
      <c r="E52" s="1291">
        <v>2</v>
      </c>
      <c r="F52" s="1291">
        <v>19003.716192297499</v>
      </c>
    </row>
    <row r="53" spans="1:6">
      <c r="A53" s="1290" t="s">
        <v>43</v>
      </c>
      <c r="B53" s="1290" t="s">
        <v>44</v>
      </c>
      <c r="C53" s="1291">
        <v>249</v>
      </c>
      <c r="D53" s="1291">
        <v>4131086.53723642</v>
      </c>
      <c r="E53" s="1291">
        <v>384</v>
      </c>
      <c r="F53" s="1291">
        <v>1906102.8087484101</v>
      </c>
    </row>
    <row r="54" spans="1:6">
      <c r="A54" s="1290" t="s">
        <v>45</v>
      </c>
      <c r="B54" s="1290" t="s">
        <v>46</v>
      </c>
      <c r="C54" s="1291">
        <v>0</v>
      </c>
      <c r="D54" s="1291">
        <v>0</v>
      </c>
      <c r="E54" s="1291">
        <v>4</v>
      </c>
      <c r="F54" s="1291">
        <v>1024711</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44</v>
      </c>
      <c r="D57" s="1291">
        <v>2348828.8107586</v>
      </c>
      <c r="E57" s="1291">
        <v>83</v>
      </c>
      <c r="F57" s="1291">
        <v>3360934.6416252698</v>
      </c>
    </row>
    <row r="58" spans="1:6">
      <c r="A58" s="1290" t="s">
        <v>48</v>
      </c>
      <c r="B58" s="1290" t="s">
        <v>50</v>
      </c>
      <c r="C58" s="1291">
        <v>6</v>
      </c>
      <c r="D58" s="1291">
        <v>150387.05512726601</v>
      </c>
      <c r="E58" s="1291">
        <v>11</v>
      </c>
      <c r="F58" s="1291">
        <v>53308.505095340901</v>
      </c>
    </row>
    <row r="59" spans="1:6">
      <c r="A59" s="1290" t="s">
        <v>48</v>
      </c>
      <c r="B59" s="1290" t="s">
        <v>51</v>
      </c>
      <c r="C59" s="1291">
        <v>88</v>
      </c>
      <c r="D59" s="1291">
        <v>4903563.89562329</v>
      </c>
      <c r="E59" s="1291">
        <v>162</v>
      </c>
      <c r="F59" s="1291">
        <v>7741105.9027162502</v>
      </c>
    </row>
    <row r="60" spans="1:6">
      <c r="A60" s="1290" t="s">
        <v>48</v>
      </c>
      <c r="B60" s="1290" t="s">
        <v>52</v>
      </c>
      <c r="C60" s="1291">
        <v>45</v>
      </c>
      <c r="D60" s="1291">
        <v>1613941.5958462399</v>
      </c>
      <c r="E60" s="1291">
        <v>52</v>
      </c>
      <c r="F60" s="1291">
        <v>937342.22726242198</v>
      </c>
    </row>
    <row r="61" spans="1:6">
      <c r="A61" s="1290" t="s">
        <v>48</v>
      </c>
      <c r="B61" s="1290" t="s">
        <v>53</v>
      </c>
      <c r="C61" s="1291">
        <v>99</v>
      </c>
      <c r="D61" s="1291">
        <v>8648394.2340488899</v>
      </c>
      <c r="E61" s="1291">
        <v>322</v>
      </c>
      <c r="F61" s="1291">
        <v>8093286.5754447002</v>
      </c>
    </row>
    <row r="62" spans="1:6">
      <c r="A62" s="1290" t="s">
        <v>48</v>
      </c>
      <c r="B62" s="1290" t="s">
        <v>54</v>
      </c>
      <c r="C62" s="1291">
        <v>4</v>
      </c>
      <c r="D62" s="1291">
        <v>975925.98025614</v>
      </c>
      <c r="E62" s="1291">
        <v>4</v>
      </c>
      <c r="F62" s="1291">
        <v>150589.5617779</v>
      </c>
    </row>
    <row r="63" spans="1:6">
      <c r="A63" s="1290" t="s">
        <v>48</v>
      </c>
      <c r="B63" s="1290" t="s">
        <v>28</v>
      </c>
      <c r="C63" s="1291">
        <v>108</v>
      </c>
      <c r="D63" s="1291">
        <v>8464823.1125653591</v>
      </c>
      <c r="E63" s="1291">
        <v>101</v>
      </c>
      <c r="F63" s="1291">
        <v>5328983.8294920102</v>
      </c>
    </row>
    <row r="64" spans="1:6">
      <c r="A64" s="1290" t="s">
        <v>55</v>
      </c>
      <c r="B64" s="1290" t="s">
        <v>56</v>
      </c>
      <c r="C64" s="1291">
        <v>0</v>
      </c>
      <c r="D64" s="1291">
        <v>0</v>
      </c>
      <c r="E64" s="1291">
        <v>0</v>
      </c>
      <c r="F64" s="1291">
        <v>0</v>
      </c>
    </row>
    <row r="65" spans="1:6">
      <c r="A65" s="1290" t="s">
        <v>55</v>
      </c>
      <c r="B65" s="1290" t="s">
        <v>28</v>
      </c>
      <c r="C65" s="1291">
        <v>0</v>
      </c>
      <c r="D65" s="1291">
        <v>0</v>
      </c>
      <c r="E65" s="1291">
        <v>0</v>
      </c>
      <c r="F65" s="1291">
        <v>0</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4</v>
      </c>
      <c r="D68" s="1294">
        <v>250075.01554668599</v>
      </c>
      <c r="E68" s="1294">
        <v>10</v>
      </c>
      <c r="F68" s="1294">
        <v>1236107.48199774</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36126366</v>
      </c>
      <c r="E73" s="455"/>
      <c r="F73" s="331"/>
    </row>
    <row r="74" spans="1:6">
      <c r="A74" s="1290" t="s">
        <v>63</v>
      </c>
      <c r="B74" s="1290" t="s">
        <v>773</v>
      </c>
      <c r="C74" s="1304" t="s">
        <v>774</v>
      </c>
      <c r="D74" s="1305">
        <v>3101830.5798343066</v>
      </c>
      <c r="E74" s="455"/>
      <c r="F74" s="331"/>
    </row>
    <row r="75" spans="1:6">
      <c r="A75" s="1290" t="s">
        <v>64</v>
      </c>
      <c r="B75" s="1290" t="s">
        <v>771</v>
      </c>
      <c r="C75" s="1304" t="s">
        <v>775</v>
      </c>
      <c r="D75" s="1305">
        <v>12235926</v>
      </c>
      <c r="E75" s="455"/>
      <c r="F75" s="331"/>
    </row>
    <row r="76" spans="1:6">
      <c r="A76" s="1290" t="s">
        <v>64</v>
      </c>
      <c r="B76" s="1290" t="s">
        <v>773</v>
      </c>
      <c r="C76" s="1304" t="s">
        <v>776</v>
      </c>
      <c r="D76" s="1305">
        <v>1632549.5798343066</v>
      </c>
      <c r="E76" s="455"/>
      <c r="F76" s="331"/>
    </row>
    <row r="77" spans="1:6">
      <c r="A77" s="1290" t="s">
        <v>65</v>
      </c>
      <c r="B77" s="1290" t="s">
        <v>771</v>
      </c>
      <c r="C77" s="1304" t="s">
        <v>777</v>
      </c>
      <c r="D77" s="1305">
        <v>135832686</v>
      </c>
      <c r="E77" s="455"/>
      <c r="F77" s="331"/>
    </row>
    <row r="78" spans="1:6">
      <c r="A78" s="1285" t="s">
        <v>65</v>
      </c>
      <c r="B78" s="1285" t="s">
        <v>773</v>
      </c>
      <c r="C78" s="1285" t="s">
        <v>778</v>
      </c>
      <c r="D78" s="1306">
        <v>31041418</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323716.84033138683</v>
      </c>
      <c r="C83" s="455"/>
      <c r="D83" s="331"/>
      <c r="E83" s="331"/>
      <c r="F83" s="331"/>
    </row>
    <row r="84" spans="1:6">
      <c r="A84" s="1285" t="s">
        <v>336</v>
      </c>
      <c r="B84" s="1306">
        <v>295545.54966676631</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978.84420181334235</v>
      </c>
      <c r="C91" s="331"/>
      <c r="D91" s="331"/>
      <c r="E91" s="331"/>
      <c r="F91" s="331"/>
    </row>
    <row r="92" spans="1:6">
      <c r="A92" s="1285" t="s">
        <v>68</v>
      </c>
      <c r="B92" s="1286">
        <v>1208.1808991282749</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5156</v>
      </c>
      <c r="C97" s="331"/>
      <c r="D97" s="331"/>
      <c r="E97" s="331"/>
      <c r="F97" s="331"/>
    </row>
    <row r="98" spans="1:6">
      <c r="A98" s="1290" t="s">
        <v>71</v>
      </c>
      <c r="B98" s="1291">
        <v>14</v>
      </c>
      <c r="C98" s="331"/>
      <c r="D98" s="331"/>
      <c r="E98" s="331"/>
      <c r="F98" s="331"/>
    </row>
    <row r="99" spans="1:6">
      <c r="A99" s="1290" t="s">
        <v>72</v>
      </c>
      <c r="B99" s="1291">
        <v>13</v>
      </c>
      <c r="C99" s="331"/>
      <c r="D99" s="331"/>
      <c r="E99" s="331"/>
      <c r="F99" s="331"/>
    </row>
    <row r="100" spans="1:6">
      <c r="A100" s="1290" t="s">
        <v>73</v>
      </c>
      <c r="B100" s="1291">
        <v>969</v>
      </c>
      <c r="C100" s="331"/>
      <c r="D100" s="331"/>
      <c r="E100" s="331"/>
      <c r="F100" s="331"/>
    </row>
    <row r="101" spans="1:6">
      <c r="A101" s="1290" t="s">
        <v>74</v>
      </c>
      <c r="B101" s="1291">
        <v>49</v>
      </c>
      <c r="C101" s="331"/>
      <c r="D101" s="331"/>
      <c r="E101" s="331"/>
      <c r="F101" s="331"/>
    </row>
    <row r="102" spans="1:6">
      <c r="A102" s="1290" t="s">
        <v>75</v>
      </c>
      <c r="B102" s="1291">
        <v>101</v>
      </c>
      <c r="C102" s="331"/>
      <c r="D102" s="331"/>
      <c r="E102" s="331"/>
      <c r="F102" s="331"/>
    </row>
    <row r="103" spans="1:6">
      <c r="A103" s="1290" t="s">
        <v>76</v>
      </c>
      <c r="B103" s="1291">
        <v>138</v>
      </c>
      <c r="C103" s="331"/>
      <c r="D103" s="331"/>
      <c r="E103" s="331"/>
      <c r="F103" s="331"/>
    </row>
    <row r="104" spans="1:6">
      <c r="A104" s="1290" t="s">
        <v>77</v>
      </c>
      <c r="B104" s="1291">
        <v>696</v>
      </c>
      <c r="C104" s="331"/>
      <c r="D104" s="331"/>
      <c r="E104" s="331"/>
      <c r="F104" s="331"/>
    </row>
    <row r="105" spans="1:6">
      <c r="A105" s="1285" t="s">
        <v>78</v>
      </c>
      <c r="B105" s="1294">
        <v>3</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2</v>
      </c>
      <c r="C123" s="1291">
        <v>2</v>
      </c>
      <c r="D123" s="331"/>
      <c r="E123" s="331"/>
      <c r="F123" s="331"/>
    </row>
    <row r="124" spans="1:6" s="43" customFormat="1">
      <c r="A124" s="1292" t="s">
        <v>88</v>
      </c>
      <c r="B124" s="1313">
        <v>1</v>
      </c>
      <c r="C124" s="1313">
        <v>1</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35</v>
      </c>
      <c r="C129" s="331"/>
      <c r="D129" s="331"/>
      <c r="E129" s="331"/>
      <c r="F129" s="331"/>
    </row>
    <row r="130" spans="1:6">
      <c r="A130" s="1290" t="s">
        <v>294</v>
      </c>
      <c r="B130" s="1291">
        <v>0</v>
      </c>
      <c r="C130" s="331"/>
      <c r="D130" s="331"/>
      <c r="E130" s="331"/>
      <c r="F130" s="331"/>
    </row>
    <row r="131" spans="1:6">
      <c r="A131" s="1290" t="s">
        <v>295</v>
      </c>
      <c r="B131" s="1291">
        <v>1</v>
      </c>
      <c r="C131" s="331"/>
      <c r="D131" s="331"/>
      <c r="E131" s="331"/>
      <c r="F131" s="331"/>
    </row>
    <row r="132" spans="1:6">
      <c r="A132" s="1285" t="s">
        <v>296</v>
      </c>
      <c r="B132" s="1286">
        <v>1</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103937.01631247888</v>
      </c>
      <c r="C3" s="43" t="s">
        <v>169</v>
      </c>
      <c r="D3" s="43"/>
      <c r="E3" s="156"/>
      <c r="F3" s="43"/>
      <c r="G3" s="43"/>
      <c r="H3" s="43"/>
      <c r="I3" s="43"/>
      <c r="J3" s="43"/>
      <c r="K3" s="96"/>
    </row>
    <row r="4" spans="1:11">
      <c r="A4" s="362" t="s">
        <v>170</v>
      </c>
      <c r="B4" s="49">
        <f>IF(ISERROR('SEAP template'!B78+'SEAP template'!C78),0,'SEAP template'!B78+'SEAP template'!C78)</f>
        <v>33090.400100941617</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7344.096176470588</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0.22129939048922609</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10491.565966386555</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44147.678571428572</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0.23764705882352943</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1024.711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1024.711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0.22129939048922609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226.76791972760535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32954.691606106302</v>
      </c>
      <c r="C5" s="17">
        <f>IF(ISERROR('Eigen informatie GS &amp; warmtenet'!B57),0,'Eigen informatie GS &amp; warmtenet'!B57)</f>
        <v>0</v>
      </c>
      <c r="D5" s="30">
        <f>(SUM(HH_hh_gas_kWh,HH_rest_gas_kWh)/1000)*0.902</f>
        <v>86894.40386943116</v>
      </c>
      <c r="E5" s="17">
        <f>B46*B57</f>
        <v>1398.1963599275907</v>
      </c>
      <c r="F5" s="17">
        <f>B51*B62</f>
        <v>0</v>
      </c>
      <c r="G5" s="18"/>
      <c r="H5" s="17"/>
      <c r="I5" s="17"/>
      <c r="J5" s="17">
        <f>B50*B61+C50*C61</f>
        <v>759.03164534264226</v>
      </c>
      <c r="K5" s="17"/>
      <c r="L5" s="17"/>
      <c r="M5" s="17"/>
      <c r="N5" s="17">
        <f>B48*B59+C48*C59</f>
        <v>4685.3242237968443</v>
      </c>
      <c r="O5" s="17">
        <f>B69*B70*B71</f>
        <v>59.406666666666666</v>
      </c>
      <c r="P5" s="17">
        <f>B77*B78*B79/1000-B77*B78*B79/1000/B80</f>
        <v>76.266666666666666</v>
      </c>
    </row>
    <row r="6" spans="1:16">
      <c r="A6" s="16" t="s">
        <v>631</v>
      </c>
      <c r="B6" s="776">
        <f>kWh_PV_kleiner_dan_10kW</f>
        <v>978.84420181334235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33933.535807919645</v>
      </c>
      <c r="C8" s="21">
        <f>C5</f>
        <v>0</v>
      </c>
      <c r="D8" s="21">
        <f>D5</f>
        <v>86894.40386943116</v>
      </c>
      <c r="E8" s="21">
        <f>E5</f>
        <v>1398.1963599275907</v>
      </c>
      <c r="F8" s="21">
        <f>F5</f>
        <v>0</v>
      </c>
      <c r="G8" s="21"/>
      <c r="H8" s="21"/>
      <c r="I8" s="21"/>
      <c r="J8" s="21">
        <f>J5</f>
        <v>759.03164534264226</v>
      </c>
      <c r="K8" s="21"/>
      <c r="L8" s="21">
        <f>L5</f>
        <v>0</v>
      </c>
      <c r="M8" s="21">
        <f>M5</f>
        <v>0</v>
      </c>
      <c r="N8" s="21">
        <f>N5</f>
        <v>4685.3242237968443</v>
      </c>
      <c r="O8" s="21">
        <f>O5</f>
        <v>59.406666666666666</v>
      </c>
      <c r="P8" s="21">
        <f>P5</f>
        <v>76.266666666666666</v>
      </c>
    </row>
    <row r="9" spans="1:16">
      <c r="B9" s="19"/>
      <c r="C9" s="19"/>
      <c r="D9" s="260"/>
      <c r="E9" s="19"/>
      <c r="F9" s="19"/>
      <c r="G9" s="19"/>
      <c r="H9" s="19"/>
      <c r="I9" s="19"/>
      <c r="J9" s="19"/>
      <c r="K9" s="19"/>
      <c r="L9" s="19"/>
      <c r="M9" s="19"/>
      <c r="N9" s="19"/>
      <c r="O9" s="19"/>
      <c r="P9" s="19"/>
    </row>
    <row r="10" spans="1:16">
      <c r="A10" s="24" t="s">
        <v>213</v>
      </c>
      <c r="B10" s="25">
        <f ca="1">'EF ele_warmte'!B12</f>
        <v>0.22129939048922609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7509.4707914369455</v>
      </c>
      <c r="C12" s="23">
        <f ca="1">C10*C8</f>
        <v>0</v>
      </c>
      <c r="D12" s="23">
        <f>D8*D10</f>
        <v>17552.669581625094</v>
      </c>
      <c r="E12" s="23">
        <f>E10*E8</f>
        <v>317.39057370356312</v>
      </c>
      <c r="F12" s="23">
        <f>F10*F8</f>
        <v>0</v>
      </c>
      <c r="G12" s="23"/>
      <c r="H12" s="23"/>
      <c r="I12" s="23"/>
      <c r="J12" s="23">
        <f>J10*J8</f>
        <v>268.69720245129537</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5156</v>
      </c>
      <c r="C18" s="167" t="s">
        <v>110</v>
      </c>
      <c r="D18" s="229"/>
      <c r="E18" s="15"/>
    </row>
    <row r="19" spans="1:7">
      <c r="A19" s="172" t="s">
        <v>71</v>
      </c>
      <c r="B19" s="37">
        <f>aantalw2001_ander</f>
        <v>14</v>
      </c>
      <c r="C19" s="167" t="s">
        <v>110</v>
      </c>
      <c r="D19" s="230"/>
      <c r="E19" s="15"/>
    </row>
    <row r="20" spans="1:7">
      <c r="A20" s="172" t="s">
        <v>72</v>
      </c>
      <c r="B20" s="37">
        <f>aantalw2001_propaan</f>
        <v>13</v>
      </c>
      <c r="C20" s="168">
        <f>IF(ISERROR(B20/SUM($B$20,$B$21,$B$22)*100),0,B20/SUM($B$20,$B$21,$B$22)*100)</f>
        <v>1.2609117361784674</v>
      </c>
      <c r="D20" s="230"/>
      <c r="E20" s="15"/>
    </row>
    <row r="21" spans="1:7">
      <c r="A21" s="172" t="s">
        <v>73</v>
      </c>
      <c r="B21" s="37">
        <f>aantalw2001_elektriciteit</f>
        <v>969</v>
      </c>
      <c r="C21" s="168">
        <f>IF(ISERROR(B21/SUM($B$20,$B$21,$B$22)*100),0,B21/SUM($B$20,$B$21,$B$22)*100)</f>
        <v>93.986420950533471</v>
      </c>
      <c r="D21" s="230"/>
      <c r="E21" s="15"/>
    </row>
    <row r="22" spans="1:7">
      <c r="A22" s="172" t="s">
        <v>74</v>
      </c>
      <c r="B22" s="37">
        <f>aantalw2001_hout</f>
        <v>49</v>
      </c>
      <c r="C22" s="168">
        <f>IF(ISERROR(B22/SUM($B$20,$B$21,$B$22)*100),0,B22/SUM($B$20,$B$21,$B$22)*100)</f>
        <v>4.7526673132880699</v>
      </c>
      <c r="D22" s="230"/>
      <c r="E22" s="15"/>
    </row>
    <row r="23" spans="1:7">
      <c r="A23" s="172" t="s">
        <v>75</v>
      </c>
      <c r="B23" s="37">
        <f>aantalw2001_niet_gespec</f>
        <v>101</v>
      </c>
      <c r="C23" s="167" t="s">
        <v>110</v>
      </c>
      <c r="D23" s="229"/>
      <c r="E23" s="15"/>
    </row>
    <row r="24" spans="1:7">
      <c r="A24" s="172" t="s">
        <v>76</v>
      </c>
      <c r="B24" s="37">
        <f>aantalw2001_steenkool</f>
        <v>138</v>
      </c>
      <c r="C24" s="167" t="s">
        <v>110</v>
      </c>
      <c r="D24" s="230"/>
      <c r="E24" s="15"/>
    </row>
    <row r="25" spans="1:7">
      <c r="A25" s="172" t="s">
        <v>77</v>
      </c>
      <c r="B25" s="37">
        <f>aantalw2001_stookolie</f>
        <v>696</v>
      </c>
      <c r="C25" s="167" t="s">
        <v>110</v>
      </c>
      <c r="D25" s="229"/>
      <c r="E25" s="52"/>
    </row>
    <row r="26" spans="1:7">
      <c r="A26" s="172" t="s">
        <v>78</v>
      </c>
      <c r="B26" s="37">
        <f>aantalw2001_WP</f>
        <v>3</v>
      </c>
      <c r="C26" s="167" t="s">
        <v>110</v>
      </c>
      <c r="D26" s="229"/>
      <c r="E26" s="15"/>
    </row>
    <row r="27" spans="1:7" s="15" customFormat="1">
      <c r="A27" s="172"/>
      <c r="B27" s="29"/>
      <c r="C27" s="36"/>
      <c r="D27" s="229"/>
    </row>
    <row r="28" spans="1:7" s="15" customFormat="1">
      <c r="A28" s="231" t="s">
        <v>711</v>
      </c>
      <c r="B28" s="37">
        <f>aantalHuishoudens</f>
        <v>7932</v>
      </c>
      <c r="C28" s="36"/>
      <c r="D28" s="229"/>
    </row>
    <row r="29" spans="1:7" s="15" customFormat="1">
      <c r="A29" s="231" t="s">
        <v>712</v>
      </c>
      <c r="B29" s="37">
        <f>SUM(HH_hh_gas_aantal,HH_rest_gas_aantal)</f>
        <v>6273</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6273</v>
      </c>
      <c r="C32" s="168">
        <f>IF(ISERROR(B32/SUM($B$32,$B$34,$B$35,$B$36,$B$38,$B$39)*100),0,B32/SUM($B$32,$B$34,$B$35,$B$36,$B$38,$B$39)*100)</f>
        <v>79.124621594349136</v>
      </c>
      <c r="D32" s="234"/>
      <c r="G32" s="15"/>
    </row>
    <row r="33" spans="1:7">
      <c r="A33" s="172" t="s">
        <v>71</v>
      </c>
      <c r="B33" s="34" t="s">
        <v>110</v>
      </c>
      <c r="C33" s="168"/>
      <c r="D33" s="234"/>
      <c r="G33" s="15"/>
    </row>
    <row r="34" spans="1:7">
      <c r="A34" s="172" t="s">
        <v>72</v>
      </c>
      <c r="B34" s="33">
        <f>IF((($B$28-$B$32-$B$39-$B$77-$B$38)*C20/100)&lt;0,0,($B$28-$B$32-$B$39-$B$77-$B$38)*C20/100)</f>
        <v>20.536469447138696</v>
      </c>
      <c r="C34" s="168">
        <f>IF(ISERROR(B34/SUM($B$32,$B$34,$B$35,$B$36,$B$38,$B$39)*100),0,B34/SUM($B$32,$B$34,$B$35,$B$36,$B$38,$B$39)*100)</f>
        <v>0.25903720291547294</v>
      </c>
      <c r="D34" s="234"/>
      <c r="G34" s="15"/>
    </row>
    <row r="35" spans="1:7">
      <c r="A35" s="172" t="s">
        <v>73</v>
      </c>
      <c r="B35" s="33">
        <f>IF((($B$28-$B$32-$B$39-$B$77-$B$38)*C21/100)&lt;0,0,($B$28-$B$32-$B$39-$B$77-$B$38)*C21/100)</f>
        <v>1530.7568380213386</v>
      </c>
      <c r="C35" s="168">
        <f>IF(ISERROR(B35/SUM($B$32,$B$34,$B$35,$B$36,$B$38,$B$39)*100),0,B35/SUM($B$32,$B$34,$B$35,$B$36,$B$38,$B$39)*100)</f>
        <v>19.308234586545641</v>
      </c>
      <c r="D35" s="234"/>
      <c r="G35" s="15"/>
    </row>
    <row r="36" spans="1:7">
      <c r="A36" s="172" t="s">
        <v>74</v>
      </c>
      <c r="B36" s="33">
        <f>IF((($B$28-$B$32-$B$39-$B$77-$B$38)*C22/100)&lt;0,0,($B$28-$B$32-$B$39-$B$77-$B$38)*C22/100)</f>
        <v>77.406692531522793</v>
      </c>
      <c r="C36" s="168">
        <f>IF(ISERROR(B36/SUM($B$32,$B$34,$B$35,$B$36,$B$38,$B$39)*100),0,B36/SUM($B$32,$B$34,$B$35,$B$36,$B$38,$B$39)*100)</f>
        <v>0.97637099560447504</v>
      </c>
      <c r="D36" s="234"/>
      <c r="G36" s="15"/>
    </row>
    <row r="37" spans="1:7">
      <c r="A37" s="172" t="s">
        <v>75</v>
      </c>
      <c r="B37" s="34" t="s">
        <v>110</v>
      </c>
      <c r="C37" s="168"/>
      <c r="D37" s="174"/>
      <c r="G37" s="15"/>
    </row>
    <row r="38" spans="1:7">
      <c r="A38" s="172" t="s">
        <v>76</v>
      </c>
      <c r="B38" s="33">
        <f>IF((B24-(B29-B18)*0.1)&lt;0,0,B24-(B29-B18)*0.1)</f>
        <v>26.299999999999997</v>
      </c>
      <c r="C38" s="168">
        <f>IF(ISERROR(B38/SUM($B$32,$B$34,$B$35,$B$36,$B$38,$B$39)*100),0,B38/SUM($B$32,$B$34,$B$35,$B$36,$B$38,$B$39)*100)</f>
        <v>0.33173562058526734</v>
      </c>
      <c r="D38" s="235"/>
      <c r="G38" s="15"/>
    </row>
    <row r="39" spans="1:7">
      <c r="A39" s="172" t="s">
        <v>77</v>
      </c>
      <c r="B39" s="33">
        <f>IF((B25-(B29-B18))&lt;0,0,B25-(B29-B18)*0.9)</f>
        <v>0</v>
      </c>
      <c r="C39" s="168">
        <f>IF(ISERROR(B39/SUM($B$32,$B$34,$B$35,$B$36,$B$38,$B$39)*100),0,B39/SUM($B$32,$B$34,$B$35,$B$36,$B$38,$B$39)*100)</f>
        <v>0</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6273</v>
      </c>
      <c r="C44" s="34" t="s">
        <v>110</v>
      </c>
      <c r="D44" s="175"/>
    </row>
    <row r="45" spans="1:7">
      <c r="A45" s="172" t="s">
        <v>71</v>
      </c>
      <c r="B45" s="33" t="str">
        <f t="shared" si="0"/>
        <v>-</v>
      </c>
      <c r="C45" s="34" t="s">
        <v>110</v>
      </c>
      <c r="D45" s="175"/>
    </row>
    <row r="46" spans="1:7">
      <c r="A46" s="172" t="s">
        <v>72</v>
      </c>
      <c r="B46" s="33">
        <f t="shared" si="0"/>
        <v>20.536469447138696</v>
      </c>
      <c r="C46" s="34" t="s">
        <v>110</v>
      </c>
      <c r="D46" s="175"/>
    </row>
    <row r="47" spans="1:7">
      <c r="A47" s="172" t="s">
        <v>73</v>
      </c>
      <c r="B47" s="33">
        <f t="shared" si="0"/>
        <v>1530.7568380213386</v>
      </c>
      <c r="C47" s="34" t="s">
        <v>110</v>
      </c>
      <c r="D47" s="175"/>
    </row>
    <row r="48" spans="1:7">
      <c r="A48" s="172" t="s">
        <v>74</v>
      </c>
      <c r="B48" s="33">
        <f t="shared" si="0"/>
        <v>77.406692531522793</v>
      </c>
      <c r="C48" s="33">
        <f>B48*10</f>
        <v>774.06692531522799</v>
      </c>
      <c r="D48" s="235"/>
    </row>
    <row r="49" spans="1:6">
      <c r="A49" s="172" t="s">
        <v>75</v>
      </c>
      <c r="B49" s="33" t="str">
        <f t="shared" si="0"/>
        <v>-</v>
      </c>
      <c r="C49" s="34" t="s">
        <v>110</v>
      </c>
      <c r="D49" s="235"/>
    </row>
    <row r="50" spans="1:6">
      <c r="A50" s="172" t="s">
        <v>76</v>
      </c>
      <c r="B50" s="33">
        <f t="shared" si="0"/>
        <v>26.299999999999997</v>
      </c>
      <c r="C50" s="33">
        <f>B50*2</f>
        <v>52.599999999999994</v>
      </c>
      <c r="D50" s="235"/>
    </row>
    <row r="51" spans="1:6">
      <c r="A51" s="172" t="s">
        <v>77</v>
      </c>
      <c r="B51" s="33">
        <f t="shared" si="0"/>
        <v>0</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38</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4</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25665.551243413895</v>
      </c>
      <c r="C5" s="17">
        <f>IF(ISERROR('Eigen informatie GS &amp; warmtenet'!B58),0,'Eigen informatie GS &amp; warmtenet'!B58)</f>
        <v>0</v>
      </c>
      <c r="D5" s="30">
        <f>SUM(D6:D12)</f>
        <v>24449.489945171656</v>
      </c>
      <c r="E5" s="17">
        <f>SUM(E6:E12)</f>
        <v>510.83367936430579</v>
      </c>
      <c r="F5" s="17">
        <f>SUM(F6:F12)</f>
        <v>4648.6020421371368</v>
      </c>
      <c r="G5" s="18"/>
      <c r="H5" s="17"/>
      <c r="I5" s="17"/>
      <c r="J5" s="17">
        <f>SUM(J6:J12)</f>
        <v>0</v>
      </c>
      <c r="K5" s="17"/>
      <c r="L5" s="17"/>
      <c r="M5" s="17"/>
      <c r="N5" s="17">
        <f>SUM(N6:N12)</f>
        <v>992.85103342150865</v>
      </c>
      <c r="O5" s="17">
        <f>B38*B39*B40</f>
        <v>0</v>
      </c>
      <c r="P5" s="17">
        <f>B46*B47*B48/1000-B46*B47*B48/1000/B49</f>
        <v>19.066666666666666</v>
      </c>
      <c r="R5" s="32"/>
    </row>
    <row r="6" spans="1:18">
      <c r="A6" s="32" t="s">
        <v>53</v>
      </c>
      <c r="B6" s="37">
        <f>B26</f>
        <v>8093.2865754447002</v>
      </c>
      <c r="C6" s="33"/>
      <c r="D6" s="37">
        <f>IF(ISERROR(TER_kantoor_gas_kWh/1000),0,TER_kantoor_gas_kWh/1000)*0.902</f>
        <v>7800.8515991120994</v>
      </c>
      <c r="E6" s="33">
        <f>$C$26*'E Balans VL '!I12/100/3.6*1000000</f>
        <v>283.29686707939874</v>
      </c>
      <c r="F6" s="33">
        <f>$C$26*('E Balans VL '!L12+'E Balans VL '!N12)/100/3.6*1000000</f>
        <v>1227.1160059974879</v>
      </c>
      <c r="G6" s="34"/>
      <c r="H6" s="33"/>
      <c r="I6" s="33"/>
      <c r="J6" s="33">
        <f>$C$26*('E Balans VL '!D12+'E Balans VL '!E12)/100/3.6*1000000</f>
        <v>0</v>
      </c>
      <c r="K6" s="33"/>
      <c r="L6" s="33"/>
      <c r="M6" s="33"/>
      <c r="N6" s="33">
        <f>$C$26*'E Balans VL '!Y12/100/3.6*1000000</f>
        <v>62.55857209920427</v>
      </c>
      <c r="O6" s="33"/>
      <c r="P6" s="33"/>
      <c r="R6" s="32"/>
    </row>
    <row r="7" spans="1:18">
      <c r="A7" s="32" t="s">
        <v>52</v>
      </c>
      <c r="B7" s="37">
        <f t="shared" ref="B7:B12" si="0">B27</f>
        <v>937.34222726242194</v>
      </c>
      <c r="C7" s="33"/>
      <c r="D7" s="37">
        <f>IF(ISERROR(TER_horeca_gas_kWh/1000),0,TER_horeca_gas_kWh/1000)*0.902</f>
        <v>1455.7753194533086</v>
      </c>
      <c r="E7" s="33">
        <f>$C$27*'E Balans VL '!I9/100/3.6*1000000</f>
        <v>52.878565233818321</v>
      </c>
      <c r="F7" s="33">
        <f>$C$27*('E Balans VL '!L9+'E Balans VL '!N9)/100/3.6*1000000</f>
        <v>163.29020330760159</v>
      </c>
      <c r="G7" s="34"/>
      <c r="H7" s="33"/>
      <c r="I7" s="33"/>
      <c r="J7" s="33">
        <f>$C$27*('E Balans VL '!D9+'E Balans VL '!E9)/100/3.6*1000000</f>
        <v>0</v>
      </c>
      <c r="K7" s="33"/>
      <c r="L7" s="33"/>
      <c r="M7" s="33"/>
      <c r="N7" s="33">
        <f>$C$27*'E Balans VL '!Y9/100/3.6*1000000</f>
        <v>0</v>
      </c>
      <c r="O7" s="33"/>
      <c r="P7" s="33"/>
      <c r="R7" s="32"/>
    </row>
    <row r="8" spans="1:18">
      <c r="A8" s="6" t="s">
        <v>51</v>
      </c>
      <c r="B8" s="37">
        <f t="shared" si="0"/>
        <v>7741.1059027162501</v>
      </c>
      <c r="C8" s="33"/>
      <c r="D8" s="37">
        <f>IF(ISERROR(TER_handel_gas_kWh/1000),0,TER_handel_gas_kWh/1000)*0.902</f>
        <v>4423.0146338522072</v>
      </c>
      <c r="E8" s="33">
        <f>$C$28*'E Balans VL '!I13/100/3.6*1000000</f>
        <v>39.742051219592199</v>
      </c>
      <c r="F8" s="33">
        <f>$C$28*('E Balans VL '!L13+'E Balans VL '!N13)/100/3.6*1000000</f>
        <v>1193.5589178339037</v>
      </c>
      <c r="G8" s="34"/>
      <c r="H8" s="33"/>
      <c r="I8" s="33"/>
      <c r="J8" s="33">
        <f>$C$28*('E Balans VL '!D13+'E Balans VL '!E13)/100/3.6*1000000</f>
        <v>0</v>
      </c>
      <c r="K8" s="33"/>
      <c r="L8" s="33"/>
      <c r="M8" s="33"/>
      <c r="N8" s="33">
        <f>$C$28*'E Balans VL '!Y13/100/3.6*1000000</f>
        <v>3.6206097236170338</v>
      </c>
      <c r="O8" s="33"/>
      <c r="P8" s="33"/>
      <c r="R8" s="32"/>
    </row>
    <row r="9" spans="1:18">
      <c r="A9" s="32" t="s">
        <v>50</v>
      </c>
      <c r="B9" s="37">
        <f t="shared" si="0"/>
        <v>53.308505095340898</v>
      </c>
      <c r="C9" s="33"/>
      <c r="D9" s="37">
        <f>IF(ISERROR(TER_gezond_gas_kWh/1000),0,TER_gezond_gas_kWh/1000)*0.902</f>
        <v>135.64912372479392</v>
      </c>
      <c r="E9" s="33">
        <f>$C$29*'E Balans VL '!I10/100/3.6*1000000</f>
        <v>2.209599571245207E-2</v>
      </c>
      <c r="F9" s="33">
        <f>$C$29*('E Balans VL '!L10+'E Balans VL '!N10)/100/3.6*1000000</f>
        <v>13.129120259034678</v>
      </c>
      <c r="G9" s="34"/>
      <c r="H9" s="33"/>
      <c r="I9" s="33"/>
      <c r="J9" s="33">
        <f>$C$29*('E Balans VL '!D10+'E Balans VL '!E10)/100/3.6*1000000</f>
        <v>0</v>
      </c>
      <c r="K9" s="33"/>
      <c r="L9" s="33"/>
      <c r="M9" s="33"/>
      <c r="N9" s="33">
        <f>$C$29*'E Balans VL '!Y10/100/3.6*1000000</f>
        <v>0.46071742924370163</v>
      </c>
      <c r="O9" s="33"/>
      <c r="P9" s="33"/>
      <c r="R9" s="32"/>
    </row>
    <row r="10" spans="1:18">
      <c r="A10" s="32" t="s">
        <v>49</v>
      </c>
      <c r="B10" s="37">
        <f t="shared" si="0"/>
        <v>3360.9346416252697</v>
      </c>
      <c r="C10" s="33"/>
      <c r="D10" s="37">
        <f>IF(ISERROR(TER_ander_gas_kWh/1000),0,TER_ander_gas_kWh/1000)*0.902</f>
        <v>2118.6435873042574</v>
      </c>
      <c r="E10" s="33">
        <f>$C$30*'E Balans VL '!I14/100/3.6*1000000</f>
        <v>20.48834049867121</v>
      </c>
      <c r="F10" s="33">
        <f>$C$30*('E Balans VL '!L14+'E Balans VL '!N14)/100/3.6*1000000</f>
        <v>891.02981307695268</v>
      </c>
      <c r="G10" s="34"/>
      <c r="H10" s="33"/>
      <c r="I10" s="33"/>
      <c r="J10" s="33">
        <f>$C$30*('E Balans VL '!D14+'E Balans VL '!E14)/100/3.6*1000000</f>
        <v>0</v>
      </c>
      <c r="K10" s="33"/>
      <c r="L10" s="33"/>
      <c r="M10" s="33"/>
      <c r="N10" s="33">
        <f>$C$30*'E Balans VL '!Y14/100/3.6*1000000</f>
        <v>774.62281044248516</v>
      </c>
      <c r="O10" s="33"/>
      <c r="P10" s="33"/>
      <c r="R10" s="32"/>
    </row>
    <row r="11" spans="1:18">
      <c r="A11" s="32" t="s">
        <v>54</v>
      </c>
      <c r="B11" s="37">
        <f t="shared" si="0"/>
        <v>150.5895617779</v>
      </c>
      <c r="C11" s="33"/>
      <c r="D11" s="37">
        <f>IF(ISERROR(TER_onderwijs_gas_kWh/1000),0,TER_onderwijs_gas_kWh/1000)*0.902</f>
        <v>880.28523419103828</v>
      </c>
      <c r="E11" s="33">
        <f>$C$31*'E Balans VL '!I11/100/3.6*1000000</f>
        <v>0.11475708735607948</v>
      </c>
      <c r="F11" s="33">
        <f>$C$31*('E Balans VL '!L11+'E Balans VL '!N11)/100/3.6*1000000</f>
        <v>108.97485955384875</v>
      </c>
      <c r="G11" s="34"/>
      <c r="H11" s="33"/>
      <c r="I11" s="33"/>
      <c r="J11" s="33">
        <f>$C$31*('E Balans VL '!D11+'E Balans VL '!E11)/100/3.6*1000000</f>
        <v>0</v>
      </c>
      <c r="K11" s="33"/>
      <c r="L11" s="33"/>
      <c r="M11" s="33"/>
      <c r="N11" s="33">
        <f>$C$31*'E Balans VL '!Y11/100/3.6*1000000</f>
        <v>0.44382342880892306</v>
      </c>
      <c r="O11" s="33"/>
      <c r="P11" s="33"/>
      <c r="R11" s="32"/>
    </row>
    <row r="12" spans="1:18">
      <c r="A12" s="32" t="s">
        <v>259</v>
      </c>
      <c r="B12" s="37">
        <f t="shared" si="0"/>
        <v>5328.98382949201</v>
      </c>
      <c r="C12" s="33"/>
      <c r="D12" s="37">
        <f>IF(ISERROR(TER_rest_gas_kWh/1000),0,TER_rest_gas_kWh/1000)*0.902</f>
        <v>7635.2704475339533</v>
      </c>
      <c r="E12" s="33">
        <f>$C$32*'E Balans VL '!I8/100/3.6*1000000</f>
        <v>114.2910022497568</v>
      </c>
      <c r="F12" s="33">
        <f>$C$32*('E Balans VL '!L8+'E Balans VL '!N8)/100/3.6*1000000</f>
        <v>1051.5031221083084</v>
      </c>
      <c r="G12" s="34"/>
      <c r="H12" s="33"/>
      <c r="I12" s="33"/>
      <c r="J12" s="33">
        <f>$C$32*('E Balans VL '!D8+'E Balans VL '!E8)/100/3.6*1000000</f>
        <v>0</v>
      </c>
      <c r="K12" s="33"/>
      <c r="L12" s="33"/>
      <c r="M12" s="33"/>
      <c r="N12" s="33">
        <f>$C$32*'E Balans VL '!Y8/100/3.6*1000000</f>
        <v>151.14450029814955</v>
      </c>
      <c r="O12" s="33"/>
      <c r="P12" s="33"/>
      <c r="R12" s="32"/>
    </row>
    <row r="13" spans="1:18">
      <c r="A13" s="16" t="s">
        <v>495</v>
      </c>
      <c r="B13" s="248">
        <f ca="1">'lokale energieproductie'!N40+'lokale energieproductie'!N33</f>
        <v>1.875</v>
      </c>
      <c r="C13" s="248">
        <f ca="1">'lokale energieproductie'!O40+'lokale energieproductie'!O33</f>
        <v>2.6785714285714288</v>
      </c>
      <c r="D13" s="309">
        <f ca="1">('lokale energieproductie'!P33+'lokale energieproductie'!P40)*(-1)</f>
        <v>-5.3571428571428577</v>
      </c>
      <c r="E13" s="249"/>
      <c r="F13" s="309">
        <f ca="1">('lokale energieproductie'!S33+'lokale energieproductie'!S40)*(-1)</f>
        <v>0</v>
      </c>
      <c r="G13" s="250"/>
      <c r="H13" s="249"/>
      <c r="I13" s="249"/>
      <c r="J13" s="249"/>
      <c r="K13" s="249"/>
      <c r="L13" s="309">
        <f ca="1">('lokale energieproductie'!U33+'lokale energieproductie'!T33+'lokale energieproductie'!U40+'lokale energieproductie'!T40)*(-1)</f>
        <v>0</v>
      </c>
      <c r="M13" s="249"/>
      <c r="N13" s="309">
        <f ca="1">('lokale energieproductie'!Q33+'lokale energieproductie'!R33+'lokale energieproductie'!V33+'lokale energieproductie'!Q40+'lokale energieproductie'!R40+'lokale energieproductie'!V40)*(-1)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25667.426243413895</v>
      </c>
      <c r="C16" s="21">
        <f ca="1">C5+C13+C14</f>
        <v>2.6785714285714288</v>
      </c>
      <c r="D16" s="21">
        <f t="shared" ref="D16:N16" ca="1" si="1">MAX((D5+D13+D14),0)</f>
        <v>24444.132802314514</v>
      </c>
      <c r="E16" s="21">
        <f t="shared" si="1"/>
        <v>510.83367936430579</v>
      </c>
      <c r="F16" s="21">
        <f t="shared" ca="1" si="1"/>
        <v>4648.6020421371368</v>
      </c>
      <c r="G16" s="21">
        <f t="shared" si="1"/>
        <v>0</v>
      </c>
      <c r="H16" s="21">
        <f t="shared" si="1"/>
        <v>0</v>
      </c>
      <c r="I16" s="21">
        <f t="shared" si="1"/>
        <v>0</v>
      </c>
      <c r="J16" s="21">
        <f t="shared" si="1"/>
        <v>0</v>
      </c>
      <c r="K16" s="21">
        <f t="shared" si="1"/>
        <v>0</v>
      </c>
      <c r="L16" s="21">
        <f t="shared" ca="1" si="1"/>
        <v>0</v>
      </c>
      <c r="M16" s="21">
        <f t="shared" si="1"/>
        <v>0</v>
      </c>
      <c r="N16" s="21">
        <f t="shared" ca="1" si="1"/>
        <v>992.85103342150865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0.22129939048922609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5680.185783094661</v>
      </c>
      <c r="C20" s="23">
        <f t="shared" ref="C20:P20" ca="1" si="2">C16*C18</f>
        <v>0.63655462184873957</v>
      </c>
      <c r="D20" s="23">
        <f t="shared" ca="1" si="2"/>
        <v>4937.7148260675322</v>
      </c>
      <c r="E20" s="23">
        <f t="shared" si="2"/>
        <v>115.95924521569742</v>
      </c>
      <c r="F20" s="23">
        <f t="shared" ca="1" si="2"/>
        <v>1241.1767452506156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8093.2865754447002</v>
      </c>
      <c r="C26" s="39">
        <f>IF(ISERROR(B26*3.6/1000000/'E Balans VL '!Z12*100),0,B26*3.6/1000000/'E Balans VL '!Z12*100)</f>
        <v>0.17030979427473253</v>
      </c>
      <c r="D26" s="238" t="s">
        <v>718</v>
      </c>
      <c r="F26" s="6"/>
    </row>
    <row r="27" spans="1:18">
      <c r="A27" s="232" t="s">
        <v>52</v>
      </c>
      <c r="B27" s="33">
        <f>IF(ISERROR(TER_horeca_ele_kWh/1000),0,TER_horeca_ele_kWh/1000)</f>
        <v>937.34222726242194</v>
      </c>
      <c r="C27" s="39">
        <f>IF(ISERROR(B27*3.6/1000000/'E Balans VL '!Z9*100),0,B27*3.6/1000000/'E Balans VL '!Z9*100)</f>
        <v>7.9362132475042299E-2</v>
      </c>
      <c r="D27" s="238" t="s">
        <v>718</v>
      </c>
      <c r="F27" s="6"/>
    </row>
    <row r="28" spans="1:18">
      <c r="A28" s="172" t="s">
        <v>51</v>
      </c>
      <c r="B28" s="33">
        <f>IF(ISERROR(TER_handel_ele_kWh/1000),0,TER_handel_ele_kWh/1000)</f>
        <v>7741.1059027162501</v>
      </c>
      <c r="C28" s="39">
        <f>IF(ISERROR(B28*3.6/1000000/'E Balans VL '!Z13*100),0,B28*3.6/1000000/'E Balans VL '!Z13*100)</f>
        <v>0.21431144648396244</v>
      </c>
      <c r="D28" s="238" t="s">
        <v>718</v>
      </c>
      <c r="F28" s="6"/>
    </row>
    <row r="29" spans="1:18">
      <c r="A29" s="232" t="s">
        <v>50</v>
      </c>
      <c r="B29" s="33">
        <f>IF(ISERROR(TER_gezond_ele_kWh/1000),0,TER_gezond_ele_kWh/1000)</f>
        <v>53.308505095340898</v>
      </c>
      <c r="C29" s="39">
        <f>IF(ISERROR(B29*3.6/1000000/'E Balans VL '!Z10*100),0,B29*3.6/1000000/'E Balans VL '!Z10*100)</f>
        <v>6.9295146687115465E-3</v>
      </c>
      <c r="D29" s="238" t="s">
        <v>718</v>
      </c>
      <c r="F29" s="6"/>
    </row>
    <row r="30" spans="1:18">
      <c r="A30" s="232" t="s">
        <v>49</v>
      </c>
      <c r="B30" s="33">
        <f>IF(ISERROR(TER_ander_ele_kWh/1000),0,TER_ander_ele_kWh/1000)</f>
        <v>3360.9346416252697</v>
      </c>
      <c r="C30" s="39">
        <f>IF(ISERROR(B30*3.6/1000000/'E Balans VL '!Z14*100),0,B30*3.6/1000000/'E Balans VL '!Z14*100)</f>
        <v>0.26050325685115566</v>
      </c>
      <c r="D30" s="238" t="s">
        <v>718</v>
      </c>
      <c r="F30" s="6"/>
    </row>
    <row r="31" spans="1:18">
      <c r="A31" s="232" t="s">
        <v>54</v>
      </c>
      <c r="B31" s="33">
        <f>IF(ISERROR(TER_onderwijs_ele_kWh/1000),0,TER_onderwijs_ele_kWh/1000)</f>
        <v>150.5895617779</v>
      </c>
      <c r="C31" s="39">
        <f>IF(ISERROR(B31*3.6/1000000/'E Balans VL '!Z11*100),0,B31*3.6/1000000/'E Balans VL '!Z11*100)</f>
        <v>2.8810349159943075E-2</v>
      </c>
      <c r="D31" s="238" t="s">
        <v>718</v>
      </c>
    </row>
    <row r="32" spans="1:18">
      <c r="A32" s="232" t="s">
        <v>259</v>
      </c>
      <c r="B32" s="33">
        <f>IF(ISERROR(TER_rest_ele_kWh/1000),0,TER_rest_ele_kWh/1000)</f>
        <v>5328.98382949201</v>
      </c>
      <c r="C32" s="39">
        <f>IF(ISERROR(B32*3.6/1000000/'E Balans VL '!Z8*100),0,B32*3.6/1000000/'E Balans VL '!Z8*100)</f>
        <v>4.3941563883780566E-2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1</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39347.006339375279</v>
      </c>
      <c r="C5" s="17">
        <f>IF(ISERROR('Eigen informatie GS &amp; warmtenet'!B59),0,'Eigen informatie GS &amp; warmtenet'!B59)</f>
        <v>0</v>
      </c>
      <c r="D5" s="30">
        <f>SUM(D6:D15)</f>
        <v>10310.187072619932</v>
      </c>
      <c r="E5" s="17">
        <f>SUM(E6:E15)</f>
        <v>351.25654873953226</v>
      </c>
      <c r="F5" s="17">
        <f>SUM(F6:F15)</f>
        <v>8253.6021498769005</v>
      </c>
      <c r="G5" s="18"/>
      <c r="H5" s="17"/>
      <c r="I5" s="17"/>
      <c r="J5" s="17">
        <f>SUM(J6:J15)</f>
        <v>229.93724025491144</v>
      </c>
      <c r="K5" s="17"/>
      <c r="L5" s="17"/>
      <c r="M5" s="17"/>
      <c r="N5" s="17">
        <f>SUM(N6:N15)</f>
        <v>763.89296641270198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1810.87339173858</v>
      </c>
      <c r="C9" s="33"/>
      <c r="D9" s="37">
        <f>IF( ISERROR(IND_andere_gas_kWh/1000),0,IND_andere_gas_kWh/1000)*0.902</f>
        <v>2143.5596020700223</v>
      </c>
      <c r="E9" s="33">
        <f>C31*'E Balans VL '!I19/100/3.6*1000000</f>
        <v>30.415837004983601</v>
      </c>
      <c r="F9" s="33">
        <f>C31*'E Balans VL '!L19/100/3.6*1000000+C31*'E Balans VL '!N19/100/3.6*1000000</f>
        <v>1415.637678014016</v>
      </c>
      <c r="G9" s="34"/>
      <c r="H9" s="33"/>
      <c r="I9" s="33"/>
      <c r="J9" s="40">
        <f>C31*'E Balans VL '!D19/100/3.6*1000000+C31*'E Balans VL '!E19/100/3.6*1000000</f>
        <v>0.16332479465836103</v>
      </c>
      <c r="K9" s="33"/>
      <c r="L9" s="33"/>
      <c r="M9" s="33"/>
      <c r="N9" s="33">
        <f>C31*'E Balans VL '!Y19/100/3.6*1000000</f>
        <v>134.21477123366077</v>
      </c>
      <c r="O9" s="33"/>
      <c r="P9" s="33"/>
      <c r="R9" s="32"/>
    </row>
    <row r="10" spans="1:18">
      <c r="A10" s="6" t="s">
        <v>40</v>
      </c>
      <c r="B10" s="37">
        <f t="shared" si="0"/>
        <v>218.288740099172</v>
      </c>
      <c r="C10" s="33"/>
      <c r="D10" s="37">
        <f>IF( ISERROR(IND_voed_gas_kWh/1000),0,IND_voed_gas_kWh/1000)*0.902</f>
        <v>448.11225442507731</v>
      </c>
      <c r="E10" s="33">
        <f>C32*'E Balans VL '!I20/100/3.6*1000000</f>
        <v>1.9915757547832587</v>
      </c>
      <c r="F10" s="33">
        <f>C32*'E Balans VL '!L20/100/3.6*1000000+C32*'E Balans VL '!N20/100/3.6*1000000</f>
        <v>35.216801450217467</v>
      </c>
      <c r="G10" s="34"/>
      <c r="H10" s="33"/>
      <c r="I10" s="33"/>
      <c r="J10" s="40">
        <f>C32*'E Balans VL '!D20/100/3.6*1000000+C32*'E Balans VL '!E20/100/3.6*1000000</f>
        <v>0.89905614875399065</v>
      </c>
      <c r="K10" s="33"/>
      <c r="L10" s="33"/>
      <c r="M10" s="33"/>
      <c r="N10" s="33">
        <f>C32*'E Balans VL '!Y20/100/3.6*1000000</f>
        <v>3.1933921421484328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48.433065977079401</v>
      </c>
      <c r="C12" s="33"/>
      <c r="D12" s="37">
        <f>IF( ISERROR(IND_min_gas_kWh/1000),0,IND_min_gas_kWh/1000)*0.902</f>
        <v>37.738907516319088</v>
      </c>
      <c r="E12" s="33">
        <f>C34*'E Balans VL '!I22/100/3.6*1000000</f>
        <v>1.2012974944691515</v>
      </c>
      <c r="F12" s="33">
        <f>C34*'E Balans VL '!L22/100/3.6*1000000+C34*'E Balans VL '!N22/100/3.6*1000000</f>
        <v>5.1464770064902945</v>
      </c>
      <c r="G12" s="34"/>
      <c r="H12" s="33"/>
      <c r="I12" s="33"/>
      <c r="J12" s="40">
        <f>C34*'E Balans VL '!D22/100/3.6*1000000+C34*'E Balans VL '!E22/100/3.6*1000000</f>
        <v>0.27512823344226039</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3319.0512746397499</v>
      </c>
      <c r="C14" s="33"/>
      <c r="D14" s="37">
        <f>IF( ISERROR(IND_chemie_gas_kWh/1000),0,IND_chemie_gas_kWh/1000)*0.902</f>
        <v>0</v>
      </c>
      <c r="E14" s="33">
        <f>C36*'E Balans VL '!I24/100/3.6*1000000</f>
        <v>11.253869873005209</v>
      </c>
      <c r="F14" s="33">
        <f>C36*'E Balans VL '!L24/100/3.6*1000000+C36*'E Balans VL '!N24/100/3.6*1000000</f>
        <v>10.651639700271922</v>
      </c>
      <c r="G14" s="34"/>
      <c r="H14" s="33"/>
      <c r="I14" s="33"/>
      <c r="J14" s="40">
        <f>C36*'E Balans VL '!D24/100/3.6*1000000+C36*'E Balans VL '!E24/100/3.6*1000000</f>
        <v>0</v>
      </c>
      <c r="K14" s="33"/>
      <c r="L14" s="33"/>
      <c r="M14" s="33"/>
      <c r="N14" s="33">
        <f>C36*'E Balans VL '!Y24/100/3.6*1000000</f>
        <v>15.518984281315882</v>
      </c>
      <c r="O14" s="33"/>
      <c r="P14" s="33"/>
      <c r="R14" s="32"/>
    </row>
    <row r="15" spans="1:18">
      <c r="A15" s="6" t="s">
        <v>269</v>
      </c>
      <c r="B15" s="37">
        <f t="shared" si="0"/>
        <v>33950.359866920699</v>
      </c>
      <c r="C15" s="33"/>
      <c r="D15" s="37">
        <f>IF( ISERROR(IND_rest_gas_kWh/1000),0,IND_rest_gas_kWh/1000)*0.902</f>
        <v>7680.7763086085133</v>
      </c>
      <c r="E15" s="33">
        <f>C37*'E Balans VL '!I15/100/3.6*1000000</f>
        <v>306.39396861229102</v>
      </c>
      <c r="F15" s="33">
        <f>C37*'E Balans VL '!L15/100/3.6*1000000+C37*'E Balans VL '!N15/100/3.6*1000000</f>
        <v>6786.9495537059047</v>
      </c>
      <c r="G15" s="34"/>
      <c r="H15" s="33"/>
      <c r="I15" s="33"/>
      <c r="J15" s="40">
        <f>C37*'E Balans VL '!D15/100/3.6*1000000+C37*'E Balans VL '!E15/100/3.6*1000000</f>
        <v>228.59973107805683</v>
      </c>
      <c r="K15" s="33"/>
      <c r="L15" s="33"/>
      <c r="M15" s="33"/>
      <c r="N15" s="33">
        <f>C37*'E Balans VL '!Y15/100/3.6*1000000</f>
        <v>610.96581875557683</v>
      </c>
      <c r="O15" s="33"/>
      <c r="P15" s="33"/>
      <c r="R15" s="32"/>
    </row>
    <row r="16" spans="1:18">
      <c r="A16" s="16" t="s">
        <v>495</v>
      </c>
      <c r="B16" s="248">
        <f>'lokale energieproductie'!N39+'lokale energieproductie'!N32</f>
        <v>0</v>
      </c>
      <c r="C16" s="248">
        <f>'lokale energieproductie'!O39+'lokale energieproductie'!O32</f>
        <v>0</v>
      </c>
      <c r="D16" s="309">
        <f>('lokale energieproductie'!P32+'lokale energieproductie'!P39)*(-1)</f>
        <v>0</v>
      </c>
      <c r="E16" s="249"/>
      <c r="F16" s="309">
        <f>('lokale energieproductie'!S32+'lokale energieproductie'!S39)*(-1)</f>
        <v>0</v>
      </c>
      <c r="G16" s="250"/>
      <c r="H16" s="249"/>
      <c r="I16" s="249"/>
      <c r="J16" s="249"/>
      <c r="K16" s="249"/>
      <c r="L16" s="309">
        <f>('lokale energieproductie'!T32+'lokale energieproductie'!U32+'lokale energieproductie'!T39+'lokale energieproductie'!U39)*(-1)</f>
        <v>0</v>
      </c>
      <c r="M16" s="249"/>
      <c r="N16" s="309">
        <f>('lokale energieproductie'!Q32+'lokale energieproductie'!R32+'lokale energieproductie'!V32+'lokale energieproductie'!Q39+'lokale energieproductie'!R39+'lokale energieproductie'!V39)*(-1)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39347.006339375279</v>
      </c>
      <c r="C18" s="21">
        <f>C5+C16</f>
        <v>0</v>
      </c>
      <c r="D18" s="21">
        <f>MAX((D5+D16),0)</f>
        <v>10310.187072619932</v>
      </c>
      <c r="E18" s="21">
        <f>MAX((E5+E16),0)</f>
        <v>351.25654873953226</v>
      </c>
      <c r="F18" s="21">
        <f>MAX((F5+F16),0)</f>
        <v>8253.6021498769005</v>
      </c>
      <c r="G18" s="21"/>
      <c r="H18" s="21"/>
      <c r="I18" s="21"/>
      <c r="J18" s="21">
        <f>MAX((J5+J16),0)</f>
        <v>229.93724025491144</v>
      </c>
      <c r="K18" s="21"/>
      <c r="L18" s="21">
        <f>MAX((L5+L16),0)</f>
        <v>0</v>
      </c>
      <c r="M18" s="21"/>
      <c r="N18" s="21">
        <f>MAX((N5+N16),0)</f>
        <v>763.89296641270198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0.22129939048922609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8707.4685204794641</v>
      </c>
      <c r="C22" s="23">
        <f ca="1">C18*C20</f>
        <v>0</v>
      </c>
      <c r="D22" s="23">
        <f>D18*D20</f>
        <v>2082.6577886692266</v>
      </c>
      <c r="E22" s="23">
        <f>E18*E20</f>
        <v>79.735236563873826</v>
      </c>
      <c r="F22" s="23">
        <f>F18*F20</f>
        <v>2203.7117740171325</v>
      </c>
      <c r="G22" s="23"/>
      <c r="H22" s="23"/>
      <c r="I22" s="23"/>
      <c r="J22" s="23">
        <f>J18*J20</f>
        <v>81.397783050238644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0</v>
      </c>
      <c r="C30" s="39">
        <f>IF(ISERROR(B30*3.6/1000000/'E Balans VL '!Z18*100),0,B30*3.6/1000000/'E Balans VL '!Z18*100)</f>
        <v>0</v>
      </c>
      <c r="D30" s="238" t="s">
        <v>718</v>
      </c>
    </row>
    <row r="31" spans="1:18">
      <c r="A31" s="6" t="s">
        <v>32</v>
      </c>
      <c r="B31" s="37">
        <f>IF( ISERROR(IND_ander_ele_kWh/1000),0,IND_ander_ele_kWh/1000)</f>
        <v>1810.87339173858</v>
      </c>
      <c r="C31" s="39">
        <f>IF(ISERROR(B31*3.6/1000000/'E Balans VL '!Z19*100),0,B31*3.6/1000000/'E Balans VL '!Z19*100)</f>
        <v>8.026884106076447E-2</v>
      </c>
      <c r="D31" s="238" t="s">
        <v>718</v>
      </c>
    </row>
    <row r="32" spans="1:18">
      <c r="A32" s="172" t="s">
        <v>40</v>
      </c>
      <c r="B32" s="37">
        <f>IF( ISERROR(IND_voed_ele_kWh/1000),0,IND_voed_ele_kWh/1000)</f>
        <v>218.288740099172</v>
      </c>
      <c r="C32" s="39">
        <f>IF(ISERROR(B32*3.6/1000000/'E Balans VL '!Z20*100),0,B32*3.6/1000000/'E Balans VL '!Z20*100)</f>
        <v>7.2914701086629497E-3</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48.433065977079401</v>
      </c>
      <c r="C34" s="39">
        <f>IF(ISERROR(B34*3.6/1000000/'E Balans VL '!Z22*100),0,B34*3.6/1000000/'E Balans VL '!Z22*100)</f>
        <v>9.4196993255532928E-3</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3319.0512746397499</v>
      </c>
      <c r="C36" s="39">
        <f>IF(ISERROR(B36*3.6/1000000/'E Balans VL '!Z24*100),0,B36*3.6/1000000/'E Balans VL '!Z24*100)</f>
        <v>7.794026345591451E-2</v>
      </c>
      <c r="D36" s="238" t="s">
        <v>718</v>
      </c>
    </row>
    <row r="37" spans="1:5">
      <c r="A37" s="172" t="s">
        <v>269</v>
      </c>
      <c r="B37" s="37">
        <f>IF( ISERROR(IND_rest_ele_kWh/1000),0,IND_rest_ele_kWh/1000)</f>
        <v>33950.359866920699</v>
      </c>
      <c r="C37" s="39">
        <f>IF(ISERROR(B37*3.6/1000000/'E Balans VL '!Z15*100),0,B37*3.6/1000000/'E Balans VL '!Z15*100)</f>
        <v>0.2525353675425025</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1015.1460662446906</v>
      </c>
      <c r="C5" s="17">
        <f>'Eigen informatie GS &amp; warmtenet'!B60</f>
        <v>0</v>
      </c>
      <c r="D5" s="30">
        <f>IF(ISERROR(SUM(LB_lb_gas_kWh,LB_rest_gas_kWh)/1000),0,SUM(LB_lb_gas_kWh,LB_rest_gas_kWh)/1000)*0.902</f>
        <v>49306.871784976</v>
      </c>
      <c r="E5" s="17">
        <f>B17*'E Balans VL '!I25/3.6*1000000/100</f>
        <v>10.630829375875564</v>
      </c>
      <c r="F5" s="17">
        <f>B17*('E Balans VL '!L25/3.6*1000000+'E Balans VL '!N25/3.6*1000000)/100</f>
        <v>4345.5965107194415</v>
      </c>
      <c r="G5" s="18"/>
      <c r="H5" s="17"/>
      <c r="I5" s="17"/>
      <c r="J5" s="17">
        <f>('E Balans VL '!D25+'E Balans VL '!E25)/3.6*1000000*landbouw!B17/100</f>
        <v>90.661642625066918</v>
      </c>
      <c r="K5" s="17"/>
      <c r="L5" s="17">
        <f>L6*(-1)</f>
        <v>0</v>
      </c>
      <c r="M5" s="17"/>
      <c r="N5" s="17">
        <f>N6*(-1)</f>
        <v>0</v>
      </c>
      <c r="O5" s="17"/>
      <c r="P5" s="17"/>
      <c r="R5" s="32"/>
    </row>
    <row r="6" spans="1:18">
      <c r="A6" s="16" t="s">
        <v>495</v>
      </c>
      <c r="B6" s="17" t="s">
        <v>210</v>
      </c>
      <c r="C6" s="17">
        <f>'lokale energieproductie'!O41+'lokale energieproductie'!O34</f>
        <v>44145</v>
      </c>
      <c r="D6" s="309">
        <f>('lokale energieproductie'!P34+'lokale energieproductie'!P41)*(-1)</f>
        <v>-88290</v>
      </c>
      <c r="E6" s="249"/>
      <c r="F6" s="309">
        <f>('lokale energieproductie'!S34+'lokale energieproductie'!S41)*(-1)</f>
        <v>0</v>
      </c>
      <c r="G6" s="250"/>
      <c r="H6" s="249"/>
      <c r="I6" s="249"/>
      <c r="J6" s="249"/>
      <c r="K6" s="249"/>
      <c r="L6" s="309">
        <f>('lokale energieproductie'!T34+'lokale energieproductie'!U34+'lokale energieproductie'!T41+'lokale energieproductie'!U41)*(-1)</f>
        <v>0</v>
      </c>
      <c r="M6" s="249"/>
      <c r="N6" s="309">
        <f>('lokale energieproductie'!V34+'lokale energieproductie'!R34+'lokale energieproductie'!Q34+'lokale energieproductie'!Q41+'lokale energieproductie'!R41+'lokale energieproductie'!V41)*(-1)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1015.1460662446906</v>
      </c>
      <c r="C8" s="21">
        <f>C5+C6</f>
        <v>44145</v>
      </c>
      <c r="D8" s="21">
        <f>MAX((D5+D6),0)</f>
        <v>0</v>
      </c>
      <c r="E8" s="21">
        <f>MAX((E5+E6),0)</f>
        <v>10.630829375875564</v>
      </c>
      <c r="F8" s="21">
        <f>MAX((F5+F6),0)</f>
        <v>4345.5965107194415</v>
      </c>
      <c r="G8" s="21"/>
      <c r="H8" s="21"/>
      <c r="I8" s="21"/>
      <c r="J8" s="21">
        <f>MAX((J5+J6),0)</f>
        <v>90.661642625066918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0.22129939048922609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224.65120571748557</v>
      </c>
      <c r="C12" s="23">
        <f ca="1">C8*C10</f>
        <v>10490.929411764706</v>
      </c>
      <c r="D12" s="23">
        <f>D8*D10</f>
        <v>0</v>
      </c>
      <c r="E12" s="23">
        <f>E8*E10</f>
        <v>2.4131982683237529</v>
      </c>
      <c r="F12" s="23">
        <f>F8*F10</f>
        <v>1160.2742683620909</v>
      </c>
      <c r="G12" s="23"/>
      <c r="H12" s="23"/>
      <c r="I12" s="23"/>
      <c r="J12" s="23">
        <f>J8*J10</f>
        <v>32.094221489273686</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0.15625057553543556</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10.098754187305223</v>
      </c>
      <c r="C26" s="248">
        <f>B26*'GWP N2O_CH4'!B5</f>
        <v>212.07383793340969</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5.2503359082354581</v>
      </c>
      <c r="C27" s="248">
        <f>B27*'GWP N2O_CH4'!B5</f>
        <v>110.25705407294463</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0.14342761361601983</v>
      </c>
      <c r="C28" s="248">
        <f>B28*'GWP N2O_CH4'!B4</f>
        <v>44.462560220966147</v>
      </c>
      <c r="D28" s="50"/>
    </row>
    <row r="29" spans="1:4">
      <c r="A29" s="41" t="s">
        <v>276</v>
      </c>
      <c r="B29" s="248">
        <f>B34*'ha_N2O bodem landbouw'!B4</f>
        <v>3.2569365764227975</v>
      </c>
      <c r="C29" s="248">
        <f>B29*'GWP N2O_CH4'!B4</f>
        <v>1009.6503386910672</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5.3825154487114669E-4</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4.6439431258086896E-6</v>
      </c>
      <c r="C5" s="443" t="s">
        <v>210</v>
      </c>
      <c r="D5" s="428">
        <f>SUM(D6:D11)</f>
        <v>2.2880737546995626E-5</v>
      </c>
      <c r="E5" s="428">
        <f>SUM(E6:E11)</f>
        <v>2.7674316912102538E-3</v>
      </c>
      <c r="F5" s="441" t="s">
        <v>210</v>
      </c>
      <c r="G5" s="428">
        <f>SUM(G6:G11)</f>
        <v>0.68196654673246293</v>
      </c>
      <c r="H5" s="428">
        <f>SUM(H6:H11)</f>
        <v>8.2953126296747073E-2</v>
      </c>
      <c r="I5" s="443" t="s">
        <v>210</v>
      </c>
      <c r="J5" s="443" t="s">
        <v>210</v>
      </c>
      <c r="K5" s="443" t="s">
        <v>210</v>
      </c>
      <c r="L5" s="443" t="s">
        <v>210</v>
      </c>
      <c r="M5" s="428">
        <f>SUM(M6:M11)</f>
        <v>3.319647891744848E-2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9.1082173286042992E-7</v>
      </c>
      <c r="C6" s="429"/>
      <c r="D6" s="429">
        <f>vkm_GW_PW*SUMIFS(TableVerdeelsleutelVkm[CNG],TableVerdeelsleutelVkm[Voertuigtype],"Lichte voertuigen")*SUMIFS(TableECFTransport[EnergieConsumptieFactor (PJ per km)],TableECFTransport[Index],CONCATENATE($A6,"_CNG_CNG"))</f>
        <v>4.3202599606119258E-6</v>
      </c>
      <c r="E6" s="431">
        <f>vkm_GW_PW*SUMIFS(TableVerdeelsleutelVkm[LPG],TableVerdeelsleutelVkm[Voertuigtype],"Lichte voertuigen")*SUMIFS(TableECFTransport[EnergieConsumptieFactor (PJ per km)],TableECFTransport[Index],CONCATENATE($A6,"_LPG_LPG"))</f>
        <v>4.4705678432717996E-4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6.0552752068322314E-2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1.5076957859585925E-2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3.3024808452721869E-3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2.9138818120273625E-2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8.0925242893935217E-7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1.2553133368500874E-3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3.0849345108422997E-7</v>
      </c>
      <c r="C8" s="429"/>
      <c r="D8" s="431">
        <f>vkm_NGW_PW*SUMIFS(TableVerdeelsleutelVkm[CNG],TableVerdeelsleutelVkm[Voertuigtype],"Lichte voertuigen")*SUMIFS(TableECFTransport[EnergieConsumptieFactor (PJ per km)],TableECFTransport[Index],CONCATENATE($A8,"_CNG_CNG"))</f>
        <v>2.4755670893839744E-6</v>
      </c>
      <c r="E8" s="431">
        <f>vkm_NGW_PW*SUMIFS(TableVerdeelsleutelVkm[LPG],TableVerdeelsleutelVkm[Voertuigtype],"Lichte voertuigen")*SUMIFS(TableECFTransport[EnergieConsumptieFactor (PJ per km)],TableECFTransport[Index],CONCATENATE($A8,"_LPG_LPG"))</f>
        <v>2.4001943707338346E-4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3.1160207393181771E-2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8.1841615016590968E-3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1.7190327516556183E-3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2.1227376101268947E-2</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7.0983125024052128E-7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9.1449040760047302E-4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3.4246279418640298E-6</v>
      </c>
      <c r="C10" s="429"/>
      <c r="D10" s="431">
        <f>vkm_SW_PW*SUMIFS(TableVerdeelsleutelVkm[CNG],TableVerdeelsleutelVkm[Voertuigtype],"Lichte voertuigen")*SUMIFS(TableECFTransport[EnergieConsumptieFactor (PJ per km)],TableECFTransport[Index],CONCATENATE($A10,"_CNG_CNG"))</f>
        <v>1.6084910496999726E-5</v>
      </c>
      <c r="E10" s="431">
        <f>vkm_SW_PW*SUMIFS(TableVerdeelsleutelVkm[LPG],TableVerdeelsleutelVkm[Voertuigtype],"Lichte voertuigen")*SUMIFS(TableECFTransport[EnergieConsumptieFactor (PJ per km)],TableECFTransport[Index],CONCATENATE($A10,"_LPG_LPG"))</f>
        <v>2.0803554698096902E-3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0.25913459866519845</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5.9682297524011059E-2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1.3910187339827504E-2</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0.28075279438421785</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8.1903278118143328E-6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1.2094974236242612E-2</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1.289984201613525</v>
      </c>
      <c r="C14" s="21"/>
      <c r="D14" s="21">
        <f t="shared" ref="D14:M14" si="0">((D5)*10^9/3600)+D12</f>
        <v>6.3557604297210073</v>
      </c>
      <c r="E14" s="21">
        <f t="shared" si="0"/>
        <v>768.73102533618157</v>
      </c>
      <c r="F14" s="21"/>
      <c r="G14" s="21">
        <f t="shared" si="0"/>
        <v>189435.15187012858</v>
      </c>
      <c r="H14" s="21">
        <f t="shared" si="0"/>
        <v>23042.535082429742</v>
      </c>
      <c r="I14" s="21"/>
      <c r="J14" s="21"/>
      <c r="K14" s="21"/>
      <c r="L14" s="21"/>
      <c r="M14" s="21">
        <f t="shared" si="0"/>
        <v>9221.2441437356883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0.22129939048922609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0.28547271755780401</v>
      </c>
      <c r="C18" s="23"/>
      <c r="D18" s="23">
        <f t="shared" ref="D18:M18" si="1">D14*D16</f>
        <v>1.2838636068036435</v>
      </c>
      <c r="E18" s="23">
        <f t="shared" si="1"/>
        <v>174.50194275131324</v>
      </c>
      <c r="F18" s="23"/>
      <c r="G18" s="23">
        <f t="shared" si="1"/>
        <v>50579.185549324335</v>
      </c>
      <c r="H18" s="23">
        <f t="shared" si="1"/>
        <v>5737.5912355250057</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3.7504730252712645E-3</v>
      </c>
      <c r="C50" s="320">
        <f t="shared" ref="C50:P50" si="2">SUM(C51:C52)</f>
        <v>0</v>
      </c>
      <c r="D50" s="320">
        <f t="shared" si="2"/>
        <v>0</v>
      </c>
      <c r="E50" s="320">
        <f t="shared" si="2"/>
        <v>0</v>
      </c>
      <c r="F50" s="320">
        <f t="shared" si="2"/>
        <v>0</v>
      </c>
      <c r="G50" s="320">
        <f t="shared" si="2"/>
        <v>4.2705236387123331E-3</v>
      </c>
      <c r="H50" s="320">
        <f t="shared" si="2"/>
        <v>0</v>
      </c>
      <c r="I50" s="320">
        <f t="shared" si="2"/>
        <v>0</v>
      </c>
      <c r="J50" s="320">
        <f t="shared" si="2"/>
        <v>0</v>
      </c>
      <c r="K50" s="320">
        <f t="shared" si="2"/>
        <v>0</v>
      </c>
      <c r="L50" s="320">
        <f t="shared" si="2"/>
        <v>0</v>
      </c>
      <c r="M50" s="320">
        <f t="shared" si="2"/>
        <v>1.8159836762989088E-4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4.2705236387123331E-3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1.8159836762989088E-4</v>
      </c>
      <c r="N51" s="322"/>
      <c r="O51" s="322"/>
      <c r="P51" s="325"/>
    </row>
    <row r="52" spans="1:18">
      <c r="A52" s="4" t="s">
        <v>329</v>
      </c>
      <c r="B52" s="326">
        <f>vkm_tram*SUMIFS(TableECFTransport[EnergieConsumptieFactor (PJ per km)],TableECFTransport[Index],"Tram_gemiddeld_Electric_Electric")</f>
        <v>3.7504730252712645E-3</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1041.7980625753512</v>
      </c>
      <c r="C54" s="21">
        <f t="shared" ref="C54:P54" si="3">(C50)*10^9/3600</f>
        <v>0</v>
      </c>
      <c r="D54" s="21">
        <f t="shared" si="3"/>
        <v>0</v>
      </c>
      <c r="E54" s="21">
        <f t="shared" si="3"/>
        <v>0</v>
      </c>
      <c r="F54" s="21">
        <f t="shared" si="3"/>
        <v>0</v>
      </c>
      <c r="G54" s="21">
        <f t="shared" si="3"/>
        <v>1186.2565663089815</v>
      </c>
      <c r="H54" s="21">
        <f t="shared" si="3"/>
        <v>0</v>
      </c>
      <c r="I54" s="21">
        <f t="shared" si="3"/>
        <v>0</v>
      </c>
      <c r="J54" s="21">
        <f t="shared" si="3"/>
        <v>0</v>
      </c>
      <c r="K54" s="21">
        <f t="shared" si="3"/>
        <v>0</v>
      </c>
      <c r="L54" s="21">
        <f t="shared" si="3"/>
        <v>0</v>
      </c>
      <c r="M54" s="21">
        <f t="shared" si="3"/>
        <v>50.443991008303023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0.22129939048922609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230.54927626078185</v>
      </c>
      <c r="C58" s="23">
        <f t="shared" ref="C58:P58" ca="1" si="4">C54*C56</f>
        <v>0</v>
      </c>
      <c r="D58" s="23">
        <f t="shared" si="4"/>
        <v>0</v>
      </c>
      <c r="E58" s="23">
        <f t="shared" si="4"/>
        <v>0</v>
      </c>
      <c r="F58" s="23">
        <f t="shared" si="4"/>
        <v>0</v>
      </c>
      <c r="G58" s="23">
        <f t="shared" si="4"/>
        <v>316.73050320449806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307" zoomScale="65" zoomScaleNormal="65" workbookViewId="0">
      <selection activeCell="M30" sqref="M30"/>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2187.025100941617</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N31</f>
        <v>30903.375</v>
      </c>
      <c r="C8" s="554">
        <f>B50</f>
        <v>36356.911764705881</v>
      </c>
      <c r="D8" s="975"/>
      <c r="E8" s="975">
        <f>E50</f>
        <v>0</v>
      </c>
      <c r="F8" s="976"/>
      <c r="G8" s="555"/>
      <c r="H8" s="975">
        <f>I50</f>
        <v>0</v>
      </c>
      <c r="I8" s="975">
        <f>G50+F50</f>
        <v>0</v>
      </c>
      <c r="J8" s="975">
        <f>H50+D50+C50</f>
        <v>0</v>
      </c>
      <c r="K8" s="975"/>
      <c r="L8" s="975"/>
      <c r="M8" s="975"/>
      <c r="N8" s="556"/>
      <c r="O8" s="557">
        <f>C8*$C$12+D8*$D$12+E8*$E$12+F8*$F$12+G8*$G$12+H8*$H$12+I8*$I$12+J8*$J$12</f>
        <v>7344.096176470588</v>
      </c>
      <c r="P8" s="1236"/>
      <c r="Q8" s="1237"/>
      <c r="S8" s="1008"/>
      <c r="T8" s="1224"/>
      <c r="U8" s="1224"/>
    </row>
    <row r="9" spans="1:21" s="542" customFormat="1" ht="17.45" customHeight="1" thickBot="1">
      <c r="A9" s="558" t="s">
        <v>247</v>
      </c>
      <c r="B9" s="1012">
        <f>N38+'Eigen informatie GS &amp; warmtenet'!B12</f>
        <v>0</v>
      </c>
      <c r="C9" s="55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33090.400100941617</v>
      </c>
      <c r="C10" s="566">
        <f t="shared" ref="C10:L10" si="0">SUM(C8:C9)</f>
        <v>36356.911764705881</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7344.096176470588</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O31</f>
        <v>44147.678571428572</v>
      </c>
      <c r="C17" s="578">
        <f>B51</f>
        <v>51938.445378151257</v>
      </c>
      <c r="D17" s="579"/>
      <c r="E17" s="579">
        <f>E51</f>
        <v>0</v>
      </c>
      <c r="F17" s="580"/>
      <c r="G17" s="581"/>
      <c r="H17" s="578">
        <f>I51</f>
        <v>0</v>
      </c>
      <c r="I17" s="579">
        <f>G51+F51</f>
        <v>0</v>
      </c>
      <c r="J17" s="579">
        <f>H51+D51+C51</f>
        <v>0</v>
      </c>
      <c r="K17" s="579"/>
      <c r="L17" s="579"/>
      <c r="M17" s="579"/>
      <c r="N17" s="971"/>
      <c r="O17" s="582">
        <f>C17*$C$22+E17*$E$22+H17*$H$22+I17*$I$22+J17*$J$22+D17*$D$22+F17*$F$22+G17*$G$22+K17*$K$22+L17*$L$22</f>
        <v>10491.565966386555</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44147.678571428572</v>
      </c>
      <c r="C20" s="565">
        <f>SUM(C17:C19)</f>
        <v>51938.445378151257</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10491.565966386555</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63.75">
      <c r="A28" s="590"/>
      <c r="B28" s="785">
        <v>11056</v>
      </c>
      <c r="C28" s="785">
        <v>2070</v>
      </c>
      <c r="D28" s="638" t="s">
        <v>971</v>
      </c>
      <c r="E28" s="637" t="s">
        <v>972</v>
      </c>
      <c r="F28" s="637" t="s">
        <v>973</v>
      </c>
      <c r="G28" s="637" t="s">
        <v>974</v>
      </c>
      <c r="H28" s="637" t="s">
        <v>975</v>
      </c>
      <c r="I28" s="637" t="s">
        <v>972</v>
      </c>
      <c r="J28" s="784">
        <v>40735</v>
      </c>
      <c r="K28" s="784">
        <v>40848</v>
      </c>
      <c r="L28" s="637" t="s">
        <v>976</v>
      </c>
      <c r="M28" s="637">
        <v>5</v>
      </c>
      <c r="N28" s="637">
        <v>1.875</v>
      </c>
      <c r="O28" s="637">
        <v>2.6785714285714288</v>
      </c>
      <c r="P28" s="637">
        <v>5.3571428571428577</v>
      </c>
      <c r="Q28" s="637">
        <v>0</v>
      </c>
      <c r="R28" s="637">
        <v>0</v>
      </c>
      <c r="S28" s="637">
        <v>0</v>
      </c>
      <c r="T28" s="637">
        <v>0</v>
      </c>
      <c r="U28" s="637">
        <v>0</v>
      </c>
      <c r="V28" s="637">
        <v>0</v>
      </c>
      <c r="W28" s="637">
        <v>0</v>
      </c>
      <c r="X28" s="637">
        <v>1600</v>
      </c>
      <c r="Y28" s="637" t="s">
        <v>49</v>
      </c>
      <c r="Z28" s="639" t="s">
        <v>155</v>
      </c>
    </row>
    <row r="29" spans="1:26" s="591" customFormat="1" ht="25.5">
      <c r="A29" s="590"/>
      <c r="B29" s="785">
        <v>11056</v>
      </c>
      <c r="C29" s="785">
        <v>2070</v>
      </c>
      <c r="D29" s="638" t="s">
        <v>977</v>
      </c>
      <c r="E29" s="637" t="s">
        <v>978</v>
      </c>
      <c r="F29" s="637" t="s">
        <v>979</v>
      </c>
      <c r="G29" s="637" t="s">
        <v>974</v>
      </c>
      <c r="H29" s="637" t="s">
        <v>975</v>
      </c>
      <c r="I29" s="637" t="s">
        <v>978</v>
      </c>
      <c r="J29" s="784">
        <v>40267</v>
      </c>
      <c r="K29" s="784">
        <v>40269</v>
      </c>
      <c r="L29" s="637" t="s">
        <v>976</v>
      </c>
      <c r="M29" s="637">
        <v>2067</v>
      </c>
      <c r="N29" s="637">
        <v>9301.5</v>
      </c>
      <c r="O29" s="637">
        <v>13287.857142857143</v>
      </c>
      <c r="P29" s="637">
        <v>26575.714285714286</v>
      </c>
      <c r="Q29" s="637">
        <v>0</v>
      </c>
      <c r="R29" s="637">
        <v>0</v>
      </c>
      <c r="S29" s="637">
        <v>0</v>
      </c>
      <c r="T29" s="637">
        <v>0</v>
      </c>
      <c r="U29" s="637">
        <v>0</v>
      </c>
      <c r="V29" s="637">
        <v>0</v>
      </c>
      <c r="W29" s="637">
        <v>0</v>
      </c>
      <c r="X29" s="637">
        <v>10</v>
      </c>
      <c r="Y29" s="637" t="s">
        <v>111</v>
      </c>
      <c r="Z29" s="639" t="s">
        <v>111</v>
      </c>
    </row>
    <row r="30" spans="1:26" s="591" customFormat="1" ht="25.5">
      <c r="A30" s="590"/>
      <c r="B30" s="785">
        <v>11056</v>
      </c>
      <c r="C30" s="785">
        <v>2070</v>
      </c>
      <c r="D30" s="638" t="s">
        <v>980</v>
      </c>
      <c r="E30" s="637" t="s">
        <v>981</v>
      </c>
      <c r="F30" s="637" t="s">
        <v>982</v>
      </c>
      <c r="G30" s="637" t="s">
        <v>974</v>
      </c>
      <c r="H30" s="637" t="s">
        <v>975</v>
      </c>
      <c r="I30" s="637" t="s">
        <v>983</v>
      </c>
      <c r="J30" s="784">
        <v>40946</v>
      </c>
      <c r="K30" s="784">
        <v>39043</v>
      </c>
      <c r="L30" s="637" t="s">
        <v>976</v>
      </c>
      <c r="M30" s="637">
        <v>4800</v>
      </c>
      <c r="N30" s="637">
        <v>21600</v>
      </c>
      <c r="O30" s="637">
        <v>30857.142857142859</v>
      </c>
      <c r="P30" s="637">
        <v>61714.285714285717</v>
      </c>
      <c r="Q30" s="637">
        <v>0</v>
      </c>
      <c r="R30" s="637">
        <v>0</v>
      </c>
      <c r="S30" s="637">
        <v>0</v>
      </c>
      <c r="T30" s="637">
        <v>0</v>
      </c>
      <c r="U30" s="637">
        <v>0</v>
      </c>
      <c r="V30" s="637">
        <v>0</v>
      </c>
      <c r="W30" s="637">
        <v>0</v>
      </c>
      <c r="X30" s="637">
        <v>10</v>
      </c>
      <c r="Y30" s="637" t="s">
        <v>111</v>
      </c>
      <c r="Z30" s="639" t="s">
        <v>111</v>
      </c>
    </row>
    <row r="31" spans="1:26" s="573" customFormat="1">
      <c r="A31" s="593" t="s">
        <v>279</v>
      </c>
      <c r="B31" s="594"/>
      <c r="C31" s="594"/>
      <c r="D31" s="594"/>
      <c r="E31" s="594"/>
      <c r="F31" s="594"/>
      <c r="G31" s="594"/>
      <c r="H31" s="594"/>
      <c r="I31" s="594"/>
      <c r="J31" s="594"/>
      <c r="K31" s="594"/>
      <c r="L31" s="595"/>
      <c r="M31" s="595">
        <f>SUM(M28:M30)</f>
        <v>6872</v>
      </c>
      <c r="N31" s="595">
        <f>SUM(N28:N30)</f>
        <v>30903.375</v>
      </c>
      <c r="O31" s="595">
        <f>SUM(O28:O30)</f>
        <v>44147.678571428572</v>
      </c>
      <c r="P31" s="595">
        <f>SUM(P28:P30)</f>
        <v>88295.357142857145</v>
      </c>
      <c r="Q31" s="595">
        <f>SUM(Q28:Q30)</f>
        <v>0</v>
      </c>
      <c r="R31" s="595">
        <f>SUM(R28:R30)</f>
        <v>0</v>
      </c>
      <c r="S31" s="595">
        <f>SUM(S28:S30)</f>
        <v>0</v>
      </c>
      <c r="T31" s="595">
        <f>SUM(T28:T30)</f>
        <v>0</v>
      </c>
      <c r="U31" s="595">
        <f>SUM(U28:U30)</f>
        <v>0</v>
      </c>
      <c r="V31" s="595">
        <f>SUM(V28:V30)</f>
        <v>0</v>
      </c>
      <c r="W31" s="595">
        <f>SUM(W28:W30)</f>
        <v>0</v>
      </c>
      <c r="X31" s="596"/>
      <c r="Y31" s="596"/>
      <c r="Z31" s="597"/>
    </row>
    <row r="32" spans="1:26" s="573" customFormat="1">
      <c r="A32" s="593" t="s">
        <v>286</v>
      </c>
      <c r="B32" s="594"/>
      <c r="C32" s="594"/>
      <c r="D32" s="594"/>
      <c r="E32" s="594"/>
      <c r="F32" s="594"/>
      <c r="G32" s="594"/>
      <c r="H32" s="594"/>
      <c r="I32" s="594"/>
      <c r="J32" s="594"/>
      <c r="K32" s="594"/>
      <c r="L32" s="595"/>
      <c r="M32" s="595">
        <f>SUMIF($Z$28:$Z$30,"industrie",M28:M30)</f>
        <v>0</v>
      </c>
      <c r="N32" s="595">
        <f>SUMIF($Z$28:$Z$30,"industrie",N28:N30)</f>
        <v>0</v>
      </c>
      <c r="O32" s="595">
        <f>SUMIF($Z$28:$Z$30,"industrie",O28:O30)</f>
        <v>0</v>
      </c>
      <c r="P32" s="595">
        <f>SUMIF($Z$28:$Z$30,"industrie",P28:P30)</f>
        <v>0</v>
      </c>
      <c r="Q32" s="595">
        <f>SUMIF($Z$28:$Z$30,"industrie",Q28:Q30)</f>
        <v>0</v>
      </c>
      <c r="R32" s="595">
        <f>SUMIF($Z$28:$Z$30,"industrie",R28:R30)</f>
        <v>0</v>
      </c>
      <c r="S32" s="595">
        <f>SUMIF($Z$28:$Z$30,"industrie",S28:S30)</f>
        <v>0</v>
      </c>
      <c r="T32" s="595">
        <f>SUMIF($Z$28:$Z$30,"industrie",T28:T30)</f>
        <v>0</v>
      </c>
      <c r="U32" s="595">
        <f>SUMIF($Z$28:$Z$30,"industrie",U28:U30)</f>
        <v>0</v>
      </c>
      <c r="V32" s="595">
        <f>SUMIF($Z$28:$Z$30,"industrie",V28:V30)</f>
        <v>0</v>
      </c>
      <c r="W32" s="595">
        <f>SUMIF($Z$28:$Z$30,"industrie",W28:W30)</f>
        <v>0</v>
      </c>
      <c r="X32" s="596"/>
      <c r="Y32" s="596"/>
      <c r="Z32" s="597"/>
    </row>
    <row r="33" spans="1:27" s="573" customFormat="1">
      <c r="A33" s="593" t="s">
        <v>287</v>
      </c>
      <c r="B33" s="594"/>
      <c r="C33" s="594"/>
      <c r="D33" s="594"/>
      <c r="E33" s="594"/>
      <c r="F33" s="594"/>
      <c r="G33" s="594"/>
      <c r="H33" s="594"/>
      <c r="I33" s="594"/>
      <c r="J33" s="594"/>
      <c r="K33" s="594"/>
      <c r="L33" s="595"/>
      <c r="M33" s="595">
        <f ca="1">SUMIF($Z$28:AC30,"tertiair",M28:M30)</f>
        <v>5</v>
      </c>
      <c r="N33" s="595">
        <f ca="1">SUMIF($Z$28:AD30,"tertiair",N28:N30)</f>
        <v>1.875</v>
      </c>
      <c r="O33" s="595">
        <f ca="1">SUMIF($Z$28:AE30,"tertiair",O28:O30)</f>
        <v>2.6785714285714288</v>
      </c>
      <c r="P33" s="595">
        <f ca="1">SUMIF($Z$28:AF30,"tertiair",P28:P30)</f>
        <v>5.3571428571428577</v>
      </c>
      <c r="Q33" s="595">
        <f ca="1">SUMIF($Z$28:AG30,"tertiair",Q28:Q30)</f>
        <v>0</v>
      </c>
      <c r="R33" s="595">
        <f ca="1">SUMIF($Z$28:AH30,"tertiair",R28:R30)</f>
        <v>0</v>
      </c>
      <c r="S33" s="595">
        <f ca="1">SUMIF($Z$28:AI30,"tertiair",S28:S30)</f>
        <v>0</v>
      </c>
      <c r="T33" s="595">
        <f ca="1">SUMIF($Z$28:AJ30,"tertiair",T28:T30)</f>
        <v>0</v>
      </c>
      <c r="U33" s="595">
        <f ca="1">SUMIF($Z$28:AK30,"tertiair",U28:U30)</f>
        <v>0</v>
      </c>
      <c r="V33" s="595">
        <f ca="1">SUMIF($Z$28:AL30,"tertiair",V28:V30)</f>
        <v>0</v>
      </c>
      <c r="W33" s="595">
        <f ca="1">SUMIF($Z$28:AM30,"tertiair",W28:W30)</f>
        <v>0</v>
      </c>
      <c r="X33" s="596"/>
      <c r="Y33" s="596"/>
      <c r="Z33" s="597"/>
    </row>
    <row r="34" spans="1:27" s="573" customFormat="1" ht="15.75" thickBot="1">
      <c r="A34" s="598" t="s">
        <v>288</v>
      </c>
      <c r="B34" s="599"/>
      <c r="C34" s="599"/>
      <c r="D34" s="599"/>
      <c r="E34" s="599"/>
      <c r="F34" s="599"/>
      <c r="G34" s="599"/>
      <c r="H34" s="599"/>
      <c r="I34" s="599"/>
      <c r="J34" s="599"/>
      <c r="K34" s="599"/>
      <c r="L34" s="600"/>
      <c r="M34" s="600">
        <f>SUMIF($Z$28:$Z$30,"landbouw",M28:M30)</f>
        <v>6867</v>
      </c>
      <c r="N34" s="600">
        <f>SUMIF($Z$28:$Z$30,"landbouw",N28:N30)</f>
        <v>30901.5</v>
      </c>
      <c r="O34" s="600">
        <f>SUMIF($Z$28:$Z$30,"landbouw",O28:O30)</f>
        <v>44145</v>
      </c>
      <c r="P34" s="600">
        <f>SUMIF($Z$28:$Z$30,"landbouw",P28:P30)</f>
        <v>88290</v>
      </c>
      <c r="Q34" s="600">
        <f>SUMIF($Z$28:$Z$30,"landbouw",Q28:Q30)</f>
        <v>0</v>
      </c>
      <c r="R34" s="600">
        <f>SUMIF($Z$28:$Z$30,"landbouw",R28:R30)</f>
        <v>0</v>
      </c>
      <c r="S34" s="600">
        <f>SUMIF($Z$28:$Z$30,"landbouw",S28:S30)</f>
        <v>0</v>
      </c>
      <c r="T34" s="600">
        <f>SUMIF($Z$28:$Z$30,"landbouw",T28:T30)</f>
        <v>0</v>
      </c>
      <c r="U34" s="600">
        <f>SUMIF($Z$28:$Z$30,"landbouw",U28:U30)</f>
        <v>0</v>
      </c>
      <c r="V34" s="600">
        <f>SUMIF($Z$28:$Z$30,"landbouw",V28:V30)</f>
        <v>0</v>
      </c>
      <c r="W34" s="600">
        <f>SUMIF($Z$28:$Z$30,"landbouw",W28:W30)</f>
        <v>0</v>
      </c>
      <c r="X34" s="601"/>
      <c r="Y34" s="601"/>
      <c r="Z34" s="602"/>
    </row>
    <row r="35" spans="1:27" s="542" customFormat="1" ht="15.75" thickBot="1">
      <c r="A35" s="603"/>
      <c r="B35" s="604"/>
      <c r="C35" s="604"/>
      <c r="D35" s="604"/>
      <c r="E35" s="604"/>
      <c r="F35" s="604"/>
      <c r="G35" s="604"/>
      <c r="H35" s="604"/>
      <c r="I35" s="604"/>
      <c r="J35" s="604"/>
      <c r="K35" s="604"/>
      <c r="L35" s="587"/>
      <c r="M35" s="587"/>
      <c r="N35" s="587"/>
      <c r="O35" s="588"/>
      <c r="P35" s="588"/>
    </row>
    <row r="36" spans="1:27" s="542" customFormat="1" ht="45">
      <c r="A36" s="605" t="s">
        <v>280</v>
      </c>
      <c r="B36" s="634" t="s">
        <v>89</v>
      </c>
      <c r="C36" s="634" t="s">
        <v>90</v>
      </c>
      <c r="D36" s="634" t="s">
        <v>91</v>
      </c>
      <c r="E36" s="634" t="s">
        <v>92</v>
      </c>
      <c r="F36" s="634" t="s">
        <v>93</v>
      </c>
      <c r="G36" s="634" t="s">
        <v>94</v>
      </c>
      <c r="H36" s="634" t="s">
        <v>95</v>
      </c>
      <c r="I36" s="634" t="s">
        <v>96</v>
      </c>
      <c r="J36" s="634" t="s">
        <v>97</v>
      </c>
      <c r="K36" s="634" t="s">
        <v>98</v>
      </c>
      <c r="L36" s="634" t="s">
        <v>99</v>
      </c>
      <c r="M36" s="635" t="s">
        <v>297</v>
      </c>
      <c r="N36" s="635" t="s">
        <v>100</v>
      </c>
      <c r="O36" s="635" t="s">
        <v>101</v>
      </c>
      <c r="P36" s="635" t="s">
        <v>545</v>
      </c>
      <c r="Q36" s="635" t="s">
        <v>102</v>
      </c>
      <c r="R36" s="635" t="s">
        <v>103</v>
      </c>
      <c r="S36" s="635" t="s">
        <v>104</v>
      </c>
      <c r="T36" s="635" t="s">
        <v>105</v>
      </c>
      <c r="U36" s="635" t="s">
        <v>106</v>
      </c>
      <c r="V36" s="635" t="s">
        <v>107</v>
      </c>
      <c r="W36" s="634" t="s">
        <v>108</v>
      </c>
      <c r="X36" s="634" t="s">
        <v>298</v>
      </c>
      <c r="Y36" s="634" t="s">
        <v>109</v>
      </c>
      <c r="Z36" s="636" t="s">
        <v>299</v>
      </c>
    </row>
    <row r="37" spans="1:27" s="606" customFormat="1" ht="12.75">
      <c r="A37" s="592"/>
      <c r="B37" s="785"/>
      <c r="C37" s="785"/>
      <c r="D37" s="640"/>
      <c r="E37" s="640"/>
      <c r="F37" s="640"/>
      <c r="G37" s="640"/>
      <c r="H37" s="640"/>
      <c r="I37" s="640"/>
      <c r="J37" s="784"/>
      <c r="K37" s="784"/>
      <c r="L37" s="640"/>
      <c r="M37" s="640"/>
      <c r="N37" s="640"/>
      <c r="O37" s="640"/>
      <c r="P37" s="640"/>
      <c r="Q37" s="640"/>
      <c r="R37" s="640"/>
      <c r="S37" s="640"/>
      <c r="T37" s="640"/>
      <c r="U37" s="640"/>
      <c r="V37" s="640"/>
      <c r="W37" s="640"/>
      <c r="X37" s="640"/>
      <c r="Y37" s="640"/>
      <c r="Z37" s="641"/>
    </row>
    <row r="38" spans="1:27" s="573" customFormat="1">
      <c r="A38" s="593" t="s">
        <v>279</v>
      </c>
      <c r="B38" s="594"/>
      <c r="C38" s="594"/>
      <c r="D38" s="594"/>
      <c r="E38" s="594"/>
      <c r="F38" s="594"/>
      <c r="G38" s="594"/>
      <c r="H38" s="594"/>
      <c r="I38" s="594"/>
      <c r="J38" s="594"/>
      <c r="K38" s="594"/>
      <c r="L38" s="595"/>
      <c r="M38" s="595">
        <f>SUM(M37:M37)</f>
        <v>0</v>
      </c>
      <c r="N38" s="595">
        <f>SUM(N37:N37)</f>
        <v>0</v>
      </c>
      <c r="O38" s="595">
        <f>SUM(O37:O37)</f>
        <v>0</v>
      </c>
      <c r="P38" s="595">
        <f>SUM(P37:P37)</f>
        <v>0</v>
      </c>
      <c r="Q38" s="595">
        <f>SUM(Q37:Q37)</f>
        <v>0</v>
      </c>
      <c r="R38" s="595">
        <f>SUM(R37:R37)</f>
        <v>0</v>
      </c>
      <c r="S38" s="595">
        <f>SUM(S37:S37)</f>
        <v>0</v>
      </c>
      <c r="T38" s="595">
        <f>SUM(T37:T37)</f>
        <v>0</v>
      </c>
      <c r="U38" s="595">
        <f>SUM(U37:U37)</f>
        <v>0</v>
      </c>
      <c r="V38" s="595">
        <f>SUM(V37:V37)</f>
        <v>0</v>
      </c>
      <c r="W38" s="595">
        <f>SUM(W37:W37)</f>
        <v>0</v>
      </c>
      <c r="X38" s="596"/>
      <c r="Y38" s="596"/>
      <c r="Z38" s="597"/>
    </row>
    <row r="39" spans="1:27" s="573" customFormat="1">
      <c r="A39" s="593" t="s">
        <v>286</v>
      </c>
      <c r="B39" s="594"/>
      <c r="C39" s="594"/>
      <c r="D39" s="594"/>
      <c r="E39" s="594"/>
      <c r="F39" s="594"/>
      <c r="G39" s="594"/>
      <c r="H39" s="594"/>
      <c r="I39" s="594"/>
      <c r="J39" s="594"/>
      <c r="K39" s="594"/>
      <c r="L39" s="595"/>
      <c r="M39" s="595">
        <f>SUMIF($Z$37:$Z$37,"industrie",M37:M37)</f>
        <v>0</v>
      </c>
      <c r="N39" s="595">
        <f>SUMIF($Z$37:$Z$37,"industrie",N37:N37)</f>
        <v>0</v>
      </c>
      <c r="O39" s="595">
        <f>SUMIF($Z$37:$Z$37,"industrie",O37:O37)</f>
        <v>0</v>
      </c>
      <c r="P39" s="595">
        <f>SUMIF($Z$37:$Z$37,"industrie",P37:P37)</f>
        <v>0</v>
      </c>
      <c r="Q39" s="595">
        <f>SUMIF($Z$37:$Z$37,"industrie",Q37:Q37)</f>
        <v>0</v>
      </c>
      <c r="R39" s="595">
        <f>SUMIF($Z$37:$Z$37,"industrie",R37:R37)</f>
        <v>0</v>
      </c>
      <c r="S39" s="595">
        <f>SUMIF($Z$37:$Z$37,"industrie",S37:S37)</f>
        <v>0</v>
      </c>
      <c r="T39" s="595">
        <f>SUMIF($Z$37:$Z$37,"industrie",T37:T37)</f>
        <v>0</v>
      </c>
      <c r="U39" s="595">
        <f>SUMIF($Z$37:$Z$37,"industrie",U37:U37)</f>
        <v>0</v>
      </c>
      <c r="V39" s="595">
        <f>SUMIF($Z$37:$Z$37,"industrie",V37:V37)</f>
        <v>0</v>
      </c>
      <c r="W39" s="595">
        <f>SUMIF($Z$37:$Z$37,"industrie",W37:W37)</f>
        <v>0</v>
      </c>
      <c r="X39" s="596"/>
      <c r="Y39" s="596"/>
      <c r="Z39" s="597"/>
    </row>
    <row r="40" spans="1:27" s="573" customFormat="1">
      <c r="A40" s="593" t="s">
        <v>287</v>
      </c>
      <c r="B40" s="594"/>
      <c r="C40" s="594"/>
      <c r="D40" s="594"/>
      <c r="E40" s="594"/>
      <c r="F40" s="594"/>
      <c r="G40" s="594"/>
      <c r="H40" s="594"/>
      <c r="I40" s="594"/>
      <c r="J40" s="594"/>
      <c r="K40" s="594"/>
      <c r="L40" s="595"/>
      <c r="M40" s="595">
        <f>SUMIF($Z$37:$Z$38,"tertiair",M37:M38)</f>
        <v>0</v>
      </c>
      <c r="N40" s="595">
        <f>SUMIF($Z$37:$Z$38,"tertiair",N37:N38)</f>
        <v>0</v>
      </c>
      <c r="O40" s="595">
        <f>SUMIF($Z$37:$Z$38,"tertiair",O37:O38)</f>
        <v>0</v>
      </c>
      <c r="P40" s="595">
        <f>SUMIF($Z$37:$Z$38,"tertiair",P37:P38)</f>
        <v>0</v>
      </c>
      <c r="Q40" s="595">
        <f>SUMIF($Z$37:$Z$38,"tertiair",Q37:Q38)</f>
        <v>0</v>
      </c>
      <c r="R40" s="595">
        <f>SUMIF($Z$37:$Z$38,"tertiair",R37:R38)</f>
        <v>0</v>
      </c>
      <c r="S40" s="595">
        <f>SUMIF($Z$37:$Z$38,"tertiair",S37:S38)</f>
        <v>0</v>
      </c>
      <c r="T40" s="595">
        <f>SUMIF($Z$37:$Z$38,"tertiair",T37:T38)</f>
        <v>0</v>
      </c>
      <c r="U40" s="595">
        <f>SUMIF($Z$37:$Z$38,"tertiair",U37:U38)</f>
        <v>0</v>
      </c>
      <c r="V40" s="595">
        <f>SUMIF($Z$37:$Z$38,"tertiair",V37:V38)</f>
        <v>0</v>
      </c>
      <c r="W40" s="595">
        <f>SUMIF($Z$37:$Z$38,"tertiair",W37:W38)</f>
        <v>0</v>
      </c>
      <c r="X40" s="596"/>
      <c r="Y40" s="596"/>
      <c r="Z40" s="597"/>
    </row>
    <row r="41" spans="1:27" s="573" customFormat="1" ht="15.75" thickBot="1">
      <c r="A41" s="598" t="s">
        <v>288</v>
      </c>
      <c r="B41" s="599"/>
      <c r="C41" s="599"/>
      <c r="D41" s="599"/>
      <c r="E41" s="599"/>
      <c r="F41" s="599"/>
      <c r="G41" s="599"/>
      <c r="H41" s="599"/>
      <c r="I41" s="599"/>
      <c r="J41" s="599"/>
      <c r="K41" s="599"/>
      <c r="L41" s="600"/>
      <c r="M41" s="600">
        <f>SUMIF($Z$37:$Z$39,"landbouw",M37:M39)</f>
        <v>0</v>
      </c>
      <c r="N41" s="600">
        <f>SUMIF($Z$37:$Z$39,"landbouw",N37:N39)</f>
        <v>0</v>
      </c>
      <c r="O41" s="600">
        <f>SUMIF($Z$37:$Z$39,"landbouw",O37:O39)</f>
        <v>0</v>
      </c>
      <c r="P41" s="600">
        <f>SUMIF($Z$37:$Z$39,"landbouw",P37:P39)</f>
        <v>0</v>
      </c>
      <c r="Q41" s="600">
        <f>SUMIF($Z$37:$Z$39,"landbouw",Q37:Q39)</f>
        <v>0</v>
      </c>
      <c r="R41" s="600">
        <f>SUMIF($Z$37:$Z$39,"landbouw",R37:R39)</f>
        <v>0</v>
      </c>
      <c r="S41" s="600">
        <f>SUMIF($Z$37:$Z$39,"landbouw",S37:S39)</f>
        <v>0</v>
      </c>
      <c r="T41" s="600">
        <f>SUMIF($Z$37:$Z$39,"landbouw",T37:T39)</f>
        <v>0</v>
      </c>
      <c r="U41" s="600">
        <f>SUMIF($Z$37:$Z$39,"landbouw",U37:U39)</f>
        <v>0</v>
      </c>
      <c r="V41" s="600">
        <f>SUMIF($Z$37:$Z$39,"landbouw",V37:V39)</f>
        <v>0</v>
      </c>
      <c r="W41" s="600">
        <f>SUMIF($Z$37:$Z$39,"landbouw",W37:W39)</f>
        <v>0</v>
      </c>
      <c r="X41" s="601"/>
      <c r="Y41" s="601"/>
      <c r="Z41" s="602"/>
    </row>
    <row r="42" spans="1:27" s="607" customFormat="1">
      <c r="A42" s="603"/>
      <c r="B42" s="587"/>
      <c r="C42" s="587"/>
      <c r="D42" s="587"/>
      <c r="E42" s="587"/>
      <c r="F42" s="587"/>
      <c r="G42" s="587"/>
      <c r="H42" s="587"/>
      <c r="I42" s="587"/>
      <c r="J42" s="587"/>
      <c r="K42" s="587"/>
      <c r="L42" s="587"/>
      <c r="M42" s="587"/>
      <c r="N42" s="587"/>
      <c r="O42" s="587"/>
      <c r="P42" s="587"/>
      <c r="Q42" s="587"/>
      <c r="R42" s="587"/>
      <c r="S42" s="587"/>
      <c r="T42" s="587"/>
      <c r="U42" s="587"/>
      <c r="V42" s="587"/>
      <c r="W42" s="587"/>
      <c r="X42" s="587"/>
      <c r="Y42" s="587"/>
    </row>
    <row r="43" spans="1:27" s="607" customFormat="1" ht="15.75" thickBot="1">
      <c r="A43" s="603"/>
      <c r="B43" s="587"/>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row>
    <row r="44" spans="1:27">
      <c r="A44" s="608" t="s">
        <v>281</v>
      </c>
      <c r="B44" s="609"/>
      <c r="C44" s="609"/>
      <c r="D44" s="609"/>
      <c r="E44" s="609"/>
      <c r="F44" s="609"/>
      <c r="G44" s="609"/>
      <c r="H44" s="609"/>
      <c r="I44" s="610"/>
      <c r="J44" s="611"/>
      <c r="K44" s="611"/>
      <c r="L44" s="612"/>
      <c r="M44" s="612"/>
      <c r="N44" s="612"/>
      <c r="O44" s="612"/>
      <c r="P44" s="612"/>
    </row>
    <row r="45" spans="1:27">
      <c r="A45" s="614"/>
      <c r="B45" s="604"/>
      <c r="C45" s="604"/>
      <c r="D45" s="604"/>
      <c r="E45" s="604"/>
      <c r="F45" s="604"/>
      <c r="G45" s="604"/>
      <c r="H45" s="604"/>
      <c r="I45" s="615"/>
      <c r="J45" s="604"/>
      <c r="K45" s="604"/>
      <c r="L45" s="612"/>
      <c r="M45" s="612"/>
      <c r="N45" s="612"/>
      <c r="O45" s="612"/>
      <c r="P45" s="612"/>
    </row>
    <row r="46" spans="1:27">
      <c r="A46" s="616"/>
      <c r="B46" s="617" t="s">
        <v>282</v>
      </c>
      <c r="C46" s="617" t="s">
        <v>283</v>
      </c>
      <c r="D46" s="617"/>
      <c r="E46" s="617"/>
      <c r="F46" s="617"/>
      <c r="G46" s="617"/>
      <c r="H46" s="617"/>
      <c r="I46" s="618"/>
      <c r="J46" s="617"/>
      <c r="K46" s="617"/>
      <c r="L46" s="617"/>
      <c r="M46" s="617"/>
      <c r="N46" s="617"/>
      <c r="O46" s="617"/>
      <c r="P46" s="612"/>
    </row>
    <row r="47" spans="1:27">
      <c r="A47" s="614" t="s">
        <v>279</v>
      </c>
      <c r="B47" s="619">
        <f>IF(ISERROR(O31/(O31+N31)),0,O31/(O31+N31))</f>
        <v>0.58823529411764697</v>
      </c>
      <c r="C47" s="620">
        <f>IF(ISERROR(N31/(O31+N31)),0,N31/(N31+O31))</f>
        <v>0.41176470588235292</v>
      </c>
      <c r="D47" s="587"/>
      <c r="E47" s="587"/>
      <c r="F47" s="587"/>
      <c r="G47" s="587"/>
      <c r="H47" s="587"/>
      <c r="I47" s="621"/>
      <c r="J47" s="587"/>
      <c r="K47" s="587"/>
      <c r="L47" s="622"/>
      <c r="M47" s="622"/>
      <c r="N47" s="622"/>
      <c r="O47" s="622"/>
      <c r="P47" s="612"/>
    </row>
    <row r="48" spans="1:27">
      <c r="A48" s="614"/>
      <c r="B48" s="623"/>
      <c r="C48" s="623"/>
      <c r="D48" s="623"/>
      <c r="E48" s="623"/>
      <c r="F48" s="623"/>
      <c r="G48" s="623"/>
      <c r="H48" s="623"/>
      <c r="I48" s="624"/>
      <c r="J48" s="623"/>
      <c r="K48" s="623"/>
      <c r="L48" s="625"/>
      <c r="M48" s="625"/>
      <c r="N48" s="625"/>
      <c r="O48" s="625"/>
      <c r="P48" s="612"/>
    </row>
    <row r="49" spans="1:16" ht="30">
      <c r="A49" s="626"/>
      <c r="B49" s="627" t="s">
        <v>545</v>
      </c>
      <c r="C49" s="627" t="s">
        <v>102</v>
      </c>
      <c r="D49" s="627" t="s">
        <v>103</v>
      </c>
      <c r="E49" s="627" t="s">
        <v>104</v>
      </c>
      <c r="F49" s="627" t="s">
        <v>105</v>
      </c>
      <c r="G49" s="627" t="s">
        <v>106</v>
      </c>
      <c r="H49" s="627" t="s">
        <v>107</v>
      </c>
      <c r="I49" s="628" t="s">
        <v>108</v>
      </c>
      <c r="J49" s="617"/>
      <c r="K49" s="617"/>
      <c r="L49" s="625"/>
      <c r="M49" s="625"/>
      <c r="N49" s="625"/>
      <c r="O49" s="612"/>
      <c r="P49" s="612"/>
    </row>
    <row r="50" spans="1:16">
      <c r="A50" s="616" t="s">
        <v>284</v>
      </c>
      <c r="B50" s="629">
        <f t="shared" ref="B50:I50" si="2">$C$47*P31</f>
        <v>36356.911764705881</v>
      </c>
      <c r="C50" s="629">
        <f t="shared" si="2"/>
        <v>0</v>
      </c>
      <c r="D50" s="629">
        <f t="shared" si="2"/>
        <v>0</v>
      </c>
      <c r="E50" s="629">
        <f t="shared" si="2"/>
        <v>0</v>
      </c>
      <c r="F50" s="629">
        <f t="shared" si="2"/>
        <v>0</v>
      </c>
      <c r="G50" s="629">
        <f t="shared" si="2"/>
        <v>0</v>
      </c>
      <c r="H50" s="629">
        <f t="shared" si="2"/>
        <v>0</v>
      </c>
      <c r="I50" s="630">
        <f t="shared" si="2"/>
        <v>0</v>
      </c>
      <c r="J50" s="587"/>
      <c r="K50" s="587"/>
      <c r="L50" s="625"/>
      <c r="M50" s="625"/>
      <c r="N50" s="625"/>
      <c r="O50" s="612"/>
      <c r="P50" s="612"/>
    </row>
    <row r="51" spans="1:16" ht="15.75" thickBot="1">
      <c r="A51" s="631" t="s">
        <v>285</v>
      </c>
      <c r="B51" s="632">
        <f t="shared" ref="B51:I51" si="3">$B$47*P31</f>
        <v>51938.445378151257</v>
      </c>
      <c r="C51" s="632">
        <f t="shared" si="3"/>
        <v>0</v>
      </c>
      <c r="D51" s="632">
        <f t="shared" si="3"/>
        <v>0</v>
      </c>
      <c r="E51" s="632">
        <f t="shared" si="3"/>
        <v>0</v>
      </c>
      <c r="F51" s="632">
        <f t="shared" si="3"/>
        <v>0</v>
      </c>
      <c r="G51" s="632">
        <f t="shared" si="3"/>
        <v>0</v>
      </c>
      <c r="H51" s="632">
        <f t="shared" si="3"/>
        <v>0</v>
      </c>
      <c r="I51" s="633">
        <f t="shared" si="3"/>
        <v>0</v>
      </c>
      <c r="J51" s="587"/>
      <c r="K51" s="587"/>
      <c r="L51" s="625"/>
      <c r="M51" s="625"/>
      <c r="N51" s="625"/>
      <c r="O51" s="612"/>
      <c r="P51" s="612"/>
    </row>
    <row r="52" spans="1:16">
      <c r="J52" s="571"/>
      <c r="K52" s="571"/>
      <c r="L52" s="571"/>
      <c r="M52" s="571"/>
      <c r="N52" s="571"/>
    </row>
    <row r="53" spans="1:16">
      <c r="J53" s="571"/>
      <c r="K53" s="571"/>
      <c r="L53" s="571"/>
      <c r="M53" s="571"/>
      <c r="N53"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2020-06-20T16:36:12Z</dcterms:modified>
</cp:coreProperties>
</file>