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D10" i="18" s="1"/>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L20" i="55"/>
  <c r="F49" i="18"/>
  <c r="J77" i="14"/>
  <c r="J9" i="55" s="1"/>
  <c r="H49" i="18"/>
  <c r="H20" i="18"/>
  <c r="M87" i="14"/>
  <c r="M17" i="55" s="1"/>
  <c r="M20" i="55" s="1"/>
  <c r="C49" i="18"/>
  <c r="E49" i="18"/>
  <c r="E17" i="18" s="1"/>
  <c r="G49" i="18"/>
  <c r="K10" i="55"/>
  <c r="C48" i="18"/>
  <c r="E48" i="18"/>
  <c r="E8" i="18" s="1"/>
  <c r="G48" i="18"/>
  <c r="I48" i="18"/>
  <c r="H8" i="18" s="1"/>
  <c r="B48" i="18"/>
  <c r="C8" i="18" s="1"/>
  <c r="D76" i="14" s="1"/>
  <c r="D8" i="55" s="1"/>
  <c r="D10" i="55" s="1"/>
  <c r="D48" i="18"/>
  <c r="F48" i="18"/>
  <c r="F9" i="55"/>
  <c r="N78" i="14"/>
  <c r="N9" i="55"/>
  <c r="N10" i="55" s="1"/>
  <c r="M90" i="14"/>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D87" i="14"/>
  <c r="D17" i="55" s="1"/>
  <c r="D20" i="55" s="1"/>
  <c r="G90" i="14"/>
  <c r="O90" i="14"/>
  <c r="Q88" i="14"/>
  <c r="P18" i="55" s="1"/>
  <c r="Q89" i="14"/>
  <c r="P19" i="55" s="1"/>
  <c r="K78" i="14"/>
  <c r="B88" i="14"/>
  <c r="B18" i="55" s="1"/>
  <c r="C89" i="14"/>
  <c r="C19" i="55" s="1"/>
  <c r="B89" i="14"/>
  <c r="B19" i="55" s="1"/>
  <c r="I17" i="18"/>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B77" i="14" l="1"/>
  <c r="B9" i="55" s="1"/>
  <c r="C77" i="14"/>
  <c r="C9" i="55" s="1"/>
  <c r="C10" i="18"/>
  <c r="J8" i="18"/>
  <c r="J76" i="14" s="1"/>
  <c r="J17" i="18"/>
  <c r="J87" i="14" s="1"/>
  <c r="E20" i="18"/>
  <c r="F87" i="14"/>
  <c r="I8" i="18"/>
  <c r="I10" i="18" s="1"/>
  <c r="H10" i="18"/>
  <c r="M76" i="14"/>
  <c r="E10" i="18"/>
  <c r="F76" i="14"/>
  <c r="O17" i="18"/>
  <c r="O20" i="18" s="1"/>
  <c r="P9" i="55"/>
  <c r="I76" i="14"/>
  <c r="I8" i="55" s="1"/>
  <c r="I10" i="55" s="1"/>
  <c r="J20" i="18"/>
  <c r="I20" i="18"/>
  <c r="I87" i="14"/>
  <c r="I17" i="55" s="1"/>
  <c r="I20" i="55" s="1"/>
  <c r="O8" i="18"/>
  <c r="O10" i="18" s="1"/>
  <c r="J10" i="18"/>
  <c r="Q87" i="14"/>
  <c r="D90" i="14"/>
  <c r="F17" i="55" l="1"/>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P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B8" i="9" s="1"/>
  <c r="B6" i="48" s="1"/>
  <c r="Q6" i="48"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O4" i="48"/>
  <c r="O22" i="48" s="1"/>
  <c r="P11" i="14"/>
  <c r="D4" i="48"/>
  <c r="D22" i="48" s="1"/>
  <c r="E11" i="14"/>
  <c r="P4" i="48"/>
  <c r="P22" i="48" s="1"/>
  <c r="Q11" i="14"/>
  <c r="Q10" i="14"/>
  <c r="P5" i="48"/>
  <c r="C19" i="14"/>
  <c r="B10" i="48"/>
  <c r="H12" i="22"/>
  <c r="I18" i="14"/>
  <c r="H13" i="48"/>
  <c r="H31" i="48" s="1"/>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c r="Q27" i="14" s="1"/>
  <c r="D13" i="14"/>
  <c r="P23" i="48"/>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P33" i="48" l="1"/>
  <c r="P15" i="48"/>
  <c r="Q63" i="14"/>
  <c r="O8" i="48"/>
  <c r="O26" i="48" s="1"/>
  <c r="P13" i="14"/>
  <c r="P16" i="14"/>
  <c r="P27" i="14" s="1"/>
  <c r="O15" i="48"/>
  <c r="O23" i="48"/>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M14" i="22"/>
  <c r="O22" i="16"/>
  <c r="P43" i="14" s="1"/>
  <c r="P46" i="14" s="1"/>
  <c r="P61" i="14" s="1"/>
  <c r="P63" i="14" s="1"/>
  <c r="D18" i="22"/>
  <c r="E50" i="14" s="1"/>
  <c r="E52" i="14" s="1"/>
  <c r="E18" i="22"/>
  <c r="F50" i="14" s="1"/>
  <c r="F52" i="14" s="1"/>
  <c r="M58" i="22"/>
  <c r="N49" i="14" s="1"/>
  <c r="G18" i="22"/>
  <c r="H50" i="14" s="1"/>
  <c r="G58" i="22"/>
  <c r="H49" i="14" s="1"/>
  <c r="J20" i="15"/>
  <c r="K40" i="14" s="1"/>
  <c r="N20" i="15"/>
  <c r="O40" i="14" s="1"/>
  <c r="F20" i="15"/>
  <c r="G40" i="14" s="1"/>
  <c r="N5" i="16"/>
  <c r="E5" i="16"/>
  <c r="J5" i="16"/>
  <c r="C35" i="13"/>
  <c r="F5" i="16"/>
  <c r="C36" i="13"/>
  <c r="N12" i="13"/>
  <c r="O41" i="14" s="1"/>
  <c r="C38" i="13"/>
  <c r="C39" i="13"/>
  <c r="C32" i="13"/>
  <c r="C34" i="13"/>
  <c r="J12" i="13"/>
  <c r="K41" i="14" s="1"/>
  <c r="L20" i="15"/>
  <c r="M40" i="14" s="1"/>
  <c r="H22" i="14" l="1"/>
  <c r="H27" i="14" s="1"/>
  <c r="O33" i="48"/>
  <c r="E22" i="48"/>
  <c r="Q4" i="48"/>
  <c r="H52" i="14"/>
  <c r="H61" i="14" s="1"/>
  <c r="H63" i="14" s="1"/>
  <c r="G28" i="48"/>
  <c r="Q10" i="48"/>
  <c r="M18" i="22"/>
  <c r="N50" i="14" s="1"/>
  <c r="N52" i="14" s="1"/>
  <c r="N61" i="14" s="1"/>
  <c r="M9" i="48"/>
  <c r="Q9" i="48" s="1"/>
  <c r="N20" i="14"/>
  <c r="N22" i="14" s="1"/>
  <c r="N27" i="14" s="1"/>
  <c r="C22" i="14"/>
  <c r="G27" i="48"/>
  <c r="G33" i="48" s="1"/>
  <c r="G15" i="48"/>
  <c r="B15" i="48"/>
  <c r="D15" i="48"/>
  <c r="J5" i="48"/>
  <c r="K10" i="14"/>
  <c r="E20" i="15"/>
  <c r="F40" i="14" s="1"/>
  <c r="E5" i="48"/>
  <c r="F10" i="14"/>
  <c r="L15" i="48"/>
  <c r="Q7" i="48"/>
  <c r="R24" i="14"/>
  <c r="R26" i="14" s="1"/>
  <c r="J18" i="16"/>
  <c r="N18" i="16"/>
  <c r="E18" i="16"/>
  <c r="F18" i="16"/>
  <c r="F22" i="16" s="1"/>
  <c r="G43" i="14" s="1"/>
  <c r="N63" i="14" l="1"/>
  <c r="M27" i="48"/>
  <c r="M33" i="48" s="1"/>
  <c r="M15" i="48"/>
  <c r="R20" i="14"/>
  <c r="R22" i="14" s="1"/>
  <c r="E22" i="16"/>
  <c r="F43" i="14" s="1"/>
  <c r="F46" i="14" s="1"/>
  <c r="F61" i="14" s="1"/>
  <c r="E8" i="48"/>
  <c r="E26" i="48" s="1"/>
  <c r="F13" i="14"/>
  <c r="K13" i="14"/>
  <c r="K16" i="14" s="1"/>
  <c r="K27" i="14" s="1"/>
  <c r="J8" i="48"/>
  <c r="J26" i="48" s="1"/>
  <c r="F16" i="14"/>
  <c r="F27" i="14" s="1"/>
  <c r="J23" i="48"/>
  <c r="E23" i="48"/>
  <c r="E15" i="48"/>
  <c r="F8" i="48"/>
  <c r="G13" i="14"/>
  <c r="N8" i="48"/>
  <c r="O13" i="14"/>
  <c r="N22" i="16"/>
  <c r="O43" i="14" s="1"/>
  <c r="J22" i="16"/>
  <c r="K43" i="14" s="1"/>
  <c r="K46" i="14" s="1"/>
  <c r="K61" i="14" s="1"/>
  <c r="E33" i="48" l="1"/>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<sst xmlns="http://schemas.openxmlformats.org/spreadsheetml/2006/main" count="2513" uniqueCount="971">
  <si>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</si>
  <si>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</si>
  <si>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</si>
  <si>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</si>
  <si>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</si>
  <si>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</si>
  <si>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</si>
  <si>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</si>
  <si>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</si>
  <si>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</si>
  <si>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</si>
  <si>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</si>
  <si>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</si>
  <si>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</si>
  <si>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</si>
  <si>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</si>
  <si>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</si>
  <si>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</si>
  <si>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</si>
  <si>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</si>
  <si>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</si>
  <si>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</si>
  <si>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</si>
  <si>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</si>
  <si>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</si>
  <si>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</si>
  <si>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</si>
  <si>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</si>
  <si>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</si>
  <si>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</si>
  <si>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</si>
  <si>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</si>
  <si>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</si>
  <si>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</si>
  <si>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</si>
  <si>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</si>
  <si>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</si>
  <si>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</si>
  <si>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</si>
  <si>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</si>
  <si>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</si>
  <si>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</si>
  <si>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</si>
  <si>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</si>
  <si>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</si>
  <si>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</si>
  <si>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</si>
  <si>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</si>
  <si>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</si>
  <si>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</si>
  <si>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</si>
  <si>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</si>
  <si>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</si>
  <si>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</si>
  <si>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</si>
  <si>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</si>
  <si>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</si>
  <si>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</si>
  <si>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</si>
  <si>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</si>
  <si>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</si>
  <si>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</si>
  <si>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</si>
  <si>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</si>
  <si>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</si>
  <si>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</si>
  <si>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</si>
  <si>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</si>
  <si>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</si>
  <si>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</si>
  <si>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</si>
  <si>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</si>
  <si>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</si>
  <si>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</si>
  <si>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</si>
  <si>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</si>
  <si>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</si>
  <si>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</si>
  <si>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</si>
  <si>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</si>
  <si>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</si>
  <si>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</si>
  <si>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</si>
  <si>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</si>
  <si>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</si>
  <si>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</si>
  <si>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</si>
  <si>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</si>
  <si>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</si>
  <si>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</si>
  <si>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</si>
  <si>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</si>
  <si>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</si>
  <si>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</si>
  <si>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</si>
  <si>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</si>
  <si>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</si>
  <si>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</si>
  <si>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</si>
  <si>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</si>
  <si>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</si>
  <si>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</si>
  <si>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</si>
  <si>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</si>
  <si>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</si>
  <si>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</si>
  <si>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</si>
  <si>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</si>
  <si>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</si>
  <si>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</si>
  <si>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</si>
  <si>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</si>
  <si>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</si>
  <si>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</si>
  <si>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</si>
  <si>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</si>
  <si>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</si>
  <si>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</si>
  <si>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</si>
  <si>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</si>
  <si>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</si>
  <si>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</si>
  <si>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</si>
  <si>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</si>
  <si>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</si>
  <si>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</si>
  <si>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</si>
  <si>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</si>
  <si>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</si>
  <si>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</si>
  <si>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</si>
  <si>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</si>
  <si>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</si>
  <si>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</si>
  <si>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</si>
  <si>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</si>
  <si>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</si>
  <si>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</si>
  <si>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</si>
  <si>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</si>
  <si>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</si>
  <si>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</si>
  <si>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</si>
  <si>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</si>
  <si>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</si>
  <si>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</si>
  <si>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</si>
  <si>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</si>
  <si>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</si>
  <si>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</si>
  <si>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</si>
  <si>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</si>
  <si>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</si>
  <si>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</si>
  <si>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</si>
  <si>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</si>
  <si>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</si>
  <si>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</si>
  <si>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</si>
  <si>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</si>
  <si>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</si>
  <si>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</si>
  <si>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</si>
  <si>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</si>
  <si>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</si>
  <si>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</si>
  <si>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</si>
  <si>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</si>
  <si>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</si>
  <si>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</si>
  <si>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</si>
  <si>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</si>
  <si>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</si>
  <si>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</si>
  <si>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</si>
  <si>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</si>
  <si>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</si>
  <si>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</si>
  <si>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</si>
  <si>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</si>
  <si>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</si>
  <si>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</si>
  <si>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</si>
  <si>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</si>
  <si>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</si>
  <si>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</si>
  <si>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</si>
  <si>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</si>
  <si>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</si>
  <si>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</si>
  <si>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</si>
  <si>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</si>
  <si>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</si>
  <si>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</si>
  <si>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</si>
  <si>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</si>
  <si>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</si>
  <si>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</si>
  <si>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</si>
  <si>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</si>
  <si>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</si>
  <si>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</si>
  <si>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</si>
  <si>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</si>
  <si>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</si>
  <si>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</si>
  <si>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</si>
  <si>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</si>
  <si>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</si>
  <si>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</si>
  <si>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</si>
  <si>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</si>
  <si>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</si>
  <si>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</si>
  <si>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</si>
  <si>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</si>
  <si>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</si>
  <si>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</si>
  <si>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</si>
  <si>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</si>
  <si>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</si>
  <si>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</si>
  <si>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</si>
  <si>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</si>
  <si>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</si>
  <si>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</si>
  <si>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</si>
  <si>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</si>
  <si>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</si>
  <si>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</si>
  <si>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</si>
  <si>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</si>
  <si>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</si>
  <si>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</si>
  <si>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</si>
  <si>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</si>
  <si>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</si>
  <si>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</si>
  <si>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</si>
  <si>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</si>
  <si>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</si>
  <si>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</si>
  <si>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</si>
  <si>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</si>
  <si>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</si>
  <si>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</si>
  <si>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</si>
  <si>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</si>
  <si>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</si>
  <si>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</si>
  <si>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</si>
  <si>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</si>
  <si>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</si>
  <si>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</si>
  <si>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</si>
  <si>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</si>
  <si>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</si>
  <si>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</si>
  <si>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</si>
  <si>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</si>
  <si>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</si>
  <si>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</si>
  <si>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</si>
  <si>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</si>
  <si>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</si>
  <si>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</si>
  <si>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</si>
  <si>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</si>
  <si>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</si>
  <si>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</si>
  <si>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</si>
  <si>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</si>
  <si>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</si>
  <si>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</si>
  <si>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</si>
  <si>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</si>
  <si>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</si>
  <si>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</si>
  <si>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</si>
  <si>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</si>
  <si>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</si>
  <si>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</si>
  <si>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</si>
  <si>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</si>
  <si>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</si>
  <si>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</si>
  <si>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</si>
  <si>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</si>
  <si>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</si>
  <si>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</si>
  <si>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</si>
  <si>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</si>
  <si>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</si>
  <si>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</si>
  <si>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</si>
  <si>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</si>
  <si>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</si>
  <si>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</si>
  <si>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</si>
  <si>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</si>
  <si>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</si>
  <si>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</si>
  <si>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</si>
  <si>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</si>
  <si>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</si>
  <si>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</si>
  <si>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</si>
  <si>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</si>
  <si>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</si>
  <si>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</si>
  <si>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</si>
  <si>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</si>
  <si>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</si>
  <si>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</si>
  <si>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</si>
  <si>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</si>
  <si>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</si>
  <si>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</si>
  <si>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</si>
  <si>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</si>
  <si>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</si>
  <si>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</si>
  <si>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</si>
  <si>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</si>
  <si>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</si>
  <si>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</si>
  <si>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</si>
  <si>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</si>
  <si>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</si>
  <si>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</si>
  <si>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</si>
  <si>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</si>
  <si>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</si>
  <si>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</si>
  <si>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</si>
  <si>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</si>
  <si>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</si>
  <si>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</si>
  <si>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</si>
  <si>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</si>
  <si>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</si>
  <si>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</si>
  <si>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</si>
  <si>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</si>
  <si>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</si>
  <si>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</si>
  <si>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</si>
  <si>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</si>
  <si>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</si>
  <si>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</si>
  <si>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</si>
  <si>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</si>
  <si>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</si>
  <si>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</si>
  <si>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</si>
  <si>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</si>
  <si>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</si>
  <si>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</si>
  <si>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</si>
  <si>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</si>
  <si>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</si>
  <si>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</si>
  <si>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</si>
  <si>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</si>
  <si>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</si>
  <si>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</si>
  <si>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</si>
  <si>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</si>
  <si>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</si>
  <si>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</si>
  <si>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</si>
  <si>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</si>
  <si>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</si>
  <si>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</si>
  <si>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</si>
  <si>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</si>
  <si>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</si>
  <si>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</si>
  <si>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</si>
  <si>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</si>
  <si>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</si>
  <si>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</si>
  <si>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</si>
  <si>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</si>
  <si>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</si>
  <si>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</si>
  <si>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</si>
  <si>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</si>
  <si>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</si>
  <si>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</si>
  <si>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</si>
  <si>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</si>
  <si>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</si>
  <si>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</si>
  <si>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</si>
  <si>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</si>
  <si>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</si>
  <si>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</si>
  <si>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</si>
  <si>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</si>
  <si>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</si>
  <si>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</si>
  <si>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</si>
  <si>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</si>
  <si>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</si>
  <si>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</si>
  <si>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</si>
  <si>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</si>
  <si>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</si>
  <si>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</si>
  <si>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</si>
  <si>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</si>
  <si>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</si>
  <si>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</si>
  <si>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</si>
  <si>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</si>
  <si>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</si>
  <si>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</si>
  <si>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</si>
  <si>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</si>
  <si>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</si>
  <si>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</si>
  <si>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</si>
  <si>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</si>
  <si>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</si>
  <si>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</si>
  <si>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</si>
  <si>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</si>
  <si>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</si>
  <si>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</si>
  <si>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</si>
  <si>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</si>
  <si>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</si>
  <si>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</si>
  <si>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</si>
  <si>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</si>
  <si>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</si>
  <si>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</si>
  <si>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</si>
  <si>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</si>
  <si>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</si>
  <si>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</si>
  <si>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</si>
  <si>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</si>
  <si>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</si>
  <si>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</si>
  <si>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</si>
  <si>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</si>
  <si>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</si>
  <si>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</si>
  <si>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</si>
  <si>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</si>
  <si>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</si>
  <si>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</si>
  <si>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</si>
  <si>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</si>
  <si>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</si>
  <si>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</si>
  <si>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</si>
  <si>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</si>
  <si>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</si>
  <si>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</si>
  <si>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</si>
  <si>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</si>
  <si>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</si>
  <si>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</si>
  <si>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</si>
  <si>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</si>
  <si>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</si>
  <si>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</si>
  <si>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</si>
  <si>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</si>
  <si>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</si>
  <si>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</si>
  <si>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</si>
  <si>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</si>
  <si>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</si>
  <si>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</si>
  <si>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</si>
  <si>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</si>
  <si>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</si>
  <si>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</si>
  <si>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</si>
  <si>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</si>
  <si>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</si>
  <si>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</si>
  <si>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</si>
  <si>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</si>
  <si>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</si>
  <si>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</si>
  <si>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</si>
  <si>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</si>
  <si>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</si>
  <si>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</si>
  <si>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</si>
  <si>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</si>
  <si>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</si>
  <si>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</si>
  <si>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</si>
  <si>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</si>
  <si>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</si>
  <si>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</si>
  <si>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</si>
  <si>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</si>
  <si>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</si>
  <si>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</si>
  <si>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</si>
  <si>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</si>
  <si>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</si>
  <si>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</si>
  <si>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</si>
  <si>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</si>
  <si>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</si>
  <si>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</si>
  <si>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</si>
  <si>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</si>
  <si>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</si>
  <si>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</si>
  <si>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</si>
  <si>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</si>
  <si>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</si>
  <si>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</si>
  <si>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</si>
  <si>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</si>
  <si>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</si>
  <si>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</si>
  <si>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</si>
  <si>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</si>
  <si>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</si>
  <si>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</si>
  <si>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</si>
  <si>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</si>
  <si>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</si>
  <si>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</si>
  <si>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</si>
  <si>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</si>
  <si>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</si>
  <si>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</si>
  <si>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</si>
  <si>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</si>
  <si>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</si>
  <si>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</si>
  <si>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</si>
  <si>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</si>
  <si>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</si>
  <si>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</si>
  <si>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</si>
  <si>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</si>
  <si>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</si>
  <si>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</si>
  <si>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</si>
  <si>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</si>
  <si>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</si>
  <si>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</si>
  <si>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</si>
  <si>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</si>
  <si>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</si>
  <si>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</si>
  <si>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</si>
  <si>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</si>
  <si>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</si>
  <si>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</si>
  <si>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</si>
  <si>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</si>
  <si>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</si>
  <si>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</si>
  <si>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</si>
  <si>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</si>
  <si>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</si>
  <si>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</si>
  <si>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</si>
  <si>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</si>
  <si>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</si>
  <si>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</si>
  <si>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</si>
  <si>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</si>
  <si>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</si>
  <si>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</si>
  <si>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</si>
  <si>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</si>
  <si>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</si>
  <si>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</si>
  <si>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</si>
  <si>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</si>
  <si>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</si>
  <si>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</si>
  <si>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</si>
  <si>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</si>
  <si>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</si>
  <si>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</si>
  <si>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</si>
  <si>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</si>
  <si>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</si>
  <si>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</si>
  <si>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</si>
  <si>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</si>
  <si>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</si>
  <si>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</si>
  <si>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</si>
  <si>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</si>
  <si>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</si>
  <si>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</si>
  <si>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</si>
  <si>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</si>
  <si>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</si>
  <si>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</si>
  <si>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</si>
  <si>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</si>
  <si>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</si>
  <si>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</si>
  <si>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</si>
  <si>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</si>
  <si>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</si>
  <si>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</si>
  <si>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</si>
  <si>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</si>
  <si>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</si>
  <si>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</si>
  <si>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</si>
  <si>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</si>
  <si>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</si>
  <si>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</si>
  <si>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</si>
  <si>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</si>
  <si>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</si>
  <si>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</si>
  <si>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</si>
  <si>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</si>
  <si>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</si>
  <si>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</si>
  <si>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</si>
  <si>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</si>
  <si>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</si>
  <si>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</si>
  <si>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</si>
  <si>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</si>
  <si>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</si>
  <si>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</si>
  <si>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</si>
  <si>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</si>
  <si>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</si>
  <si>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</si>
  <si>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</si>
  <si>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</si>
  <si>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</si>
  <si>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</si>
  <si>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</si>
  <si>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</si>
  <si>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</si>
  <si>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</si>
  <si>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</si>
  <si>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</si>
  <si>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</si>
  <si>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</si>
  <si>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</si>
  <si>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</si>
  <si>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</si>
  <si>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</si>
  <si>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</si>
  <si>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</si>
  <si>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</si>
  <si>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</si>
  <si>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</si>
  <si>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</si>
  <si>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</si>
  <si>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</si>
  <si>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</si>
  <si>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</si>
  <si>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</si>
  <si>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</si>
  <si>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</si>
  <si>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</si>
  <si>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</si>
  <si>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</si>
  <si>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</si>
  <si>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</si>
  <si>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</si>
  <si>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</si>
  <si>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</si>
  <si>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</si>
  <si>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</si>
  <si>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</si>
  <si>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</si>
  <si>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</si>
  <si>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</si>
  <si>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</si>
  <si>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</si>
  <si>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</si>
  <si>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</si>
  <si>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</si>
  <si>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</si>
  <si>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</si>
  <si>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</si>
  <si>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</si>
  <si>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</si>
  <si>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</si>
  <si>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</si>
  <si>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</si>
  <si>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</si>
  <si>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</si>
  <si>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</si>
  <si>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</si>
  <si>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</si>
  <si>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</si>
  <si>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</si>
  <si>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</si>
  <si>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</si>
  <si>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</si>
  <si>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</si>
  <si>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</si>
  <si>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</si>
  <si>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</si>
  <si>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</si>
  <si>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</si>
  <si>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</si>
  <si>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</si>
  <si>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</si>
  <si>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</si>
  <si>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</si>
  <si>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</si>
  <si>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</si>
  <si>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</si>
  <si>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</si>
  <si>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</si>
  <si>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</si>
  <si>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</si>
  <si>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</si>
  <si>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</si>
  <si>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</si>
  <si>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</si>
  <si>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</si>
  <si>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</si>
  <si>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</si>
  <si>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</si>
  <si>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</si>
  <si>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</si>
  <si>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</si>
  <si>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</si>
  <si>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</si>
  <si>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</si>
  <si>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</si>
  <si>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</si>
  <si>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</si>
  <si>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</si>
  <si>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</si>
  <si>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</si>
  <si>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</si>
  <si>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</si>
  <si>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</si>
  <si>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</si>
  <si>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</si>
  <si>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</si>
  <si>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</si>
  <si>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</si>
  <si>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</si>
  <si>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</si>
  <si>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</si>
  <si>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</si>
  <si>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</si>
  <si>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</si>
  <si>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</si>
  <si>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</si>
  <si>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</si>
  <si>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</si>
  <si>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</si>
  <si>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</si>
  <si>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</si>
  <si>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</si>
  <si>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</si>
  <si>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</si>
  <si>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</si>
  <si>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</si>
  <si>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</si>
  <si>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</si>
  <si>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</si>
  <si>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</si>
  <si>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</si>
  <si>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</si>
  <si>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</si>
  <si>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</si>
  <si>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</si>
  <si>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</si>
  <si>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</si>
  <si>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</si>
  <si>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</si>
  <si>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</si>
  <si>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</si>
  <si>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</si>
  <si>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</si>
  <si>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</si>
  <si>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</si>
  <si>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</si>
  <si>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</si>
  <si>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</si>
  <si>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</si>
  <si>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</si>
  <si>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</si>
  <si>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</si>
  <si>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</si>
  <si>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</si>
  <si>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</si>
  <si>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</si>
  <si>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</si>
  <si>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</si>
  <si>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</si>
  <si>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</si>
  <si>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</si>
  <si>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</si>
  <si>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</si>
  <si>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</si>
  <si>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</si>
  <si>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</si>
  <si>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</si>
  <si>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</si>
  <si>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</si>
  <si>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</si>
  <si>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</si>
  <si>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</si>
  <si>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</si>
  <si>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</si>
  <si>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</si>
  <si>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</si>
  <si>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</si>
  <si>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</si>
  <si>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</si>
  <si>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</si>
  <si>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</si>
  <si>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</si>
  <si>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</si>
  <si>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</si>
  <si>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</si>
  <si>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</si>
  <si>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</si>
  <si>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</si>
  <si>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</si>
  <si>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</si>
  <si>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</si>
  <si>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</si>
  <si>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</si>
  <si>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</si>
  <si>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</si>
  <si>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</si>
  <si>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</si>
  <si>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</si>
  <si>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</si>
  <si>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</si>
  <si>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</si>
  <si>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</si>
  <si>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</si>
  <si>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</si>
  <si>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</si>
  <si>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</si>
  <si>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</si>
  <si>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</si>
  <si>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</si>
  <si>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</si>
  <si>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</si>
  <si>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</si>
  <si>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</si>
  <si>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</si>
  <si>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</si>
  <si>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</si>
  <si>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</si>
  <si>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</si>
  <si>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</si>
  <si>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</si>
  <si>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</si>
  <si>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</si>
  <si>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</si>
  <si>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</si>
  <si>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</si>
  <si>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</si>
  <si>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</si>
  <si>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</si>
  <si>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</si>
  <si>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</si>
  <si>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</si>
  <si>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</si>
  <si>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</si>
  <si>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</si>
  <si>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</si>
  <si>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</si>
  <si>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</si>
  <si>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</si>
  <si>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</si>
  <si>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</si>
  <si>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</si>
  <si>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</si>
  <si>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</si>
  <si>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</si>
  <si>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</si>
  <si>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</si>
  <si>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</si>
  <si>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</si>
  <si>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</si>
  <si>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</si>
  <si>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</si>
  <si>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</si>
  <si>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</si>
  <si>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</si>
  <si>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</si>
  <si>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</si>
  <si>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</si>
  <si>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</si>
  <si>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</si>
  <si>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</si>
  <si>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</si>
  <si>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</si>
  <si>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</si>
  <si>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</si>
  <si>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</si>
  <si>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</si>
  <si>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</si>
  <si>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</si>
  <si>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</si>
  <si>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</si>
  <si>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</si>
  <si>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</si>
  <si>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</si>
  <si>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</si>
  <si>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</si>
  <si>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</si>
  <si>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</si>
  <si>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</si>
  <si>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</si>
  <si>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</si>
  <si>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</si>
  <si>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</si>
  <si>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</si>
  <si>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</si>
  <si>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</si>
  <si>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</si>
  <si>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</si>
  <si>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</si>
  <si>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</si>
  <si>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</si>
  <si>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</si>
  <si>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</si>
  <si>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</si>
  <si>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</si>
  <si>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</si>
  <si>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</si>
  <si>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</si>
  <si>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</si>
  <si>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</si>
  <si>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</si>
  <si>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</si>
  <si>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</si>
  <si>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</si>
  <si>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</si>
  <si>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</si>
  <si>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</si>
  <si>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</si>
  <si>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</si>
  <si>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</si>
  <si>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</si>
  <si>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</si>
  <si>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</si>
  <si>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</si>
  <si>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</si>
  <si>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</si>
  <si>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</si>
  <si>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</si>
  <si>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</si>
  <si>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11055</t>
  </si>
  <si>
    <t>ZOERSEL</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</si>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</sst>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11055</v>
      </c>
      <c r="B6" s="394"/>
      <c r="C6" s="395"/>
    </row>
    <row r="7" spans="1:7" s="392" customFormat="1" ht="15.75" customHeight="1">
      <c r="A7" s="396" t="str">
        <f>txtMunicipality</f>
        <v>ZOERSEL</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0.21542526031177134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0.21542526031177134</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8208</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1026</v>
      </c>
      <c r="C14" s="331"/>
      <c r="D14" s="331"/>
      <c r="E14" s="331"/>
      <c r="F14" s="331"/>
    </row>
    <row r="15" spans="1:6">
      <c r="A15" s="1290" t="s">
        <v>183</v>
      </c>
      <c r="B15" s="1291">
        <v>11</v>
      </c>
      <c r="C15" s="331"/>
      <c r="D15" s="331"/>
      <c r="E15" s="331"/>
      <c r="F15" s="331"/>
    </row>
    <row r="16" spans="1:6">
      <c r="A16" s="1290" t="s">
        <v>6</v>
      </c>
      <c r="B16" s="1291">
        <v>518</v>
      </c>
      <c r="C16" s="331"/>
      <c r="D16" s="331"/>
      <c r="E16" s="331"/>
      <c r="F16" s="331"/>
    </row>
    <row r="17" spans="1:6">
      <c r="A17" s="1290" t="s">
        <v>7</v>
      </c>
      <c r="B17" s="1291">
        <v>101</v>
      </c>
      <c r="C17" s="331"/>
      <c r="D17" s="331"/>
      <c r="E17" s="331"/>
      <c r="F17" s="331"/>
    </row>
    <row r="18" spans="1:6">
      <c r="A18" s="1290" t="s">
        <v>8</v>
      </c>
      <c r="B18" s="1291">
        <v>324</v>
      </c>
      <c r="C18" s="331"/>
      <c r="D18" s="331"/>
      <c r="E18" s="331"/>
      <c r="F18" s="331"/>
    </row>
    <row r="19" spans="1:6">
      <c r="A19" s="1290" t="s">
        <v>9</v>
      </c>
      <c r="B19" s="1291">
        <v>293</v>
      </c>
      <c r="C19" s="331"/>
      <c r="D19" s="331"/>
      <c r="E19" s="331"/>
      <c r="F19" s="331"/>
    </row>
    <row r="20" spans="1:6">
      <c r="A20" s="1290" t="s">
        <v>10</v>
      </c>
      <c r="B20" s="1291">
        <v>159</v>
      </c>
      <c r="C20" s="331"/>
      <c r="D20" s="331"/>
      <c r="E20" s="331"/>
      <c r="F20" s="331"/>
    </row>
    <row r="21" spans="1:6">
      <c r="A21" s="1290" t="s">
        <v>11</v>
      </c>
      <c r="B21" s="1291">
        <v>0</v>
      </c>
      <c r="C21" s="331"/>
      <c r="D21" s="331"/>
      <c r="E21" s="331"/>
      <c r="F21" s="331"/>
    </row>
    <row r="22" spans="1:6">
      <c r="A22" s="1290" t="s">
        <v>12</v>
      </c>
      <c r="B22" s="1291">
        <v>343</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107</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109</v>
      </c>
      <c r="C29" s="337"/>
      <c r="D29" s="337"/>
      <c r="E29" s="337"/>
      <c r="F29" s="337"/>
    </row>
    <row r="30" spans="1:6">
      <c r="A30" s="1285" t="s">
        <v>967</v>
      </c>
      <c r="B30" s="1294">
        <v>18</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2</v>
      </c>
      <c r="D38" s="1291">
        <v>403220.49751409597</v>
      </c>
      <c r="E38" s="1291">
        <v>2</v>
      </c>
      <c r="F38" s="1291">
        <v>2990.1225665289999</v>
      </c>
    </row>
    <row r="39" spans="1:6">
      <c r="A39" s="1290" t="s">
        <v>29</v>
      </c>
      <c r="B39" s="1290" t="s">
        <v>30</v>
      </c>
      <c r="C39" s="1291">
        <v>5421</v>
      </c>
      <c r="D39" s="1291">
        <v>120298760.49818499</v>
      </c>
      <c r="E39" s="1291">
        <v>7839</v>
      </c>
      <c r="F39" s="1291">
        <v>46207493.907311402</v>
      </c>
    </row>
    <row r="40" spans="1:6">
      <c r="A40" s="1290" t="s">
        <v>29</v>
      </c>
      <c r="B40" s="1290" t="s">
        <v>28</v>
      </c>
      <c r="C40" s="1291">
        <v>0</v>
      </c>
      <c r="D40" s="1291">
        <v>0</v>
      </c>
      <c r="E40" s="1291">
        <v>0</v>
      </c>
      <c r="F40" s="1291">
        <v>0</v>
      </c>
    </row>
    <row r="41" spans="1:6">
      <c r="A41" s="1290" t="s">
        <v>31</v>
      </c>
      <c r="B41" s="1290" t="s">
        <v>32</v>
      </c>
      <c r="C41" s="1291">
        <v>73</v>
      </c>
      <c r="D41" s="1291">
        <v>1765162.3546929101</v>
      </c>
      <c r="E41" s="1291">
        <v>139</v>
      </c>
      <c r="F41" s="1291">
        <v>1288955.64092663</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4</v>
      </c>
      <c r="D44" s="1291">
        <v>76914.058780479507</v>
      </c>
      <c r="E44" s="1291">
        <v>15</v>
      </c>
      <c r="F44" s="1291">
        <v>124004.348451984</v>
      </c>
    </row>
    <row r="45" spans="1:6">
      <c r="A45" s="1290" t="s">
        <v>31</v>
      </c>
      <c r="B45" s="1290" t="s">
        <v>36</v>
      </c>
      <c r="C45" s="1291">
        <v>0</v>
      </c>
      <c r="D45" s="1291">
        <v>0</v>
      </c>
      <c r="E45" s="1291">
        <v>3</v>
      </c>
      <c r="F45" s="1291">
        <v>33547.047218521599</v>
      </c>
    </row>
    <row r="46" spans="1:6">
      <c r="A46" s="1290" t="s">
        <v>31</v>
      </c>
      <c r="B46" s="1290" t="s">
        <v>37</v>
      </c>
      <c r="C46" s="1291">
        <v>0</v>
      </c>
      <c r="D46" s="1291">
        <v>0</v>
      </c>
      <c r="E46" s="1291">
        <v>0</v>
      </c>
      <c r="F46" s="1291">
        <v>0</v>
      </c>
    </row>
    <row r="47" spans="1:6">
      <c r="A47" s="1290" t="s">
        <v>31</v>
      </c>
      <c r="B47" s="1290" t="s">
        <v>38</v>
      </c>
      <c r="C47" s="1291">
        <v>3</v>
      </c>
      <c r="D47" s="1291">
        <v>54534.4821325495</v>
      </c>
      <c r="E47" s="1291">
        <v>3</v>
      </c>
      <c r="F47" s="1291">
        <v>21854.318399750198</v>
      </c>
    </row>
    <row r="48" spans="1:6">
      <c r="A48" s="1290" t="s">
        <v>31</v>
      </c>
      <c r="B48" s="1290" t="s">
        <v>28</v>
      </c>
      <c r="C48" s="1291">
        <v>24</v>
      </c>
      <c r="D48" s="1291">
        <v>712719.05866892904</v>
      </c>
      <c r="E48" s="1291">
        <v>19</v>
      </c>
      <c r="F48" s="1291">
        <v>233528.826532217</v>
      </c>
    </row>
    <row r="49" spans="1:6">
      <c r="A49" s="1290" t="s">
        <v>31</v>
      </c>
      <c r="B49" s="1290" t="s">
        <v>39</v>
      </c>
      <c r="C49" s="1291">
        <v>0</v>
      </c>
      <c r="D49" s="1291">
        <v>0</v>
      </c>
      <c r="E49" s="1291">
        <v>4</v>
      </c>
      <c r="F49" s="1291">
        <v>59128.933217095197</v>
      </c>
    </row>
    <row r="50" spans="1:6">
      <c r="A50" s="1290" t="s">
        <v>31</v>
      </c>
      <c r="B50" s="1290" t="s">
        <v>40</v>
      </c>
      <c r="C50" s="1291">
        <v>12</v>
      </c>
      <c r="D50" s="1291">
        <v>912755.43529196503</v>
      </c>
      <c r="E50" s="1291">
        <v>15</v>
      </c>
      <c r="F50" s="1291">
        <v>659868.23631017795</v>
      </c>
    </row>
    <row r="51" spans="1:6">
      <c r="A51" s="1290" t="s">
        <v>41</v>
      </c>
      <c r="B51" s="1290" t="s">
        <v>42</v>
      </c>
      <c r="C51" s="1291">
        <v>3</v>
      </c>
      <c r="D51" s="1291">
        <v>100653.845753243</v>
      </c>
      <c r="E51" s="1291">
        <v>27</v>
      </c>
      <c r="F51" s="1291">
        <v>332355.16468622797</v>
      </c>
    </row>
    <row r="52" spans="1:6">
      <c r="A52" s="1290" t="s">
        <v>41</v>
      </c>
      <c r="B52" s="1290" t="s">
        <v>28</v>
      </c>
      <c r="C52" s="1291">
        <v>6</v>
      </c>
      <c r="D52" s="1291">
        <v>912629.069688541</v>
      </c>
      <c r="E52" s="1291">
        <v>9</v>
      </c>
      <c r="F52" s="1291">
        <v>241559.55766459199</v>
      </c>
    </row>
    <row r="53" spans="1:6">
      <c r="A53" s="1290" t="s">
        <v>43</v>
      </c>
      <c r="B53" s="1290" t="s">
        <v>44</v>
      </c>
      <c r="C53" s="1291">
        <v>159</v>
      </c>
      <c r="D53" s="1291">
        <v>4183146.3964785701</v>
      </c>
      <c r="E53" s="1291">
        <v>258</v>
      </c>
      <c r="F53" s="1291">
        <v>1804242.3271917501</v>
      </c>
    </row>
    <row r="54" spans="1:6">
      <c r="A54" s="1290" t="s">
        <v>45</v>
      </c>
      <c r="B54" s="1290" t="s">
        <v>46</v>
      </c>
      <c r="C54" s="1291">
        <v>0</v>
      </c>
      <c r="D54" s="1291">
        <v>0</v>
      </c>
      <c r="E54" s="1291">
        <v>1</v>
      </c>
      <c r="F54" s="1291">
        <v>1208635</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36</v>
      </c>
      <c r="D57" s="1291">
        <v>10939494.926289201</v>
      </c>
      <c r="E57" s="1291">
        <v>76</v>
      </c>
      <c r="F57" s="1291">
        <v>982398.278003652</v>
      </c>
    </row>
    <row r="58" spans="1:6">
      <c r="A58" s="1290" t="s">
        <v>48</v>
      </c>
      <c r="B58" s="1290" t="s">
        <v>50</v>
      </c>
      <c r="C58" s="1291">
        <v>38</v>
      </c>
      <c r="D58" s="1291">
        <v>6827702.1406639302</v>
      </c>
      <c r="E58" s="1291">
        <v>46</v>
      </c>
      <c r="F58" s="1291">
        <v>8637411.7568319701</v>
      </c>
    </row>
    <row r="59" spans="1:6">
      <c r="A59" s="1290" t="s">
        <v>48</v>
      </c>
      <c r="B59" s="1290" t="s">
        <v>51</v>
      </c>
      <c r="C59" s="1291">
        <v>102</v>
      </c>
      <c r="D59" s="1291">
        <v>3340060.9817766501</v>
      </c>
      <c r="E59" s="1291">
        <v>185</v>
      </c>
      <c r="F59" s="1291">
        <v>5769662.1436189003</v>
      </c>
    </row>
    <row r="60" spans="1:6">
      <c r="A60" s="1290" t="s">
        <v>48</v>
      </c>
      <c r="B60" s="1290" t="s">
        <v>52</v>
      </c>
      <c r="C60" s="1291">
        <v>38</v>
      </c>
      <c r="D60" s="1291">
        <v>2229707.0399843901</v>
      </c>
      <c r="E60" s="1291">
        <v>50</v>
      </c>
      <c r="F60" s="1291">
        <v>2002578.85120639</v>
      </c>
    </row>
    <row r="61" spans="1:6">
      <c r="A61" s="1290" t="s">
        <v>48</v>
      </c>
      <c r="B61" s="1290" t="s">
        <v>53</v>
      </c>
      <c r="C61" s="1291">
        <v>219</v>
      </c>
      <c r="D61" s="1291">
        <v>9955027.6899143308</v>
      </c>
      <c r="E61" s="1291">
        <v>366</v>
      </c>
      <c r="F61" s="1291">
        <v>5414908.1455586599</v>
      </c>
    </row>
    <row r="62" spans="1:6">
      <c r="A62" s="1290" t="s">
        <v>48</v>
      </c>
      <c r="B62" s="1290" t="s">
        <v>54</v>
      </c>
      <c r="C62" s="1291">
        <v>4</v>
      </c>
      <c r="D62" s="1291">
        <v>454306.51819736202</v>
      </c>
      <c r="E62" s="1291">
        <v>5</v>
      </c>
      <c r="F62" s="1291">
        <v>108230.68508006701</v>
      </c>
    </row>
    <row r="63" spans="1:6">
      <c r="A63" s="1290" t="s">
        <v>48</v>
      </c>
      <c r="B63" s="1290" t="s">
        <v>28</v>
      </c>
      <c r="C63" s="1291">
        <v>92</v>
      </c>
      <c r="D63" s="1291">
        <v>5962865.1115894001</v>
      </c>
      <c r="E63" s="1291">
        <v>88</v>
      </c>
      <c r="F63" s="1291">
        <v>1844015.4017622501</v>
      </c>
    </row>
    <row r="64" spans="1:6">
      <c r="A64" s="1290" t="s">
        <v>55</v>
      </c>
      <c r="B64" s="1290" t="s">
        <v>56</v>
      </c>
      <c r="C64" s="1291">
        <v>0</v>
      </c>
      <c r="D64" s="1291">
        <v>0</v>
      </c>
      <c r="E64" s="1291">
        <v>0</v>
      </c>
      <c r="F64" s="1291">
        <v>0</v>
      </c>
    </row>
    <row r="65" spans="1:6">
      <c r="A65" s="1290" t="s">
        <v>55</v>
      </c>
      <c r="B65" s="1290" t="s">
        <v>28</v>
      </c>
      <c r="C65" s="1291">
        <v>3</v>
      </c>
      <c r="D65" s="1291">
        <v>163401.02478634601</v>
      </c>
      <c r="E65" s="1291">
        <v>2</v>
      </c>
      <c r="F65" s="1291">
        <v>23752.869380395001</v>
      </c>
    </row>
    <row r="66" spans="1:6">
      <c r="A66" s="1290" t="s">
        <v>55</v>
      </c>
      <c r="B66" s="1290" t="s">
        <v>57</v>
      </c>
      <c r="C66" s="1291">
        <v>0</v>
      </c>
      <c r="D66" s="1291">
        <v>0</v>
      </c>
      <c r="E66" s="1291">
        <v>3</v>
      </c>
      <c r="F66" s="1291">
        <v>40907.380041053497</v>
      </c>
    </row>
    <row r="67" spans="1:6">
      <c r="A67" s="1292" t="s">
        <v>55</v>
      </c>
      <c r="B67" s="1292" t="s">
        <v>58</v>
      </c>
      <c r="C67" s="1291">
        <v>0</v>
      </c>
      <c r="D67" s="1291">
        <v>0</v>
      </c>
      <c r="E67" s="1291">
        <v>0</v>
      </c>
      <c r="F67" s="1291">
        <v>0</v>
      </c>
    </row>
    <row r="68" spans="1:6">
      <c r="A68" s="1285" t="s">
        <v>55</v>
      </c>
      <c r="B68" s="1285" t="s">
        <v>59</v>
      </c>
      <c r="C68" s="1294">
        <v>5</v>
      </c>
      <c r="D68" s="1294">
        <v>193199.365479147</v>
      </c>
      <c r="E68" s="1294">
        <v>9</v>
      </c>
      <c r="F68" s="1294">
        <v>92840.058869846893</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63763534</v>
      </c>
      <c r="E73" s="455"/>
      <c r="F73" s="331"/>
    </row>
    <row r="74" spans="1:6">
      <c r="A74" s="1290" t="s">
        <v>63</v>
      </c>
      <c r="B74" s="1290" t="s">
        <v>773</v>
      </c>
      <c r="C74" s="1304" t="s">
        <v>774</v>
      </c>
      <c r="D74" s="1305">
        <v>6001631.4483678211</v>
      </c>
      <c r="E74" s="455"/>
      <c r="F74" s="331"/>
    </row>
    <row r="75" spans="1:6">
      <c r="A75" s="1290" t="s">
        <v>64</v>
      </c>
      <c r="B75" s="1290" t="s">
        <v>771</v>
      </c>
      <c r="C75" s="1304" t="s">
        <v>775</v>
      </c>
      <c r="D75" s="1305">
        <v>24823096</v>
      </c>
      <c r="E75" s="455"/>
      <c r="F75" s="331"/>
    </row>
    <row r="76" spans="1:6">
      <c r="A76" s="1290" t="s">
        <v>64</v>
      </c>
      <c r="B76" s="1290" t="s">
        <v>773</v>
      </c>
      <c r="C76" s="1304" t="s">
        <v>776</v>
      </c>
      <c r="D76" s="1305">
        <v>161145.44836782082</v>
      </c>
      <c r="E76" s="455"/>
      <c r="F76" s="331"/>
    </row>
    <row r="77" spans="1:6">
      <c r="A77" s="1290" t="s">
        <v>65</v>
      </c>
      <c r="B77" s="1290" t="s">
        <v>771</v>
      </c>
      <c r="C77" s="1304" t="s">
        <v>777</v>
      </c>
      <c r="D77" s="1305">
        <v>38793557</v>
      </c>
      <c r="E77" s="455"/>
      <c r="F77" s="331"/>
    </row>
    <row r="78" spans="1:6">
      <c r="A78" s="1285" t="s">
        <v>65</v>
      </c>
      <c r="B78" s="1285" t="s">
        <v>773</v>
      </c>
      <c r="C78" s="1285" t="s">
        <v>778</v>
      </c>
      <c r="D78" s="1306">
        <v>9328367</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566197.10326435836</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1853.0089644015711</v>
      </c>
      <c r="C91" s="331"/>
      <c r="D91" s="331"/>
      <c r="E91" s="331"/>
      <c r="F91" s="331"/>
    </row>
    <row r="92" spans="1:6">
      <c r="A92" s="1285" t="s">
        <v>68</v>
      </c>
      <c r="B92" s="1286">
        <v>135.43962824410534</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3777</v>
      </c>
      <c r="C97" s="331"/>
      <c r="D97" s="331"/>
      <c r="E97" s="331"/>
      <c r="F97" s="331"/>
    </row>
    <row r="98" spans="1:6">
      <c r="A98" s="1290" t="s">
        <v>71</v>
      </c>
      <c r="B98" s="1291">
        <v>5</v>
      </c>
      <c r="C98" s="331"/>
      <c r="D98" s="331"/>
      <c r="E98" s="331"/>
      <c r="F98" s="331"/>
    </row>
    <row r="99" spans="1:6">
      <c r="A99" s="1290" t="s">
        <v>72</v>
      </c>
      <c r="B99" s="1291">
        <v>79</v>
      </c>
      <c r="C99" s="331"/>
      <c r="D99" s="331"/>
      <c r="E99" s="331"/>
      <c r="F99" s="331"/>
    </row>
    <row r="100" spans="1:6">
      <c r="A100" s="1290" t="s">
        <v>73</v>
      </c>
      <c r="B100" s="1291">
        <v>865</v>
      </c>
      <c r="C100" s="331"/>
      <c r="D100" s="331"/>
      <c r="E100" s="331"/>
      <c r="F100" s="331"/>
    </row>
    <row r="101" spans="1:6">
      <c r="A101" s="1290" t="s">
        <v>74</v>
      </c>
      <c r="B101" s="1291">
        <v>168</v>
      </c>
      <c r="C101" s="331"/>
      <c r="D101" s="331"/>
      <c r="E101" s="331"/>
      <c r="F101" s="331"/>
    </row>
    <row r="102" spans="1:6">
      <c r="A102" s="1290" t="s">
        <v>75</v>
      </c>
      <c r="B102" s="1291">
        <v>89</v>
      </c>
      <c r="C102" s="331"/>
      <c r="D102" s="331"/>
      <c r="E102" s="331"/>
      <c r="F102" s="331"/>
    </row>
    <row r="103" spans="1:6">
      <c r="A103" s="1290" t="s">
        <v>76</v>
      </c>
      <c r="B103" s="1291">
        <v>117</v>
      </c>
      <c r="C103" s="331"/>
      <c r="D103" s="331"/>
      <c r="E103" s="331"/>
      <c r="F103" s="331"/>
    </row>
    <row r="104" spans="1:6">
      <c r="A104" s="1290" t="s">
        <v>77</v>
      </c>
      <c r="B104" s="1291">
        <v>1827</v>
      </c>
      <c r="C104" s="331"/>
      <c r="D104" s="331"/>
      <c r="E104" s="331"/>
      <c r="F104" s="331"/>
    </row>
    <row r="105" spans="1:6">
      <c r="A105" s="1285" t="s">
        <v>78</v>
      </c>
      <c r="B105" s="1294">
        <v>3</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8</v>
      </c>
      <c r="C123" s="1291">
        <v>12</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67</v>
      </c>
      <c r="C129" s="331"/>
      <c r="D129" s="331"/>
      <c r="E129" s="331"/>
      <c r="F129" s="331"/>
    </row>
    <row r="130" spans="1:6">
      <c r="A130" s="1290" t="s">
        <v>294</v>
      </c>
      <c r="B130" s="1291">
        <v>1</v>
      </c>
      <c r="C130" s="331"/>
      <c r="D130" s="331"/>
      <c r="E130" s="331"/>
      <c r="F130" s="331"/>
    </row>
    <row r="131" spans="1:6">
      <c r="A131" s="1290" t="s">
        <v>295</v>
      </c>
      <c r="B131" s="1291">
        <v>1</v>
      </c>
      <c r="C131" s="331"/>
      <c r="D131" s="331"/>
      <c r="E131" s="331"/>
      <c r="F131" s="331"/>
    </row>
    <row r="132" spans="1:6">
      <c r="A132" s="1285" t="s">
        <v>296</v>
      </c>
      <c r="B132" s="1286">
        <v>5</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78828.279623998678</v>
      </c>
      <c r="C3" s="43" t="s">
        <v>169</v>
      </c>
      <c r="D3" s="43"/>
      <c r="E3" s="156"/>
      <c r="F3" s="43"/>
      <c r="G3" s="43"/>
      <c r="H3" s="43"/>
      <c r="I3" s="43"/>
      <c r="J3" s="43"/>
      <c r="K3" s="96"/>
    </row>
    <row r="4" spans="1:11">
      <c r="A4" s="362" t="s">
        <v>170</v>
      </c>
      <c r="B4" s="49">
        <f>IF(ISERROR('SEAP template'!B78+'SEAP template'!C78),0,'SEAP template'!B78+'SEAP template'!C78)</f>
        <v>1988.4485926456764</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0.21542526031177134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1208.635</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1208.635</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0.21542526031177134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260.37050949691775</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46207.4939073114</v>
      </c>
      <c r="C5" s="17">
        <f>IF(ISERROR('Eigen informatie GS &amp; warmtenet'!B57),0,'Eigen informatie GS &amp; warmtenet'!B57)</f>
        <v>0</v>
      </c>
      <c r="D5" s="30">
        <f>(SUM(HH_hh_gas_kWh,HH_rest_gas_kWh)/1000)*0.902</f>
        <v>108509.48196936287</v>
      </c>
      <c r="E5" s="17">
        <f>B46*B57</f>
        <v>11737.156112828263</v>
      </c>
      <c r="F5" s="17">
        <f>B51*B62</f>
        <v>7861.203176303502</v>
      </c>
      <c r="G5" s="18"/>
      <c r="H5" s="17"/>
      <c r="I5" s="17"/>
      <c r="J5" s="17">
        <f>B50*B61+C50*C61</f>
        <v>0</v>
      </c>
      <c r="K5" s="17"/>
      <c r="L5" s="17"/>
      <c r="M5" s="17"/>
      <c r="N5" s="17">
        <f>B48*B59+C48*C59</f>
        <v>22190.333330501649</v>
      </c>
      <c r="O5" s="17">
        <f>B69*B70*B71</f>
        <v>123.50333333333334</v>
      </c>
      <c r="P5" s="17">
        <f>B77*B78*B79/1000-B77*B78*B79/1000/B80</f>
        <v>247.86666666666667</v>
      </c>
    </row>
    <row r="6" spans="1:16">
      <c r="A6" s="16" t="s">
        <v>631</v>
      </c>
      <c r="B6" s="776">
        <f>kWh_PV_kleiner_dan_10kW</f>
        <v>1853.0089644015711</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48060.502871712968</v>
      </c>
      <c r="C8" s="21">
        <f>C5</f>
        <v>0</v>
      </c>
      <c r="D8" s="21">
        <f>D5</f>
        <v>108509.48196936287</v>
      </c>
      <c r="E8" s="21">
        <f>E5</f>
        <v>11737.156112828263</v>
      </c>
      <c r="F8" s="21">
        <f>F5</f>
        <v>7861.203176303502</v>
      </c>
      <c r="G8" s="21"/>
      <c r="H8" s="21"/>
      <c r="I8" s="21"/>
      <c r="J8" s="21">
        <f>J5</f>
        <v>0</v>
      </c>
      <c r="K8" s="21"/>
      <c r="L8" s="21">
        <f>L5</f>
        <v>0</v>
      </c>
      <c r="M8" s="21">
        <f>M5</f>
        <v>0</v>
      </c>
      <c r="N8" s="21">
        <f>N5</f>
        <v>22190.333330501649</v>
      </c>
      <c r="O8" s="21">
        <f>O5</f>
        <v>123.50333333333334</v>
      </c>
      <c r="P8" s="21">
        <f>P5</f>
        <v>247.86666666666667</v>
      </c>
    </row>
    <row r="9" spans="1:16">
      <c r="B9" s="19"/>
      <c r="C9" s="19"/>
      <c r="D9" s="260"/>
      <c r="E9" s="19"/>
      <c r="F9" s="19"/>
      <c r="G9" s="19"/>
      <c r="H9" s="19"/>
      <c r="I9" s="19"/>
      <c r="J9" s="19"/>
      <c r="K9" s="19"/>
      <c r="L9" s="19"/>
      <c r="M9" s="19"/>
      <c r="N9" s="19"/>
      <c r="O9" s="19"/>
      <c r="P9" s="19"/>
    </row>
    <row r="10" spans="1:16">
      <c r="A10" s="24" t="s">
        <v>213</v>
      </c>
      <c r="B10" s="25">
        <f ca="1">'EF ele_warmte'!B12</f>
        <v>0.21542526031177134</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10353.4463418534</v>
      </c>
      <c r="C12" s="23">
        <f ca="1">C10*C8</f>
        <v>0</v>
      </c>
      <c r="D12" s="23">
        <f>D8*D10</f>
        <v>21918.9153578113</v>
      </c>
      <c r="E12" s="23">
        <f>E10*E8</f>
        <v>2664.3344376120158</v>
      </c>
      <c r="F12" s="23">
        <f>F10*F8</f>
        <v>2098.9412480730352</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3777</v>
      </c>
      <c r="C18" s="167" t="s">
        <v>110</v>
      </c>
      <c r="D18" s="229"/>
      <c r="E18" s="15"/>
    </row>
    <row r="19" spans="1:7">
      <c r="A19" s="172" t="s">
        <v>71</v>
      </c>
      <c r="B19" s="37">
        <f>aantalw2001_ander</f>
        <v>5</v>
      </c>
      <c r="C19" s="167" t="s">
        <v>110</v>
      </c>
      <c r="D19" s="230"/>
      <c r="E19" s="15"/>
    </row>
    <row r="20" spans="1:7">
      <c r="A20" s="172" t="s">
        <v>72</v>
      </c>
      <c r="B20" s="37">
        <f>aantalw2001_propaan</f>
        <v>79</v>
      </c>
      <c r="C20" s="168">
        <f>IF(ISERROR(B20/SUM($B$20,$B$21,$B$22)*100),0,B20/SUM($B$20,$B$21,$B$22)*100)</f>
        <v>7.1043165467625897</v>
      </c>
      <c r="D20" s="230"/>
      <c r="E20" s="15"/>
    </row>
    <row r="21" spans="1:7">
      <c r="A21" s="172" t="s">
        <v>73</v>
      </c>
      <c r="B21" s="37">
        <f>aantalw2001_elektriciteit</f>
        <v>865</v>
      </c>
      <c r="C21" s="168">
        <f>IF(ISERROR(B21/SUM($B$20,$B$21,$B$22)*100),0,B21/SUM($B$20,$B$21,$B$22)*100)</f>
        <v>77.787769784172667</v>
      </c>
      <c r="D21" s="230"/>
      <c r="E21" s="15"/>
    </row>
    <row r="22" spans="1:7">
      <c r="A22" s="172" t="s">
        <v>74</v>
      </c>
      <c r="B22" s="37">
        <f>aantalw2001_hout</f>
        <v>168</v>
      </c>
      <c r="C22" s="168">
        <f>IF(ISERROR(B22/SUM($B$20,$B$21,$B$22)*100),0,B22/SUM($B$20,$B$21,$B$22)*100)</f>
        <v>15.107913669064748</v>
      </c>
      <c r="D22" s="230"/>
      <c r="E22" s="15"/>
    </row>
    <row r="23" spans="1:7">
      <c r="A23" s="172" t="s">
        <v>75</v>
      </c>
      <c r="B23" s="37">
        <f>aantalw2001_niet_gespec</f>
        <v>89</v>
      </c>
      <c r="C23" s="167" t="s">
        <v>110</v>
      </c>
      <c r="D23" s="229"/>
      <c r="E23" s="15"/>
    </row>
    <row r="24" spans="1:7">
      <c r="A24" s="172" t="s">
        <v>76</v>
      </c>
      <c r="B24" s="37">
        <f>aantalw2001_steenkool</f>
        <v>117</v>
      </c>
      <c r="C24" s="167" t="s">
        <v>110</v>
      </c>
      <c r="D24" s="230"/>
      <c r="E24" s="15"/>
    </row>
    <row r="25" spans="1:7">
      <c r="A25" s="172" t="s">
        <v>77</v>
      </c>
      <c r="B25" s="37">
        <f>aantalw2001_stookolie</f>
        <v>1827</v>
      </c>
      <c r="C25" s="167" t="s">
        <v>110</v>
      </c>
      <c r="D25" s="229"/>
      <c r="E25" s="52"/>
    </row>
    <row r="26" spans="1:7">
      <c r="A26" s="172" t="s">
        <v>78</v>
      </c>
      <c r="B26" s="37">
        <f>aantalw2001_WP</f>
        <v>3</v>
      </c>
      <c r="C26" s="167" t="s">
        <v>110</v>
      </c>
      <c r="D26" s="229"/>
      <c r="E26" s="15"/>
    </row>
    <row r="27" spans="1:7" s="15" customFormat="1">
      <c r="A27" s="172"/>
      <c r="B27" s="29"/>
      <c r="C27" s="36"/>
      <c r="D27" s="229"/>
    </row>
    <row r="28" spans="1:7" s="15" customFormat="1">
      <c r="A28" s="231" t="s">
        <v>711</v>
      </c>
      <c r="B28" s="37">
        <f>aantalHuishoudens</f>
        <v>8208</v>
      </c>
      <c r="C28" s="36"/>
      <c r="D28" s="229"/>
    </row>
    <row r="29" spans="1:7" s="15" customFormat="1">
      <c r="A29" s="231" t="s">
        <v>712</v>
      </c>
      <c r="B29" s="37">
        <f>SUM(HH_hh_gas_aantal,HH_rest_gas_aantal)</f>
        <v>5421</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5421</v>
      </c>
      <c r="C32" s="168">
        <f>IF(ISERROR(B32/SUM($B$32,$B$34,$B$35,$B$36,$B$38,$B$39)*100),0,B32/SUM($B$32,$B$34,$B$35,$B$36,$B$38,$B$39)*100)</f>
        <v>66.150091519219032</v>
      </c>
      <c r="D32" s="234"/>
      <c r="G32" s="15"/>
    </row>
    <row r="33" spans="1:7">
      <c r="A33" s="172" t="s">
        <v>71</v>
      </c>
      <c r="B33" s="34" t="s">
        <v>110</v>
      </c>
      <c r="C33" s="168"/>
      <c r="D33" s="234"/>
      <c r="G33" s="15"/>
    </row>
    <row r="34" spans="1:7">
      <c r="A34" s="172" t="s">
        <v>72</v>
      </c>
      <c r="B34" s="33">
        <f>IF((($B$28-$B$32-$B$39-$B$77-$B$38)*C20/100)&lt;0,0,($B$28-$B$32-$B$39-$B$77-$B$38)*C20/100)</f>
        <v>172.39334532374102</v>
      </c>
      <c r="C34" s="168">
        <f>IF(ISERROR(B34/SUM($B$32,$B$34,$B$35,$B$36,$B$38,$B$39)*100),0,B34/SUM($B$32,$B$34,$B$35,$B$36,$B$38,$B$39)*100)</f>
        <v>2.1036405774709093</v>
      </c>
      <c r="D34" s="234"/>
      <c r="G34" s="15"/>
    </row>
    <row r="35" spans="1:7">
      <c r="A35" s="172" t="s">
        <v>73</v>
      </c>
      <c r="B35" s="33">
        <f>IF((($B$28-$B$32-$B$39-$B$77-$B$38)*C21/100)&lt;0,0,($B$28-$B$32-$B$39-$B$77-$B$38)*C21/100)</f>
        <v>1887.5980215827344</v>
      </c>
      <c r="C35" s="168">
        <f>IF(ISERROR(B35/SUM($B$32,$B$34,$B$35,$B$36,$B$38,$B$39)*100),0,B35/SUM($B$32,$B$34,$B$35,$B$36,$B$38,$B$39)*100)</f>
        <v>23.033532905219456</v>
      </c>
      <c r="D35" s="234"/>
      <c r="G35" s="15"/>
    </row>
    <row r="36" spans="1:7">
      <c r="A36" s="172" t="s">
        <v>74</v>
      </c>
      <c r="B36" s="33">
        <f>IF((($B$28-$B$32-$B$39-$B$77-$B$38)*C22/100)&lt;0,0,($B$28-$B$32-$B$39-$B$77-$B$38)*C22/100)</f>
        <v>366.60863309352521</v>
      </c>
      <c r="C36" s="168">
        <f>IF(ISERROR(B36/SUM($B$32,$B$34,$B$35,$B$36,$B$38,$B$39)*100),0,B36/SUM($B$32,$B$34,$B$35,$B$36,$B$38,$B$39)*100)</f>
        <v>4.4735647723431997</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347.39999999999986</v>
      </c>
      <c r="C39" s="168">
        <f>IF(ISERROR(B39/SUM($B$32,$B$34,$B$35,$B$36,$B$38,$B$39)*100),0,B39/SUM($B$32,$B$34,$B$35,$B$36,$B$38,$B$39)*100)</f>
        <v>4.2391702257474053</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5421</v>
      </c>
      <c r="C44" s="34" t="s">
        <v>110</v>
      </c>
      <c r="D44" s="175"/>
    </row>
    <row r="45" spans="1:7">
      <c r="A45" s="172" t="s">
        <v>71</v>
      </c>
      <c r="B45" s="33" t="str">
        <f t="shared" si="0"/>
        <v>-</v>
      </c>
      <c r="C45" s="34" t="s">
        <v>110</v>
      </c>
      <c r="D45" s="175"/>
    </row>
    <row r="46" spans="1:7">
      <c r="A46" s="172" t="s">
        <v>72</v>
      </c>
      <c r="B46" s="33">
        <f t="shared" si="0"/>
        <v>172.39334532374102</v>
      </c>
      <c r="C46" s="34" t="s">
        <v>110</v>
      </c>
      <c r="D46" s="175"/>
    </row>
    <row r="47" spans="1:7">
      <c r="A47" s="172" t="s">
        <v>73</v>
      </c>
      <c r="B47" s="33">
        <f t="shared" si="0"/>
        <v>1887.5980215827344</v>
      </c>
      <c r="C47" s="34" t="s">
        <v>110</v>
      </c>
      <c r="D47" s="175"/>
    </row>
    <row r="48" spans="1:7">
      <c r="A48" s="172" t="s">
        <v>74</v>
      </c>
      <c r="B48" s="33">
        <f t="shared" si="0"/>
        <v>366.60863309352521</v>
      </c>
      <c r="C48" s="33">
        <f>B48*10</f>
        <v>3666.0863309352521</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347.39999999999986</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79</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13</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24759.205262061892</v>
      </c>
      <c r="C5" s="17">
        <f>IF(ISERROR('Eigen informatie GS &amp; warmtenet'!B58),0,'Eigen informatie GS &amp; warmtenet'!B58)</f>
        <v>0</v>
      </c>
      <c r="D5" s="30">
        <f>SUM(D6:D12)</f>
        <v>35817.666296390569</v>
      </c>
      <c r="E5" s="17">
        <f>SUM(E6:E12)</f>
        <v>381.33606477568412</v>
      </c>
      <c r="F5" s="17">
        <f>SUM(F6:F12)</f>
        <v>4889.3659147829967</v>
      </c>
      <c r="G5" s="18"/>
      <c r="H5" s="17"/>
      <c r="I5" s="17"/>
      <c r="J5" s="17">
        <f>SUM(J6:J12)</f>
        <v>0</v>
      </c>
      <c r="K5" s="17"/>
      <c r="L5" s="17"/>
      <c r="M5" s="17"/>
      <c r="N5" s="17">
        <f>SUM(N6:N12)</f>
        <v>398.24456036397504</v>
      </c>
      <c r="O5" s="17">
        <f>B38*B39*B40</f>
        <v>1.5633333333333335</v>
      </c>
      <c r="P5" s="17">
        <f>B46*B47*B48/1000-B46*B47*B48/1000/B49</f>
        <v>19.066666666666666</v>
      </c>
      <c r="R5" s="32"/>
    </row>
    <row r="6" spans="1:18">
      <c r="A6" s="32" t="s">
        <v>53</v>
      </c>
      <c r="B6" s="37">
        <f>B26</f>
        <v>5414.9081455586602</v>
      </c>
      <c r="C6" s="33"/>
      <c r="D6" s="37">
        <f>IF(ISERROR(TER_kantoor_gas_kWh/1000),0,TER_kantoor_gas_kWh/1000)*0.902</f>
        <v>8979.4349763027258</v>
      </c>
      <c r="E6" s="33">
        <f>$C$26*'E Balans VL '!I12/100/3.6*1000000</f>
        <v>189.54308597125083</v>
      </c>
      <c r="F6" s="33">
        <f>$C$26*('E Balans VL '!L12+'E Balans VL '!N12)/100/3.6*1000000</f>
        <v>821.01633180536442</v>
      </c>
      <c r="G6" s="34"/>
      <c r="H6" s="33"/>
      <c r="I6" s="33"/>
      <c r="J6" s="33">
        <f>$C$26*('E Balans VL '!D12+'E Balans VL '!E12)/100/3.6*1000000</f>
        <v>0</v>
      </c>
      <c r="K6" s="33"/>
      <c r="L6" s="33"/>
      <c r="M6" s="33"/>
      <c r="N6" s="33">
        <f>$C$26*'E Balans VL '!Y12/100/3.6*1000000</f>
        <v>41.855545145562417</v>
      </c>
      <c r="O6" s="33"/>
      <c r="P6" s="33"/>
      <c r="R6" s="32"/>
    </row>
    <row r="7" spans="1:18">
      <c r="A7" s="32" t="s">
        <v>52</v>
      </c>
      <c r="B7" s="37">
        <f t="shared" ref="B7:B12" si="0">B27</f>
        <v>2002.57885120639</v>
      </c>
      <c r="C7" s="33"/>
      <c r="D7" s="37">
        <f>IF(ISERROR(TER_horeca_gas_kWh/1000),0,TER_horeca_gas_kWh/1000)*0.902</f>
        <v>2011.19575006592</v>
      </c>
      <c r="E7" s="33">
        <f>$C$27*'E Balans VL '!I9/100/3.6*1000000</f>
        <v>112.97207502178996</v>
      </c>
      <c r="F7" s="33">
        <f>$C$27*('E Balans VL '!L9+'E Balans VL '!N9)/100/3.6*1000000</f>
        <v>348.8603182938071</v>
      </c>
      <c r="G7" s="34"/>
      <c r="H7" s="33"/>
      <c r="I7" s="33"/>
      <c r="J7" s="33">
        <f>$C$27*('E Balans VL '!D9+'E Balans VL '!E9)/100/3.6*1000000</f>
        <v>0</v>
      </c>
      <c r="K7" s="33"/>
      <c r="L7" s="33"/>
      <c r="M7" s="33"/>
      <c r="N7" s="33">
        <f>$C$27*'E Balans VL '!Y9/100/3.6*1000000</f>
        <v>0</v>
      </c>
      <c r="O7" s="33"/>
      <c r="P7" s="33"/>
      <c r="R7" s="32"/>
    </row>
    <row r="8" spans="1:18">
      <c r="A8" s="6" t="s">
        <v>51</v>
      </c>
      <c r="B8" s="37">
        <f t="shared" si="0"/>
        <v>5769.6621436189007</v>
      </c>
      <c r="C8" s="33"/>
      <c r="D8" s="37">
        <f>IF(ISERROR(TER_handel_gas_kWh/1000),0,TER_handel_gas_kWh/1000)*0.902</f>
        <v>3012.7350055625384</v>
      </c>
      <c r="E8" s="33">
        <f>$C$28*'E Balans VL '!I13/100/3.6*1000000</f>
        <v>29.620859256167364</v>
      </c>
      <c r="F8" s="33">
        <f>$C$28*('E Balans VL '!L13+'E Balans VL '!N13)/100/3.6*1000000</f>
        <v>889.59275211422425</v>
      </c>
      <c r="G8" s="34"/>
      <c r="H8" s="33"/>
      <c r="I8" s="33"/>
      <c r="J8" s="33">
        <f>$C$28*('E Balans VL '!D13+'E Balans VL '!E13)/100/3.6*1000000</f>
        <v>0</v>
      </c>
      <c r="K8" s="33"/>
      <c r="L8" s="33"/>
      <c r="M8" s="33"/>
      <c r="N8" s="33">
        <f>$C$28*'E Balans VL '!Y13/100/3.6*1000000</f>
        <v>2.6985414127769234</v>
      </c>
      <c r="O8" s="33"/>
      <c r="P8" s="33"/>
      <c r="R8" s="32"/>
    </row>
    <row r="9" spans="1:18">
      <c r="A9" s="32" t="s">
        <v>50</v>
      </c>
      <c r="B9" s="37">
        <f t="shared" si="0"/>
        <v>8637.4117568319707</v>
      </c>
      <c r="C9" s="33"/>
      <c r="D9" s="37">
        <f>IF(ISERROR(TER_gezond_gas_kWh/1000),0,TER_gezond_gas_kWh/1000)*0.902</f>
        <v>6158.5873308788659</v>
      </c>
      <c r="E9" s="33">
        <f>$C$29*'E Balans VL '!I10/100/3.6*1000000</f>
        <v>3.5801456597649484</v>
      </c>
      <c r="F9" s="33">
        <f>$C$29*('E Balans VL '!L10+'E Balans VL '!N10)/100/3.6*1000000</f>
        <v>2127.2706386988543</v>
      </c>
      <c r="G9" s="34"/>
      <c r="H9" s="33"/>
      <c r="I9" s="33"/>
      <c r="J9" s="33">
        <f>$C$29*('E Balans VL '!D10+'E Balans VL '!E10)/100/3.6*1000000</f>
        <v>0</v>
      </c>
      <c r="K9" s="33"/>
      <c r="L9" s="33"/>
      <c r="M9" s="33"/>
      <c r="N9" s="33">
        <f>$C$29*'E Balans VL '!Y10/100/3.6*1000000</f>
        <v>74.648616253820734</v>
      </c>
      <c r="O9" s="33"/>
      <c r="P9" s="33"/>
      <c r="R9" s="32"/>
    </row>
    <row r="10" spans="1:18">
      <c r="A10" s="32" t="s">
        <v>49</v>
      </c>
      <c r="B10" s="37">
        <f t="shared" si="0"/>
        <v>982.39827800365197</v>
      </c>
      <c r="C10" s="33"/>
      <c r="D10" s="37">
        <f>IF(ISERROR(TER_ander_gas_kWh/1000),0,TER_ander_gas_kWh/1000)*0.902</f>
        <v>9867.424423512859</v>
      </c>
      <c r="E10" s="33">
        <f>$C$30*'E Balans VL '!I14/100/3.6*1000000</f>
        <v>5.9887241411257524</v>
      </c>
      <c r="F10" s="33">
        <f>$C$30*('E Balans VL '!L14+'E Balans VL '!N14)/100/3.6*1000000</f>
        <v>260.44724082864553</v>
      </c>
      <c r="G10" s="34"/>
      <c r="H10" s="33"/>
      <c r="I10" s="33"/>
      <c r="J10" s="33">
        <f>$C$30*('E Balans VL '!D14+'E Balans VL '!E14)/100/3.6*1000000</f>
        <v>0</v>
      </c>
      <c r="K10" s="33"/>
      <c r="L10" s="33"/>
      <c r="M10" s="33"/>
      <c r="N10" s="33">
        <f>$C$30*'E Balans VL '!Y14/100/3.6*1000000</f>
        <v>226.42157501552919</v>
      </c>
      <c r="O10" s="33"/>
      <c r="P10" s="33"/>
      <c r="R10" s="32"/>
    </row>
    <row r="11" spans="1:18">
      <c r="A11" s="32" t="s">
        <v>54</v>
      </c>
      <c r="B11" s="37">
        <f t="shared" si="0"/>
        <v>108.230685080067</v>
      </c>
      <c r="C11" s="33"/>
      <c r="D11" s="37">
        <f>IF(ISERROR(TER_onderwijs_gas_kWh/1000),0,TER_onderwijs_gas_kWh/1000)*0.902</f>
        <v>409.78447941402055</v>
      </c>
      <c r="E11" s="33">
        <f>$C$31*'E Balans VL '!I11/100/3.6*1000000</f>
        <v>8.2477417662319877E-2</v>
      </c>
      <c r="F11" s="33">
        <f>$C$31*('E Balans VL '!L11+'E Balans VL '!N11)/100/3.6*1000000</f>
        <v>78.321655012266888</v>
      </c>
      <c r="G11" s="34"/>
      <c r="H11" s="33"/>
      <c r="I11" s="33"/>
      <c r="J11" s="33">
        <f>$C$31*('E Balans VL '!D11+'E Balans VL '!E11)/100/3.6*1000000</f>
        <v>0</v>
      </c>
      <c r="K11" s="33"/>
      <c r="L11" s="33"/>
      <c r="M11" s="33"/>
      <c r="N11" s="33">
        <f>$C$31*'E Balans VL '!Y11/100/3.6*1000000</f>
        <v>0.31898169559335016</v>
      </c>
      <c r="O11" s="33"/>
      <c r="P11" s="33"/>
      <c r="R11" s="32"/>
    </row>
    <row r="12" spans="1:18">
      <c r="A12" s="32" t="s">
        <v>259</v>
      </c>
      <c r="B12" s="37">
        <f t="shared" si="0"/>
        <v>1844.0154017622501</v>
      </c>
      <c r="C12" s="33"/>
      <c r="D12" s="37">
        <f>IF(ISERROR(TER_rest_gas_kWh/1000),0,TER_rest_gas_kWh/1000)*0.902</f>
        <v>5378.504330653639</v>
      </c>
      <c r="E12" s="33">
        <f>$C$32*'E Balans VL '!I8/100/3.6*1000000</f>
        <v>39.548697307922936</v>
      </c>
      <c r="F12" s="33">
        <f>$C$32*('E Balans VL '!L8+'E Balans VL '!N8)/100/3.6*1000000</f>
        <v>363.85697802983356</v>
      </c>
      <c r="G12" s="34"/>
      <c r="H12" s="33"/>
      <c r="I12" s="33"/>
      <c r="J12" s="33">
        <f>$C$32*('E Balans VL '!D8+'E Balans VL '!E8)/100/3.6*1000000</f>
        <v>0</v>
      </c>
      <c r="K12" s="33"/>
      <c r="L12" s="33"/>
      <c r="M12" s="33"/>
      <c r="N12" s="33">
        <f>$C$32*'E Balans VL '!Y8/100/3.6*1000000</f>
        <v>52.301300840692441</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24759.205262061892</v>
      </c>
      <c r="C16" s="21">
        <f ca="1">C5+C13+C14</f>
        <v>0</v>
      </c>
      <c r="D16" s="21">
        <f t="shared" ref="D16:N16" ca="1" si="1">MAX((D5+D13+D14),0)</f>
        <v>35817.666296390569</v>
      </c>
      <c r="E16" s="21">
        <f t="shared" si="1"/>
        <v>381.33606477568412</v>
      </c>
      <c r="F16" s="21">
        <f t="shared" ca="1" si="1"/>
        <v>4889.3659147829967</v>
      </c>
      <c r="G16" s="21">
        <f t="shared" si="1"/>
        <v>0</v>
      </c>
      <c r="H16" s="21">
        <f t="shared" si="1"/>
        <v>0</v>
      </c>
      <c r="I16" s="21">
        <f t="shared" si="1"/>
        <v>0</v>
      </c>
      <c r="J16" s="21">
        <f t="shared" si="1"/>
        <v>0</v>
      </c>
      <c r="K16" s="21">
        <f t="shared" si="1"/>
        <v>0</v>
      </c>
      <c r="L16" s="21">
        <f t="shared" ca="1" si="1"/>
        <v>0</v>
      </c>
      <c r="M16" s="21">
        <f t="shared" si="1"/>
        <v>0</v>
      </c>
      <c r="N16" s="21">
        <f t="shared" ca="1" si="1"/>
        <v>398.24456036397504</v>
      </c>
      <c r="O16" s="21">
        <f>O5</f>
        <v>1.5633333333333335</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0.21542526031177134</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5333.7582386922622</v>
      </c>
      <c r="C20" s="23">
        <f t="shared" ref="C20:P20" ca="1" si="2">C16*C18</f>
        <v>0</v>
      </c>
      <c r="D20" s="23">
        <f t="shared" ca="1" si="2"/>
        <v>7235.1685918708954</v>
      </c>
      <c r="E20" s="23">
        <f t="shared" si="2"/>
        <v>86.563286704080298</v>
      </c>
      <c r="F20" s="23">
        <f t="shared" ca="1" si="2"/>
        <v>1305.4606992470601</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5414.9081455586602</v>
      </c>
      <c r="C26" s="39">
        <f>IF(ISERROR(B26*3.6/1000000/'E Balans VL '!Z12*100),0,B26*3.6/1000000/'E Balans VL '!Z12*100)</f>
        <v>0.11394776197406506</v>
      </c>
      <c r="D26" s="238" t="s">
        <v>718</v>
      </c>
      <c r="F26" s="6"/>
    </row>
    <row r="27" spans="1:18">
      <c r="A27" s="232" t="s">
        <v>52</v>
      </c>
      <c r="B27" s="33">
        <f>IF(ISERROR(TER_horeca_ele_kWh/1000),0,TER_horeca_ele_kWh/1000)</f>
        <v>2002.57885120639</v>
      </c>
      <c r="C27" s="39">
        <f>IF(ISERROR(B27*3.6/1000000/'E Balans VL '!Z9*100),0,B27*3.6/1000000/'E Balans VL '!Z9*100)</f>
        <v>0.16955272413718447</v>
      </c>
      <c r="D27" s="238" t="s">
        <v>718</v>
      </c>
      <c r="F27" s="6"/>
    </row>
    <row r="28" spans="1:18">
      <c r="A28" s="172" t="s">
        <v>51</v>
      </c>
      <c r="B28" s="33">
        <f>IF(ISERROR(TER_handel_ele_kWh/1000),0,TER_handel_ele_kWh/1000)</f>
        <v>5769.6621436189007</v>
      </c>
      <c r="C28" s="39">
        <f>IF(ISERROR(B28*3.6/1000000/'E Balans VL '!Z13*100),0,B28*3.6/1000000/'E Balans VL '!Z13*100)</f>
        <v>0.15973229862271399</v>
      </c>
      <c r="D28" s="238" t="s">
        <v>718</v>
      </c>
      <c r="F28" s="6"/>
    </row>
    <row r="29" spans="1:18">
      <c r="A29" s="232" t="s">
        <v>50</v>
      </c>
      <c r="B29" s="33">
        <f>IF(ISERROR(TER_gezond_ele_kWh/1000),0,TER_gezond_ele_kWh/1000)</f>
        <v>8637.4117568319707</v>
      </c>
      <c r="C29" s="39">
        <f>IF(ISERROR(B29*3.6/1000000/'E Balans VL '!Z10*100),0,B29*3.6/1000000/'E Balans VL '!Z10*100)</f>
        <v>1.1227677715145647</v>
      </c>
      <c r="D29" s="238" t="s">
        <v>718</v>
      </c>
      <c r="F29" s="6"/>
    </row>
    <row r="30" spans="1:18">
      <c r="A30" s="232" t="s">
        <v>49</v>
      </c>
      <c r="B30" s="33">
        <f>IF(ISERROR(TER_ander_ele_kWh/1000),0,TER_ander_ele_kWh/1000)</f>
        <v>982.39827800365197</v>
      </c>
      <c r="C30" s="39">
        <f>IF(ISERROR(B30*3.6/1000000/'E Balans VL '!Z14*100),0,B30*3.6/1000000/'E Balans VL '!Z14*100)</f>
        <v>7.6144875825720423E-2</v>
      </c>
      <c r="D30" s="238" t="s">
        <v>718</v>
      </c>
      <c r="F30" s="6"/>
    </row>
    <row r="31" spans="1:18">
      <c r="A31" s="232" t="s">
        <v>54</v>
      </c>
      <c r="B31" s="33">
        <f>IF(ISERROR(TER_onderwijs_ele_kWh/1000),0,TER_onderwijs_ele_kWh/1000)</f>
        <v>108.230685080067</v>
      </c>
      <c r="C31" s="39">
        <f>IF(ISERROR(B31*3.6/1000000/'E Balans VL '!Z11*100),0,B31*3.6/1000000/'E Balans VL '!Z11*100)</f>
        <v>2.0706374267663107E-2</v>
      </c>
      <c r="D31" s="238" t="s">
        <v>718</v>
      </c>
    </row>
    <row r="32" spans="1:18">
      <c r="A32" s="232" t="s">
        <v>259</v>
      </c>
      <c r="B32" s="33">
        <f>IF(ISERROR(TER_rest_ele_kWh/1000),0,TER_rest_ele_kWh/1000)</f>
        <v>1844.0154017622501</v>
      </c>
      <c r="C32" s="39">
        <f>IF(ISERROR(B32*3.6/1000000/'E Balans VL '!Z8*100),0,B32*3.6/1000000/'E Balans VL '!Z8*100)</f>
        <v>1.5205323035655629E-2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1</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1</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2420.8873510563758</v>
      </c>
      <c r="C5" s="17">
        <f>IF(ISERROR('Eigen informatie GS &amp; warmtenet'!B59),0,'Eigen informatie GS &amp; warmtenet'!B59)</f>
        <v>0</v>
      </c>
      <c r="D5" s="30">
        <f>SUM(D6:D15)</f>
        <v>3176.9210213892834</v>
      </c>
      <c r="E5" s="17">
        <f>SUM(E6:E15)</f>
        <v>32.288184522224157</v>
      </c>
      <c r="F5" s="17">
        <f>SUM(F6:F15)</f>
        <v>1183.8577985493735</v>
      </c>
      <c r="G5" s="18"/>
      <c r="H5" s="17"/>
      <c r="I5" s="17"/>
      <c r="J5" s="17">
        <f>SUM(J6:J15)</f>
        <v>7.1554981904849377</v>
      </c>
      <c r="K5" s="17"/>
      <c r="L5" s="17"/>
      <c r="M5" s="17"/>
      <c r="N5" s="17">
        <f>SUM(N6:N15)</f>
        <v>110.27242569623382</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124.004348451984</v>
      </c>
      <c r="C8" s="33"/>
      <c r="D8" s="37">
        <f>IF( ISERROR(IND_metaal_Gas_kWH/1000),0,IND_metaal_Gas_kWH/1000)*0.902</f>
        <v>69.376481019992511</v>
      </c>
      <c r="E8" s="33">
        <f>C30*'E Balans VL '!I18/100/3.6*1000000</f>
        <v>0.87135119625367685</v>
      </c>
      <c r="F8" s="33">
        <f>C30*'E Balans VL '!L18/100/3.6*1000000+C30*'E Balans VL '!N18/100/3.6*1000000</f>
        <v>13.614951963179806</v>
      </c>
      <c r="G8" s="34"/>
      <c r="H8" s="33"/>
      <c r="I8" s="33"/>
      <c r="J8" s="40">
        <f>C30*'E Balans VL '!D18/100/3.6*1000000+C30*'E Balans VL '!E18/100/3.6*1000000</f>
        <v>2.5584769865168262</v>
      </c>
      <c r="K8" s="33"/>
      <c r="L8" s="33"/>
      <c r="M8" s="33"/>
      <c r="N8" s="33">
        <f>C30*'E Balans VL '!Y18/100/3.6*1000000</f>
        <v>0.46477722878163225</v>
      </c>
      <c r="O8" s="33"/>
      <c r="P8" s="33"/>
      <c r="R8" s="32"/>
    </row>
    <row r="9" spans="1:18">
      <c r="A9" s="6" t="s">
        <v>32</v>
      </c>
      <c r="B9" s="37">
        <f t="shared" si="0"/>
        <v>1288.9556409266299</v>
      </c>
      <c r="C9" s="33"/>
      <c r="D9" s="37">
        <f>IF( ISERROR(IND_andere_gas_kWh/1000),0,IND_andere_gas_kWh/1000)*0.902</f>
        <v>1592.176443933005</v>
      </c>
      <c r="E9" s="33">
        <f>C31*'E Balans VL '!I19/100/3.6*1000000</f>
        <v>21.649589010438223</v>
      </c>
      <c r="F9" s="33">
        <f>C31*'E Balans VL '!L19/100/3.6*1000000+C31*'E Balans VL '!N19/100/3.6*1000000</f>
        <v>1007.6321066447352</v>
      </c>
      <c r="G9" s="34"/>
      <c r="H9" s="33"/>
      <c r="I9" s="33"/>
      <c r="J9" s="40">
        <f>C31*'E Balans VL '!D19/100/3.6*1000000+C31*'E Balans VL '!E19/100/3.6*1000000</f>
        <v>0.11625242070400288</v>
      </c>
      <c r="K9" s="33"/>
      <c r="L9" s="33"/>
      <c r="M9" s="33"/>
      <c r="N9" s="33">
        <f>C31*'E Balans VL '!Y19/100/3.6*1000000</f>
        <v>95.532292465357685</v>
      </c>
      <c r="O9" s="33"/>
      <c r="P9" s="33"/>
      <c r="R9" s="32"/>
    </row>
    <row r="10" spans="1:18">
      <c r="A10" s="6" t="s">
        <v>40</v>
      </c>
      <c r="B10" s="37">
        <f t="shared" si="0"/>
        <v>659.86823631017796</v>
      </c>
      <c r="C10" s="33"/>
      <c r="D10" s="37">
        <f>IF( ISERROR(IND_voed_gas_kWh/1000),0,IND_voed_gas_kWh/1000)*0.902</f>
        <v>823.3054026333524</v>
      </c>
      <c r="E10" s="33">
        <f>C32*'E Balans VL '!I20/100/3.6*1000000</f>
        <v>6.0203635798616491</v>
      </c>
      <c r="F10" s="33">
        <f>C32*'E Balans VL '!L20/100/3.6*1000000+C32*'E Balans VL '!N20/100/3.6*1000000</f>
        <v>106.45738598739965</v>
      </c>
      <c r="G10" s="34"/>
      <c r="H10" s="33"/>
      <c r="I10" s="33"/>
      <c r="J10" s="40">
        <f>C32*'E Balans VL '!D20/100/3.6*1000000+C32*'E Balans VL '!E20/100/3.6*1000000</f>
        <v>2.7177700276825556</v>
      </c>
      <c r="K10" s="33"/>
      <c r="L10" s="33"/>
      <c r="M10" s="33"/>
      <c r="N10" s="33">
        <f>C32*'E Balans VL '!Y20/100/3.6*1000000</f>
        <v>9.6533519765102174</v>
      </c>
      <c r="O10" s="33"/>
      <c r="P10" s="33"/>
      <c r="R10" s="32"/>
    </row>
    <row r="11" spans="1:18">
      <c r="A11" s="6" t="s">
        <v>39</v>
      </c>
      <c r="B11" s="37">
        <f t="shared" si="0"/>
        <v>59.128933217095195</v>
      </c>
      <c r="C11" s="33"/>
      <c r="D11" s="37">
        <f>IF( ISERROR(IND_textiel_gas_kWh/1000),0,IND_textiel_gas_kWh/1000)*0.902</f>
        <v>0</v>
      </c>
      <c r="E11" s="33">
        <f>C33*'E Balans VL '!I21/100/3.6*1000000</f>
        <v>0.1348621287200196</v>
      </c>
      <c r="F11" s="33">
        <f>C33*'E Balans VL '!L21/100/3.6*1000000+C33*'E Balans VL '!N21/100/3.6*1000000</f>
        <v>1.2639357893538985</v>
      </c>
      <c r="G11" s="34"/>
      <c r="H11" s="33"/>
      <c r="I11" s="33"/>
      <c r="J11" s="40">
        <f>C33*'E Balans VL '!D21/100/3.6*1000000+C33*'E Balans VL '!E21/100/3.6*1000000</f>
        <v>0</v>
      </c>
      <c r="K11" s="33"/>
      <c r="L11" s="33"/>
      <c r="M11" s="33"/>
      <c r="N11" s="33">
        <f>C33*'E Balans VL '!Y21/100/3.6*1000000</f>
        <v>0.41945267518454749</v>
      </c>
      <c r="O11" s="33"/>
      <c r="P11" s="33"/>
      <c r="R11" s="32"/>
    </row>
    <row r="12" spans="1:18">
      <c r="A12" s="6" t="s">
        <v>36</v>
      </c>
      <c r="B12" s="37">
        <f t="shared" si="0"/>
        <v>33.547047218521598</v>
      </c>
      <c r="C12" s="33"/>
      <c r="D12" s="37">
        <f>IF( ISERROR(IND_min_gas_kWh/1000),0,IND_min_gas_kWh/1000)*0.902</f>
        <v>0</v>
      </c>
      <c r="E12" s="33">
        <f>C34*'E Balans VL '!I22/100/3.6*1000000</f>
        <v>0.83207583409070118</v>
      </c>
      <c r="F12" s="33">
        <f>C34*'E Balans VL '!L22/100/3.6*1000000+C34*'E Balans VL '!N22/100/3.6*1000000</f>
        <v>3.5646949798195826</v>
      </c>
      <c r="G12" s="34"/>
      <c r="H12" s="33"/>
      <c r="I12" s="33"/>
      <c r="J12" s="40">
        <f>C34*'E Balans VL '!D22/100/3.6*1000000+C34*'E Balans VL '!E22/100/3.6*1000000</f>
        <v>0.1905669123405041</v>
      </c>
      <c r="K12" s="33"/>
      <c r="L12" s="33"/>
      <c r="M12" s="33"/>
      <c r="N12" s="33">
        <f>C34*'E Balans VL '!Y22/100/3.6*1000000</f>
        <v>0</v>
      </c>
      <c r="O12" s="33"/>
      <c r="P12" s="33"/>
      <c r="R12" s="32"/>
    </row>
    <row r="13" spans="1:18">
      <c r="A13" s="6" t="s">
        <v>38</v>
      </c>
      <c r="B13" s="37">
        <f t="shared" si="0"/>
        <v>21.854318399750198</v>
      </c>
      <c r="C13" s="33"/>
      <c r="D13" s="37">
        <f>IF( ISERROR(IND_papier_gas_kWh/1000),0,IND_papier_gas_kWh/1000)*0.902</f>
        <v>49.190102883559646</v>
      </c>
      <c r="E13" s="33">
        <f>C35*'E Balans VL '!I23/100/3.6*1000000</f>
        <v>0.67240034246894276</v>
      </c>
      <c r="F13" s="33">
        <f>C35*'E Balans VL '!L23/100/3.6*1000000+C35*'E Balans VL '!N23/100/3.6*1000000</f>
        <v>4.6404355595700792</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233.52882653221701</v>
      </c>
      <c r="C15" s="33"/>
      <c r="D15" s="37">
        <f>IF( ISERROR(IND_rest_gas_kWh/1000),0,IND_rest_gas_kWh/1000)*0.902</f>
        <v>642.87259091937403</v>
      </c>
      <c r="E15" s="33">
        <f>C37*'E Balans VL '!I15/100/3.6*1000000</f>
        <v>2.1075424303909456</v>
      </c>
      <c r="F15" s="33">
        <f>C37*'E Balans VL '!L15/100/3.6*1000000+C37*'E Balans VL '!N15/100/3.6*1000000</f>
        <v>46.684287625315498</v>
      </c>
      <c r="G15" s="34"/>
      <c r="H15" s="33"/>
      <c r="I15" s="33"/>
      <c r="J15" s="40">
        <f>C37*'E Balans VL '!D15/100/3.6*1000000+C37*'E Balans VL '!E15/100/3.6*1000000</f>
        <v>1.572431843241048</v>
      </c>
      <c r="K15" s="33"/>
      <c r="L15" s="33"/>
      <c r="M15" s="33"/>
      <c r="N15" s="33">
        <f>C37*'E Balans VL '!Y15/100/3.6*1000000</f>
        <v>4.2025513503997507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2420.8873510563758</v>
      </c>
      <c r="C18" s="21">
        <f>C5+C16</f>
        <v>0</v>
      </c>
      <c r="D18" s="21">
        <f>MAX((D5+D16),0)</f>
        <v>3176.9210213892834</v>
      </c>
      <c r="E18" s="21">
        <f>MAX((E5+E16),0)</f>
        <v>32.288184522224157</v>
      </c>
      <c r="F18" s="21">
        <f>MAX((F5+F16),0)</f>
        <v>1183.8577985493735</v>
      </c>
      <c r="G18" s="21"/>
      <c r="H18" s="21"/>
      <c r="I18" s="21"/>
      <c r="J18" s="21">
        <f>MAX((J5+J16),0)</f>
        <v>7.1554981904849377</v>
      </c>
      <c r="K18" s="21"/>
      <c r="L18" s="21">
        <f>MAX((L5+L16),0)</f>
        <v>0</v>
      </c>
      <c r="M18" s="21"/>
      <c r="N18" s="21">
        <f>MAX((N5+N16),0)</f>
        <v>110.27242569623382</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0.21542526031177134</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521.52028778679437</v>
      </c>
      <c r="C22" s="23">
        <f ca="1">C18*C20</f>
        <v>0</v>
      </c>
      <c r="D22" s="23">
        <f>D18*D20</f>
        <v>641.73804632063525</v>
      </c>
      <c r="E22" s="23">
        <f>E18*E20</f>
        <v>7.329417886544884</v>
      </c>
      <c r="F22" s="23">
        <f>F18*F20</f>
        <v>316.09003221268273</v>
      </c>
      <c r="G22" s="23"/>
      <c r="H22" s="23"/>
      <c r="I22" s="23"/>
      <c r="J22" s="23">
        <f>J18*J20</f>
        <v>2.5330463594316677</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124.004348451984</v>
      </c>
      <c r="C30" s="39">
        <f>IF(ISERROR(B30*3.6/1000000/'E Balans VL '!Z18*100),0,B30*3.6/1000000/'E Balans VL '!Z18*100)</f>
        <v>8.2550451998492265E-3</v>
      </c>
      <c r="D30" s="238" t="s">
        <v>718</v>
      </c>
    </row>
    <row r="31" spans="1:18">
      <c r="A31" s="6" t="s">
        <v>32</v>
      </c>
      <c r="B31" s="37">
        <f>IF( ISERROR(IND_ander_ele_kWh/1000),0,IND_ander_ele_kWh/1000)</f>
        <v>1288.9556409266299</v>
      </c>
      <c r="C31" s="39">
        <f>IF(ISERROR(B31*3.6/1000000/'E Balans VL '!Z19*100),0,B31*3.6/1000000/'E Balans VL '!Z19*100)</f>
        <v>5.71342954995782E-2</v>
      </c>
      <c r="D31" s="238" t="s">
        <v>718</v>
      </c>
    </row>
    <row r="32" spans="1:18">
      <c r="A32" s="172" t="s">
        <v>40</v>
      </c>
      <c r="B32" s="37">
        <f>IF( ISERROR(IND_voed_ele_kWh/1000),0,IND_voed_ele_kWh/1000)</f>
        <v>659.86823631017796</v>
      </c>
      <c r="C32" s="39">
        <f>IF(ISERROR(B32*3.6/1000000/'E Balans VL '!Z20*100),0,B32*3.6/1000000/'E Balans VL '!Z20*100)</f>
        <v>2.2041492009738588E-2</v>
      </c>
      <c r="D32" s="238" t="s">
        <v>718</v>
      </c>
    </row>
    <row r="33" spans="1:5">
      <c r="A33" s="172" t="s">
        <v>39</v>
      </c>
      <c r="B33" s="37">
        <f>IF( ISERROR(IND_textiel_ele_kWh/1000),0,IND_textiel_ele_kWh/1000)</f>
        <v>59.128933217095195</v>
      </c>
      <c r="C33" s="39">
        <f>IF(ISERROR(B33*3.6/1000000/'E Balans VL '!Z21*100),0,B33*3.6/1000000/'E Balans VL '!Z21*100)</f>
        <v>7.7844604117144611E-3</v>
      </c>
      <c r="D33" s="238" t="s">
        <v>718</v>
      </c>
    </row>
    <row r="34" spans="1:5">
      <c r="A34" s="172" t="s">
        <v>36</v>
      </c>
      <c r="B34" s="37">
        <f>IF( ISERROR(IND_min_ele_kWh/1000),0,IND_min_ele_kWh/1000)</f>
        <v>33.547047218521598</v>
      </c>
      <c r="C34" s="39">
        <f>IF(ISERROR(B34*3.6/1000000/'E Balans VL '!Z22*100),0,B34*3.6/1000000/'E Balans VL '!Z22*100)</f>
        <v>6.5245321906351851E-3</v>
      </c>
      <c r="D34" s="238" t="s">
        <v>718</v>
      </c>
    </row>
    <row r="35" spans="1:5">
      <c r="A35" s="172" t="s">
        <v>38</v>
      </c>
      <c r="B35" s="37">
        <f>IF( ISERROR(IND_papier_ele_kWh/1000),0,IND_papier_ele_kWh/1000)</f>
        <v>21.854318399750198</v>
      </c>
      <c r="C35" s="39">
        <f>IF(ISERROR(B35*3.6/1000000/'E Balans VL '!Z22*100),0,B35*3.6/1000000/'E Balans VL '!Z22*100)</f>
        <v>4.250424872709403E-3</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233.52882653221701</v>
      </c>
      <c r="C37" s="39">
        <f>IF(ISERROR(B37*3.6/1000000/'E Balans VL '!Z15*100),0,B37*3.6/1000000/'E Balans VL '!Z15*100)</f>
        <v>1.7370740183977826E-3</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573.91472235081994</v>
      </c>
      <c r="C5" s="17">
        <f>'Eigen informatie GS &amp; warmtenet'!B60</f>
        <v>0</v>
      </c>
      <c r="D5" s="30">
        <f>IF(ISERROR(SUM(LB_lb_gas_kWh,LB_rest_gas_kWh)/1000),0,SUM(LB_lb_gas_kWh,LB_rest_gas_kWh)/1000)*0.902</f>
        <v>913.9811897284892</v>
      </c>
      <c r="E5" s="17">
        <f>B17*'E Balans VL '!I25/3.6*1000000/100</f>
        <v>6.0101592199283926</v>
      </c>
      <c r="F5" s="17">
        <f>B17*('E Balans VL '!L25/3.6*1000000+'E Balans VL '!N25/3.6*1000000)/100</f>
        <v>2456.7910942355825</v>
      </c>
      <c r="G5" s="18"/>
      <c r="H5" s="17"/>
      <c r="I5" s="17"/>
      <c r="J5" s="17">
        <f>('E Balans VL '!D25+'E Balans VL '!E25)/3.6*1000000*landbouw!B17/100</f>
        <v>51.255728791340999</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573.91472235081994</v>
      </c>
      <c r="C8" s="21">
        <f>C5+C6</f>
        <v>0</v>
      </c>
      <c r="D8" s="21">
        <f>MAX((D5+D6),0)</f>
        <v>913.9811897284892</v>
      </c>
      <c r="E8" s="21">
        <f>MAX((E5+E6),0)</f>
        <v>6.0101592199283926</v>
      </c>
      <c r="F8" s="21">
        <f>MAX((F5+F6),0)</f>
        <v>2456.7910942355825</v>
      </c>
      <c r="G8" s="21"/>
      <c r="H8" s="21"/>
      <c r="I8" s="21"/>
      <c r="J8" s="21">
        <f>MAX((J5+J6),0)</f>
        <v>51.255728791340999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0.21542526031177134</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123.63572845918335</v>
      </c>
      <c r="C12" s="23">
        <f ca="1">C8*C10</f>
        <v>0</v>
      </c>
      <c r="D12" s="23">
        <f>D8*D10</f>
        <v>184.62420032515482</v>
      </c>
      <c r="E12" s="23">
        <f>E8*E10</f>
        <v>1.3643061429237451</v>
      </c>
      <c r="F12" s="23">
        <f>F8*F10</f>
        <v>655.96322216090061</v>
      </c>
      <c r="G12" s="23"/>
      <c r="H12" s="23"/>
      <c r="I12" s="23"/>
      <c r="J12" s="23">
        <f>J8*J10</f>
        <v>18.144527992134712</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8.83365543712408E-2</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119.68360031233962</v>
      </c>
      <c r="C26" s="248">
        <f>B26*'GWP N2O_CH4'!B5</f>
        <v>2513.355606559132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24.991861894772459</v>
      </c>
      <c r="C27" s="248">
        <f>B27*'GWP N2O_CH4'!B5</f>
        <v>524.82909979022168</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1.3061234894693148</v>
      </c>
      <c r="C28" s="248">
        <f>B28*'GWP N2O_CH4'!B4</f>
        <v>404.89828173548756</v>
      </c>
      <c r="D28" s="50"/>
    </row>
    <row r="29" spans="1:4">
      <c r="A29" s="41" t="s">
        <v>276</v>
      </c>
      <c r="B29" s="248">
        <f>B34*'ha_N2O bodem landbouw'!B4</f>
        <v>9.2309859873198636</v>
      </c>
      <c r="C29" s="248">
        <f>B29*'GWP N2O_CH4'!B4</f>
        <v>2861.6056560691577</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1.5255416713751287E-3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3.2115226495636348E-6</v>
      </c>
      <c r="C5" s="443" t="s">
        <v>210</v>
      </c>
      <c r="D5" s="428">
        <f>SUM(D6:D11)</f>
        <v>1.7241335966305706E-5</v>
      </c>
      <c r="E5" s="428">
        <f>SUM(E6:E11)</f>
        <v>1.8701358184732672E-3</v>
      </c>
      <c r="F5" s="441" t="s">
        <v>210</v>
      </c>
      <c r="G5" s="428">
        <f>SUM(G6:G11)</f>
        <v>0.38694477418532136</v>
      </c>
      <c r="H5" s="428">
        <f>SUM(H6:H11)</f>
        <v>6.0263543601762483E-2</v>
      </c>
      <c r="I5" s="443" t="s">
        <v>210</v>
      </c>
      <c r="J5" s="443" t="s">
        <v>210</v>
      </c>
      <c r="K5" s="443" t="s">
        <v>210</v>
      </c>
      <c r="L5" s="443" t="s">
        <v>210</v>
      </c>
      <c r="M5" s="428">
        <f>SUM(M6:M11)</f>
        <v>1.9442895493121823E-2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1.6076129143790698E-6</v>
      </c>
      <c r="C6" s="429"/>
      <c r="D6" s="429">
        <f>vkm_GW_PW*SUMIFS(TableVerdeelsleutelVkm[CNG],TableVerdeelsleutelVkm[Voertuigtype],"Lichte voertuigen")*SUMIFS(TableECFTransport[EnergieConsumptieFactor (PJ per km)],TableECFTransport[Index],CONCATENATE($A6,"_CNG_CNG"))</f>
        <v>7.6253183862256496E-6</v>
      </c>
      <c r="E6" s="431">
        <f>vkm_GW_PW*SUMIFS(TableVerdeelsleutelVkm[LPG],TableVerdeelsleutelVkm[Voertuigtype],"Lichte voertuigen")*SUMIFS(TableECFTransport[EnergieConsumptieFactor (PJ per km)],TableECFTransport[Index],CONCATENATE($A6,"_LPG_LPG"))</f>
        <v>7.8906138711479592E-4</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0.10687644213376016</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2.6611038461390617E-2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5.8289242173392639E-3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5.6379754695772596E-2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1.5657962942160123E-6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2.4288650866281288E-3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6.2584250277707991E-7</v>
      </c>
      <c r="C8" s="429"/>
      <c r="D8" s="431">
        <f>vkm_NGW_PW*SUMIFS(TableVerdeelsleutelVkm[CNG],TableVerdeelsleutelVkm[Voertuigtype],"Lichte voertuigen")*SUMIFS(TableECFTransport[EnergieConsumptieFactor (PJ per km)],TableECFTransport[Index],CONCATENATE($A8,"_CNG_CNG"))</f>
        <v>5.0221977081439512E-6</v>
      </c>
      <c r="E8" s="431">
        <f>vkm_NGW_PW*SUMIFS(TableVerdeelsleutelVkm[LPG],TableVerdeelsleutelVkm[Voertuigtype],"Lichte voertuigen")*SUMIFS(TableECFTransport[EnergieConsumptieFactor (PJ per km)],TableECFTransport[Index],CONCATENATE($A8,"_LPG_LPG"))</f>
        <v>4.8692886246112929E-4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6.3214898447478421E-2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1.6603257214467291E-2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3.4874119883931604E-3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2.0953085172816174E-3</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7.0065911932125885E-8</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9.0267375999573716E-5</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9.7806723240748483E-7</v>
      </c>
      <c r="C10" s="429"/>
      <c r="D10" s="431">
        <f>vkm_SW_PW*SUMIFS(TableVerdeelsleutelVkm[CNG],TableVerdeelsleutelVkm[Voertuigtype],"Lichte voertuigen")*SUMIFS(TableECFTransport[EnergieConsumptieFactor (PJ per km)],TableECFTransport[Index],CONCATENATE($A10,"_CNG_CNG"))</f>
        <v>4.593819871936105E-6</v>
      </c>
      <c r="E10" s="431">
        <f>vkm_SW_PW*SUMIFS(TableVerdeelsleutelVkm[LPG],TableVerdeelsleutelVkm[Voertuigtype],"Lichte voertuigen")*SUMIFS(TableECFTransport[EnergieConsumptieFactor (PJ per km)],TableECFTransport[Index],CONCATENATE($A10,"_LPG_LPG"))</f>
        <v>5.941455688973418E-4</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7.400834894769362E-2</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1.7045150759138209E-2</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3.9727230708540692E-3</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8.4370021443334942E-2</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2.4613045602140677E-6</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3.6347037539076277E-3</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0.8920896248787874</v>
      </c>
      <c r="C14" s="21"/>
      <c r="D14" s="21">
        <f t="shared" ref="D14:M14" si="0">((D5)*10^9/3600)+D12</f>
        <v>4.789259990640474</v>
      </c>
      <c r="E14" s="21">
        <f t="shared" si="0"/>
        <v>519.4821717981298</v>
      </c>
      <c r="F14" s="21"/>
      <c r="G14" s="21">
        <f t="shared" si="0"/>
        <v>107484.65949592259</v>
      </c>
      <c r="H14" s="21">
        <f t="shared" si="0"/>
        <v>16739.873222711802</v>
      </c>
      <c r="I14" s="21"/>
      <c r="J14" s="21"/>
      <c r="K14" s="21"/>
      <c r="L14" s="21"/>
      <c r="M14" s="21">
        <f t="shared" si="0"/>
        <v>5400.8043036449508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0.21542526031177134</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0.19217863966094323</v>
      </c>
      <c r="C18" s="23"/>
      <c r="D18" s="23">
        <f t="shared" ref="D18:M18" si="1">D14*D16</f>
        <v>0.96743051810937586</v>
      </c>
      <c r="E18" s="23">
        <f t="shared" si="1"/>
        <v>117.92245299817547</v>
      </c>
      <c r="F18" s="23"/>
      <c r="G18" s="23">
        <f t="shared" si="1"/>
        <v>28698.404085411334</v>
      </c>
      <c r="H18" s="23">
        <f t="shared" si="1"/>
        <v>4168.2284324552384</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7.4693615296184237E-3</v>
      </c>
      <c r="H50" s="320">
        <f t="shared" si="2"/>
        <v>0</v>
      </c>
      <c r="I50" s="320">
        <f t="shared" si="2"/>
        <v>0</v>
      </c>
      <c r="J50" s="320">
        <f t="shared" si="2"/>
        <v>0</v>
      </c>
      <c r="K50" s="320">
        <f t="shared" si="2"/>
        <v>0</v>
      </c>
      <c r="L50" s="320">
        <f t="shared" si="2"/>
        <v>0</v>
      </c>
      <c r="M50" s="320">
        <f t="shared" si="2"/>
        <v>3.1762471672565313E-4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7.4693615296184237E-3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3.1762471672565313E-4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2074.8226471162288</v>
      </c>
      <c r="H54" s="21">
        <f t="shared" si="3"/>
        <v>0</v>
      </c>
      <c r="I54" s="21">
        <f t="shared" si="3"/>
        <v>0</v>
      </c>
      <c r="J54" s="21">
        <f t="shared" si="3"/>
        <v>0</v>
      </c>
      <c r="K54" s="21">
        <f t="shared" si="3"/>
        <v>0</v>
      </c>
      <c r="L54" s="21">
        <f t="shared" si="3"/>
        <v>0</v>
      </c>
      <c r="M54" s="21">
        <f t="shared" si="3"/>
        <v>88.229087979348094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0.21542526031177134</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553.97764678003318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25967.840262061891</v>
      </c>
      <c r="D10" s="684">
        <f ca="1">tertiair!C16</f>
        <v>0</v>
      </c>
      <c r="E10" s="684">
        <f ca="1">tertiair!D16</f>
        <v>35817.666296390569</v>
      </c>
      <c r="F10" s="684">
        <f>tertiair!E16</f>
        <v>381.33606477568412</v>
      </c>
      <c r="G10" s="684">
        <f ca="1">tertiair!F16</f>
        <v>4889.3659147829967</v>
      </c>
      <c r="H10" s="684">
        <f>tertiair!G16</f>
        <v>0</v>
      </c>
      <c r="I10" s="684">
        <f>tertiair!H16</f>
        <v>0</v>
      </c>
      <c r="J10" s="684">
        <f>tertiair!I16</f>
        <v>0</v>
      </c>
      <c r="K10" s="684">
        <f>tertiair!J16</f>
        <v>0</v>
      </c>
      <c r="L10" s="684">
        <f>tertiair!K16</f>
        <v>0</v>
      </c>
      <c r="M10" s="684">
        <f ca="1">tertiair!L16</f>
        <v>0</v>
      </c>
      <c r="N10" s="684">
        <f>tertiair!M16</f>
        <v>0</v>
      </c>
      <c r="O10" s="684">
        <f ca="1">tertiair!N16</f>
        <v>398.24456036397504</v>
      </c>
      <c r="P10" s="684">
        <f>tertiair!O16</f>
        <v>1.5633333333333335</v>
      </c>
      <c r="Q10" s="685">
        <f>tertiair!P16</f>
        <v>19.066666666666666</v>
      </c>
      <c r="R10" s="687">
        <f ca="1">SUM(C10:Q10)</f>
        <v>67475.083098375122</v>
      </c>
      <c r="S10" s="67"/>
    </row>
    <row r="11" spans="1:19" s="453" customFormat="1">
      <c r="A11" s="799" t="s">
        <v>224</v>
      </c>
      <c r="B11" s="804"/>
      <c r="C11" s="684">
        <f>huishoudens!B8</f>
        <v>48060.502871712968</v>
      </c>
      <c r="D11" s="684">
        <f>huishoudens!C8</f>
        <v>0</v>
      </c>
      <c r="E11" s="684">
        <f>huishoudens!D8</f>
        <v>108509.48196936287</v>
      </c>
      <c r="F11" s="684">
        <f>huishoudens!E8</f>
        <v>11737.156112828263</v>
      </c>
      <c r="G11" s="684">
        <f>huishoudens!F8</f>
        <v>7861.203176303502</v>
      </c>
      <c r="H11" s="684">
        <f>huishoudens!G8</f>
        <v>0</v>
      </c>
      <c r="I11" s="684">
        <f>huishoudens!H8</f>
        <v>0</v>
      </c>
      <c r="J11" s="684">
        <f>huishoudens!I8</f>
        <v>0</v>
      </c>
      <c r="K11" s="684">
        <f>huishoudens!J8</f>
        <v>0</v>
      </c>
      <c r="L11" s="684">
        <f>huishoudens!K8</f>
        <v>0</v>
      </c>
      <c r="M11" s="684">
        <f>huishoudens!L8</f>
        <v>0</v>
      </c>
      <c r="N11" s="684">
        <f>huishoudens!M8</f>
        <v>0</v>
      </c>
      <c r="O11" s="684">
        <f>huishoudens!N8</f>
        <v>22190.333330501649</v>
      </c>
      <c r="P11" s="684">
        <f>huishoudens!O8</f>
        <v>123.50333333333334</v>
      </c>
      <c r="Q11" s="685">
        <f>huishoudens!P8</f>
        <v>247.86666666666667</v>
      </c>
      <c r="R11" s="687">
        <f>SUM(C11:Q11)</f>
        <v>198730.04746070926</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2420.8873510563758</v>
      </c>
      <c r="D13" s="684">
        <f>industrie!C18</f>
        <v>0</v>
      </c>
      <c r="E13" s="684">
        <f>industrie!D18</f>
        <v>3176.9210213892834</v>
      </c>
      <c r="F13" s="684">
        <f>industrie!E18</f>
        <v>32.288184522224157</v>
      </c>
      <c r="G13" s="684">
        <f>industrie!F18</f>
        <v>1183.8577985493735</v>
      </c>
      <c r="H13" s="684">
        <f>industrie!G18</f>
        <v>0</v>
      </c>
      <c r="I13" s="684">
        <f>industrie!H18</f>
        <v>0</v>
      </c>
      <c r="J13" s="684">
        <f>industrie!I18</f>
        <v>0</v>
      </c>
      <c r="K13" s="684">
        <f>industrie!J18</f>
        <v>7.1554981904849377</v>
      </c>
      <c r="L13" s="684">
        <f>industrie!K18</f>
        <v>0</v>
      </c>
      <c r="M13" s="684">
        <f>industrie!L18</f>
        <v>0</v>
      </c>
      <c r="N13" s="684">
        <f>industrie!M18</f>
        <v>0</v>
      </c>
      <c r="O13" s="684">
        <f>industrie!N18</f>
        <v>110.27242569623382</v>
      </c>
      <c r="P13" s="684">
        <f>industrie!O18</f>
        <v>0</v>
      </c>
      <c r="Q13" s="685">
        <f>industrie!P18</f>
        <v>0</v>
      </c>
      <c r="R13" s="687">
        <f>SUM(C13:Q13)</f>
        <v>6931.3822794039752</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76449.230484831234</v>
      </c>
      <c r="D16" s="717">
        <f t="shared" ref="D16:R16" ca="1" si="0">SUM(D9:D15)</f>
        <v>0</v>
      </c>
      <c r="E16" s="717">
        <f t="shared" ca="1" si="0"/>
        <v>147504.06928714272</v>
      </c>
      <c r="F16" s="717">
        <f t="shared" si="0"/>
        <v>12150.78036212617</v>
      </c>
      <c r="G16" s="717">
        <f t="shared" ca="1" si="0"/>
        <v>13934.426889635872</v>
      </c>
      <c r="H16" s="717">
        <f t="shared" si="0"/>
        <v>0</v>
      </c>
      <c r="I16" s="717">
        <f t="shared" si="0"/>
        <v>0</v>
      </c>
      <c r="J16" s="717">
        <f t="shared" si="0"/>
        <v>0</v>
      </c>
      <c r="K16" s="717">
        <f t="shared" si="0"/>
        <v>7.1554981904849377</v>
      </c>
      <c r="L16" s="717">
        <f t="shared" si="0"/>
        <v>0</v>
      </c>
      <c r="M16" s="717">
        <f t="shared" ca="1" si="0"/>
        <v>0</v>
      </c>
      <c r="N16" s="717">
        <f t="shared" si="0"/>
        <v>0</v>
      </c>
      <c r="O16" s="717">
        <f t="shared" ca="1" si="0"/>
        <v>22698.85031656186</v>
      </c>
      <c r="P16" s="717">
        <f t="shared" si="0"/>
        <v>125.06666666666668</v>
      </c>
      <c r="Q16" s="717">
        <f t="shared" si="0"/>
        <v>266.93333333333334</v>
      </c>
      <c r="R16" s="717">
        <f t="shared" ca="1" si="0"/>
        <v>273136.51283848833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2074.8226471162288</v>
      </c>
      <c r="I19" s="684">
        <f>transport!H54</f>
        <v>0</v>
      </c>
      <c r="J19" s="684">
        <f>transport!I54</f>
        <v>0</v>
      </c>
      <c r="K19" s="684">
        <f>transport!J54</f>
        <v>0</v>
      </c>
      <c r="L19" s="684">
        <f>transport!K54</f>
        <v>0</v>
      </c>
      <c r="M19" s="684">
        <f>transport!L54</f>
        <v>0</v>
      </c>
      <c r="N19" s="684">
        <f>transport!M54</f>
        <v>88.229087979348094</v>
      </c>
      <c r="O19" s="684">
        <f>transport!N54</f>
        <v>0</v>
      </c>
      <c r="P19" s="684">
        <f>transport!O54</f>
        <v>0</v>
      </c>
      <c r="Q19" s="685">
        <f>transport!P54</f>
        <v>0</v>
      </c>
      <c r="R19" s="687">
        <f>SUM(C19:Q19)</f>
        <v>2163.051735095577</v>
      </c>
      <c r="S19" s="67"/>
    </row>
    <row r="20" spans="1:19" s="453" customFormat="1">
      <c r="A20" s="799" t="s">
        <v>306</v>
      </c>
      <c r="B20" s="804"/>
      <c r="C20" s="684">
        <f>transport!B14</f>
        <v>0.8920896248787874</v>
      </c>
      <c r="D20" s="684">
        <f>transport!C14</f>
        <v>0</v>
      </c>
      <c r="E20" s="684">
        <f>transport!D14</f>
        <v>4.789259990640474</v>
      </c>
      <c r="F20" s="684">
        <f>transport!E14</f>
        <v>519.4821717981298</v>
      </c>
      <c r="G20" s="684">
        <f>transport!F14</f>
        <v>0</v>
      </c>
      <c r="H20" s="684">
        <f>transport!G14</f>
        <v>107484.65949592259</v>
      </c>
      <c r="I20" s="684">
        <f>transport!H14</f>
        <v>16739.873222711802</v>
      </c>
      <c r="J20" s="684">
        <f>transport!I14</f>
        <v>0</v>
      </c>
      <c r="K20" s="684">
        <f>transport!J14</f>
        <v>0</v>
      </c>
      <c r="L20" s="684">
        <f>transport!K14</f>
        <v>0</v>
      </c>
      <c r="M20" s="684">
        <f>transport!L14</f>
        <v>0</v>
      </c>
      <c r="N20" s="684">
        <f>transport!M14</f>
        <v>5400.8043036449508</v>
      </c>
      <c r="O20" s="684">
        <f>transport!N14</f>
        <v>0</v>
      </c>
      <c r="P20" s="684">
        <f>transport!O14</f>
        <v>0</v>
      </c>
      <c r="Q20" s="685">
        <f>transport!P14</f>
        <v>0</v>
      </c>
      <c r="R20" s="687">
        <f>SUM(C20:Q20)</f>
        <v>130150.50054369299</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0.8920896248787874</v>
      </c>
      <c r="D22" s="802">
        <f t="shared" ref="D22:R22" si="1">SUM(D18:D21)</f>
        <v>0</v>
      </c>
      <c r="E22" s="802">
        <f t="shared" si="1"/>
        <v>4.789259990640474</v>
      </c>
      <c r="F22" s="802">
        <f t="shared" si="1"/>
        <v>519.4821717981298</v>
      </c>
      <c r="G22" s="802">
        <f t="shared" si="1"/>
        <v>0</v>
      </c>
      <c r="H22" s="802">
        <f t="shared" si="1"/>
        <v>109559.48214303883</v>
      </c>
      <c r="I22" s="802">
        <f t="shared" si="1"/>
        <v>16739.873222711802</v>
      </c>
      <c r="J22" s="802">
        <f t="shared" si="1"/>
        <v>0</v>
      </c>
      <c r="K22" s="802">
        <f t="shared" si="1"/>
        <v>0</v>
      </c>
      <c r="L22" s="802">
        <f t="shared" si="1"/>
        <v>0</v>
      </c>
      <c r="M22" s="802">
        <f t="shared" si="1"/>
        <v>0</v>
      </c>
      <c r="N22" s="802">
        <f t="shared" si="1"/>
        <v>5489.0333916242989</v>
      </c>
      <c r="O22" s="802">
        <f t="shared" si="1"/>
        <v>0</v>
      </c>
      <c r="P22" s="802">
        <f t="shared" si="1"/>
        <v>0</v>
      </c>
      <c r="Q22" s="802">
        <f t="shared" si="1"/>
        <v>0</v>
      </c>
      <c r="R22" s="802">
        <f t="shared" si="1"/>
        <v>132313.55227878856</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573.91472235081994</v>
      </c>
      <c r="D24" s="684">
        <f>+landbouw!C8</f>
        <v>0</v>
      </c>
      <c r="E24" s="684">
        <f>+landbouw!D8</f>
        <v>913.9811897284892</v>
      </c>
      <c r="F24" s="684">
        <f>+landbouw!E8</f>
        <v>6.0101592199283926</v>
      </c>
      <c r="G24" s="684">
        <f>+landbouw!F8</f>
        <v>2456.7910942355825</v>
      </c>
      <c r="H24" s="684">
        <f>+landbouw!G8</f>
        <v>0</v>
      </c>
      <c r="I24" s="684">
        <f>+landbouw!H8</f>
        <v>0</v>
      </c>
      <c r="J24" s="684">
        <f>+landbouw!I8</f>
        <v>0</v>
      </c>
      <c r="K24" s="684">
        <f>+landbouw!J8</f>
        <v>51.255728791340999</v>
      </c>
      <c r="L24" s="684">
        <f>+landbouw!K8</f>
        <v>0</v>
      </c>
      <c r="M24" s="684">
        <f>+landbouw!L8</f>
        <v>0</v>
      </c>
      <c r="N24" s="684">
        <f>+landbouw!M8</f>
        <v>0</v>
      </c>
      <c r="O24" s="684">
        <f>+landbouw!N8</f>
        <v>0</v>
      </c>
      <c r="P24" s="684">
        <f>+landbouw!O8</f>
        <v>0</v>
      </c>
      <c r="Q24" s="685">
        <f>+landbouw!P8</f>
        <v>0</v>
      </c>
      <c r="R24" s="687">
        <f>SUM(C24:Q24)</f>
        <v>4001.9528943261612</v>
      </c>
      <c r="S24" s="67"/>
    </row>
    <row r="25" spans="1:19" s="453" customFormat="1" ht="15" thickBot="1">
      <c r="A25" s="821" t="s">
        <v>912</v>
      </c>
      <c r="B25" s="978"/>
      <c r="C25" s="979">
        <f>IF(Onbekend_ele_kWh="---",0,Onbekend_ele_kWh)/1000+IF(REST_rest_ele_kWh="---",0,REST_rest_ele_kWh)/1000</f>
        <v>1804.2423271917501</v>
      </c>
      <c r="D25" s="979"/>
      <c r="E25" s="979">
        <f>IF(onbekend_gas_kWh="---",0,onbekend_gas_kWh)/1000+IF(REST_rest_gas_kWh="---",0,REST_rest_gas_kWh)/1000</f>
        <v>4183.1463964785698</v>
      </c>
      <c r="F25" s="979"/>
      <c r="G25" s="979"/>
      <c r="H25" s="979"/>
      <c r="I25" s="979"/>
      <c r="J25" s="979"/>
      <c r="K25" s="979"/>
      <c r="L25" s="979"/>
      <c r="M25" s="979"/>
      <c r="N25" s="979"/>
      <c r="O25" s="979"/>
      <c r="P25" s="979"/>
      <c r="Q25" s="980"/>
      <c r="R25" s="687">
        <f>SUM(C25:Q25)</f>
        <v>5987.3887236703195</v>
      </c>
      <c r="S25" s="67"/>
    </row>
    <row r="26" spans="1:19" s="453" customFormat="1" ht="15.75" thickBot="1">
      <c r="A26" s="690" t="s">
        <v>913</v>
      </c>
      <c r="B26" s="807"/>
      <c r="C26" s="802">
        <f>SUM(C24:C25)</f>
        <v>2378.1570495425699</v>
      </c>
      <c r="D26" s="802">
        <f t="shared" ref="D26:R26" si="2">SUM(D24:D25)</f>
        <v>0</v>
      </c>
      <c r="E26" s="802">
        <f t="shared" si="2"/>
        <v>5097.1275862070588</v>
      </c>
      <c r="F26" s="802">
        <f t="shared" si="2"/>
        <v>6.0101592199283926</v>
      </c>
      <c r="G26" s="802">
        <f t="shared" si="2"/>
        <v>2456.7910942355825</v>
      </c>
      <c r="H26" s="802">
        <f t="shared" si="2"/>
        <v>0</v>
      </c>
      <c r="I26" s="802">
        <f t="shared" si="2"/>
        <v>0</v>
      </c>
      <c r="J26" s="802">
        <f t="shared" si="2"/>
        <v>0</v>
      </c>
      <c r="K26" s="802">
        <f t="shared" si="2"/>
        <v>51.255728791340999</v>
      </c>
      <c r="L26" s="802">
        <f t="shared" si="2"/>
        <v>0</v>
      </c>
      <c r="M26" s="802">
        <f t="shared" si="2"/>
        <v>0</v>
      </c>
      <c r="N26" s="802">
        <f t="shared" si="2"/>
        <v>0</v>
      </c>
      <c r="O26" s="802">
        <f t="shared" si="2"/>
        <v>0</v>
      </c>
      <c r="P26" s="802">
        <f t="shared" si="2"/>
        <v>0</v>
      </c>
      <c r="Q26" s="802">
        <f t="shared" si="2"/>
        <v>0</v>
      </c>
      <c r="R26" s="802">
        <f t="shared" si="2"/>
        <v>9989.3416179964806</v>
      </c>
      <c r="S26" s="67"/>
    </row>
    <row r="27" spans="1:19" s="453" customFormat="1" ht="17.25" thickTop="1" thickBot="1">
      <c r="A27" s="691" t="s">
        <v>115</v>
      </c>
      <c r="B27" s="794"/>
      <c r="C27" s="692">
        <f ca="1">C22+C16+C26</f>
        <v>78828.279623998678</v>
      </c>
      <c r="D27" s="692">
        <f t="shared" ref="D27:R27" ca="1" si="3">D22+D16+D26</f>
        <v>0</v>
      </c>
      <c r="E27" s="692">
        <f t="shared" ca="1" si="3"/>
        <v>152605.98613334043</v>
      </c>
      <c r="F27" s="692">
        <f t="shared" si="3"/>
        <v>12676.272693144228</v>
      </c>
      <c r="G27" s="692">
        <f t="shared" ca="1" si="3"/>
        <v>16391.217983871455</v>
      </c>
      <c r="H27" s="692">
        <f t="shared" si="3"/>
        <v>109559.48214303883</v>
      </c>
      <c r="I27" s="692">
        <f t="shared" si="3"/>
        <v>16739.873222711802</v>
      </c>
      <c r="J27" s="692">
        <f t="shared" si="3"/>
        <v>0</v>
      </c>
      <c r="K27" s="692">
        <f t="shared" si="3"/>
        <v>58.411226981825934</v>
      </c>
      <c r="L27" s="692">
        <f t="shared" si="3"/>
        <v>0</v>
      </c>
      <c r="M27" s="692">
        <f t="shared" ca="1" si="3"/>
        <v>0</v>
      </c>
      <c r="N27" s="692">
        <f t="shared" si="3"/>
        <v>5489.0333916242989</v>
      </c>
      <c r="O27" s="692">
        <f t="shared" ca="1" si="3"/>
        <v>22698.85031656186</v>
      </c>
      <c r="P27" s="692">
        <f t="shared" si="3"/>
        <v>125.06666666666668</v>
      </c>
      <c r="Q27" s="692">
        <f t="shared" si="3"/>
        <v>266.93333333333334</v>
      </c>
      <c r="R27" s="692">
        <f t="shared" ca="1" si="3"/>
        <v>415439.40673527331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5594.1287481891795</v>
      </c>
      <c r="D40" s="684">
        <f ca="1">tertiair!C20</f>
        <v>0</v>
      </c>
      <c r="E40" s="684">
        <f ca="1">tertiair!D20</f>
        <v>7235.1685918708954</v>
      </c>
      <c r="F40" s="684">
        <f>tertiair!E20</f>
        <v>86.563286704080298</v>
      </c>
      <c r="G40" s="684">
        <f ca="1">tertiair!F20</f>
        <v>1305.4606992470601</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14221.321326011215</v>
      </c>
    </row>
    <row r="41" spans="1:18">
      <c r="A41" s="812" t="s">
        <v>224</v>
      </c>
      <c r="B41" s="819"/>
      <c r="C41" s="684">
        <f ca="1">huishoudens!B12</f>
        <v>10353.4463418534</v>
      </c>
      <c r="D41" s="684">
        <f ca="1">huishoudens!C12</f>
        <v>0</v>
      </c>
      <c r="E41" s="684">
        <f>huishoudens!D12</f>
        <v>21918.9153578113</v>
      </c>
      <c r="F41" s="684">
        <f>huishoudens!E12</f>
        <v>2664.3344376120158</v>
      </c>
      <c r="G41" s="684">
        <f>huishoudens!F12</f>
        <v>2098.9412480730352</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37035.63738534975</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521.52028778679437</v>
      </c>
      <c r="D43" s="684">
        <f ca="1">industrie!C22</f>
        <v>0</v>
      </c>
      <c r="E43" s="684">
        <f>industrie!D22</f>
        <v>641.73804632063525</v>
      </c>
      <c r="F43" s="684">
        <f>industrie!E22</f>
        <v>7.329417886544884</v>
      </c>
      <c r="G43" s="684">
        <f>industrie!F22</f>
        <v>316.09003221268273</v>
      </c>
      <c r="H43" s="684">
        <f>industrie!G22</f>
        <v>0</v>
      </c>
      <c r="I43" s="684">
        <f>industrie!H22</f>
        <v>0</v>
      </c>
      <c r="J43" s="684">
        <f>industrie!I22</f>
        <v>0</v>
      </c>
      <c r="K43" s="684">
        <f>industrie!J22</f>
        <v>2.5330463594316677</v>
      </c>
      <c r="L43" s="684">
        <f>industrie!K22</f>
        <v>0</v>
      </c>
      <c r="M43" s="684">
        <f>industrie!L22</f>
        <v>0</v>
      </c>
      <c r="N43" s="684">
        <f>industrie!M22</f>
        <v>0</v>
      </c>
      <c r="O43" s="684">
        <f>industrie!N22</f>
        <v>0</v>
      </c>
      <c r="P43" s="684">
        <f>industrie!O22</f>
        <v>0</v>
      </c>
      <c r="Q43" s="759">
        <f>industrie!P22</f>
        <v>0</v>
      </c>
      <c r="R43" s="839">
        <f t="shared" ca="1" si="4"/>
        <v>1489.2108305660888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16469.095377829373</v>
      </c>
      <c r="D46" s="717">
        <f t="shared" ref="D46:Q46" ca="1" si="5">SUM(D39:D45)</f>
        <v>0</v>
      </c>
      <c r="E46" s="717">
        <f t="shared" ca="1" si="5"/>
        <v>29795.821996002829</v>
      </c>
      <c r="F46" s="717">
        <f t="shared" si="5"/>
        <v>2758.2271422026411</v>
      </c>
      <c r="G46" s="717">
        <f t="shared" ca="1" si="5"/>
        <v>3720.4919795327778</v>
      </c>
      <c r="H46" s="717">
        <f t="shared" si="5"/>
        <v>0</v>
      </c>
      <c r="I46" s="717">
        <f t="shared" si="5"/>
        <v>0</v>
      </c>
      <c r="J46" s="717">
        <f t="shared" si="5"/>
        <v>0</v>
      </c>
      <c r="K46" s="717">
        <f t="shared" si="5"/>
        <v>2.5330463594316677</v>
      </c>
      <c r="L46" s="717">
        <f t="shared" si="5"/>
        <v>0</v>
      </c>
      <c r="M46" s="717">
        <f t="shared" ca="1" si="5"/>
        <v>0</v>
      </c>
      <c r="N46" s="717">
        <f t="shared" si="5"/>
        <v>0</v>
      </c>
      <c r="O46" s="717">
        <f t="shared" ca="1" si="5"/>
        <v>0</v>
      </c>
      <c r="P46" s="717">
        <f t="shared" si="5"/>
        <v>0</v>
      </c>
      <c r="Q46" s="717">
        <f t="shared" si="5"/>
        <v>0</v>
      </c>
      <c r="R46" s="717">
        <f ca="1">SUM(R39:R45)</f>
        <v>52746.169541927055</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553.97764678003318</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553.97764678003318</v>
      </c>
    </row>
    <row r="50" spans="1:18">
      <c r="A50" s="815" t="s">
        <v>306</v>
      </c>
      <c r="B50" s="825"/>
      <c r="C50" s="985">
        <f ca="1">transport!B18</f>
        <v>0.19217863966094323</v>
      </c>
      <c r="D50" s="985">
        <f>transport!C18</f>
        <v>0</v>
      </c>
      <c r="E50" s="985">
        <f>transport!D18</f>
        <v>0.96743051810937586</v>
      </c>
      <c r="F50" s="985">
        <f>transport!E18</f>
        <v>117.92245299817547</v>
      </c>
      <c r="G50" s="985">
        <f>transport!F18</f>
        <v>0</v>
      </c>
      <c r="H50" s="985">
        <f>transport!G18</f>
        <v>28698.404085411334</v>
      </c>
      <c r="I50" s="985">
        <f>transport!H18</f>
        <v>4168.2284324552384</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32985.714580022519</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0.19217863966094323</v>
      </c>
      <c r="D52" s="717">
        <f t="shared" ref="D52:Q52" ca="1" si="6">SUM(D48:D51)</f>
        <v>0</v>
      </c>
      <c r="E52" s="717">
        <f t="shared" si="6"/>
        <v>0.96743051810937586</v>
      </c>
      <c r="F52" s="717">
        <f t="shared" si="6"/>
        <v>117.92245299817547</v>
      </c>
      <c r="G52" s="717">
        <f t="shared" si="6"/>
        <v>0</v>
      </c>
      <c r="H52" s="717">
        <f t="shared" si="6"/>
        <v>29252.381732191367</v>
      </c>
      <c r="I52" s="717">
        <f t="shared" si="6"/>
        <v>4168.2284324552384</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33539.692226802552</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123.63572845918335</v>
      </c>
      <c r="D54" s="985">
        <f ca="1">+landbouw!C12</f>
        <v>0</v>
      </c>
      <c r="E54" s="985">
        <f>+landbouw!D12</f>
        <v>184.62420032515482</v>
      </c>
      <c r="F54" s="985">
        <f>+landbouw!E12</f>
        <v>1.3643061429237451</v>
      </c>
      <c r="G54" s="985">
        <f>+landbouw!F12</f>
        <v>655.96322216090061</v>
      </c>
      <c r="H54" s="985">
        <f>+landbouw!G12</f>
        <v>0</v>
      </c>
      <c r="I54" s="985">
        <f>+landbouw!H12</f>
        <v>0</v>
      </c>
      <c r="J54" s="985">
        <f>+landbouw!I12</f>
        <v>0</v>
      </c>
      <c r="K54" s="985">
        <f>+landbouw!J12</f>
        <v>18.144527992134712</v>
      </c>
      <c r="L54" s="985">
        <f>+landbouw!K12</f>
        <v>0</v>
      </c>
      <c r="M54" s="985">
        <f>+landbouw!L12</f>
        <v>0</v>
      </c>
      <c r="N54" s="985">
        <f>+landbouw!M12</f>
        <v>0</v>
      </c>
      <c r="O54" s="985">
        <f>+landbouw!N12</f>
        <v>0</v>
      </c>
      <c r="P54" s="985">
        <f>+landbouw!O12</f>
        <v>0</v>
      </c>
      <c r="Q54" s="986">
        <f>+landbouw!P12</f>
        <v>0</v>
      </c>
      <c r="R54" s="716">
        <f ca="1">SUM(C54:Q54)</f>
        <v>983.73198508029725</v>
      </c>
    </row>
    <row r="55" spans="1:18" ht="15" thickBot="1">
      <c r="A55" s="815" t="s">
        <v>912</v>
      </c>
      <c r="B55" s="825"/>
      <c r="C55" s="985">
        <f ca="1">C25*'EF ele_warmte'!B12</f>
        <v>388.67937300079888</v>
      </c>
      <c r="D55" s="985"/>
      <c r="E55" s="985">
        <f>E25*EF_CO2_aardgas</f>
        <v>844.99557208867111</v>
      </c>
      <c r="F55" s="985"/>
      <c r="G55" s="985"/>
      <c r="H55" s="985"/>
      <c r="I55" s="985"/>
      <c r="J55" s="985"/>
      <c r="K55" s="985"/>
      <c r="L55" s="985"/>
      <c r="M55" s="985"/>
      <c r="N55" s="985"/>
      <c r="O55" s="985"/>
      <c r="P55" s="985"/>
      <c r="Q55" s="986"/>
      <c r="R55" s="716">
        <f ca="1">SUM(C55:Q55)</f>
        <v>1233.6749450894699</v>
      </c>
    </row>
    <row r="56" spans="1:18" ht="15.75" thickBot="1">
      <c r="A56" s="813" t="s">
        <v>913</v>
      </c>
      <c r="B56" s="826"/>
      <c r="C56" s="717">
        <f ca="1">SUM(C54:C55)</f>
        <v>512.3151014599822</v>
      </c>
      <c r="D56" s="717">
        <f t="shared" ref="D56:Q56" ca="1" si="7">SUM(D54:D55)</f>
        <v>0</v>
      </c>
      <c r="E56" s="717">
        <f t="shared" si="7"/>
        <v>1029.619772413826</v>
      </c>
      <c r="F56" s="717">
        <f t="shared" si="7"/>
        <v>1.3643061429237451</v>
      </c>
      <c r="G56" s="717">
        <f t="shared" si="7"/>
        <v>655.96322216090061</v>
      </c>
      <c r="H56" s="717">
        <f t="shared" si="7"/>
        <v>0</v>
      </c>
      <c r="I56" s="717">
        <f t="shared" si="7"/>
        <v>0</v>
      </c>
      <c r="J56" s="717">
        <f t="shared" si="7"/>
        <v>0</v>
      </c>
      <c r="K56" s="717">
        <f t="shared" si="7"/>
        <v>18.144527992134712</v>
      </c>
      <c r="L56" s="717">
        <f t="shared" si="7"/>
        <v>0</v>
      </c>
      <c r="M56" s="717">
        <f t="shared" si="7"/>
        <v>0</v>
      </c>
      <c r="N56" s="717">
        <f t="shared" si="7"/>
        <v>0</v>
      </c>
      <c r="O56" s="717">
        <f t="shared" si="7"/>
        <v>0</v>
      </c>
      <c r="P56" s="717">
        <f t="shared" si="7"/>
        <v>0</v>
      </c>
      <c r="Q56" s="718">
        <f t="shared" si="7"/>
        <v>0</v>
      </c>
      <c r="R56" s="719">
        <f ca="1">SUM(R54:R55)</f>
        <v>2217.4069301697673</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16981.602657929016</v>
      </c>
      <c r="D61" s="725">
        <f t="shared" ref="D61:Q61" ca="1" si="8">D46+D52+D56</f>
        <v>0</v>
      </c>
      <c r="E61" s="725">
        <f t="shared" ca="1" si="8"/>
        <v>30826.409198934765</v>
      </c>
      <c r="F61" s="725">
        <f t="shared" si="8"/>
        <v>2877.5139013437406</v>
      </c>
      <c r="G61" s="725">
        <f t="shared" ca="1" si="8"/>
        <v>4376.4552016936786</v>
      </c>
      <c r="H61" s="725">
        <f t="shared" si="8"/>
        <v>29252.381732191367</v>
      </c>
      <c r="I61" s="725">
        <f t="shared" si="8"/>
        <v>4168.2284324552384</v>
      </c>
      <c r="J61" s="725">
        <f t="shared" si="8"/>
        <v>0</v>
      </c>
      <c r="K61" s="725">
        <f t="shared" si="8"/>
        <v>20.677574351566381</v>
      </c>
      <c r="L61" s="725">
        <f t="shared" si="8"/>
        <v>0</v>
      </c>
      <c r="M61" s="725">
        <f t="shared" ca="1" si="8"/>
        <v>0</v>
      </c>
      <c r="N61" s="725">
        <f t="shared" si="8"/>
        <v>0</v>
      </c>
      <c r="O61" s="725">
        <f t="shared" ca="1" si="8"/>
        <v>0</v>
      </c>
      <c r="P61" s="725">
        <f t="shared" si="8"/>
        <v>0</v>
      </c>
      <c r="Q61" s="725">
        <f t="shared" si="8"/>
        <v>0</v>
      </c>
      <c r="R61" s="725">
        <f ca="1">R46+R52+R56</f>
        <v>88503.268698899366</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0.21542526031177134</v>
      </c>
      <c r="D63" s="769">
        <f t="shared" ca="1" si="9"/>
        <v>0</v>
      </c>
      <c r="E63" s="987">
        <f t="shared" ca="1" si="9"/>
        <v>0.20199999999999999</v>
      </c>
      <c r="F63" s="769">
        <f t="shared" si="9"/>
        <v>0.22700000000000006</v>
      </c>
      <c r="G63" s="769">
        <f t="shared" ca="1" si="9"/>
        <v>0.26700000000000002</v>
      </c>
      <c r="H63" s="769">
        <f t="shared" si="9"/>
        <v>0.26700000000000002</v>
      </c>
      <c r="I63" s="769">
        <f t="shared" si="9"/>
        <v>0.24899999999999997</v>
      </c>
      <c r="J63" s="769">
        <f t="shared" si="9"/>
        <v>0</v>
      </c>
      <c r="K63" s="769">
        <f t="shared" si="9"/>
        <v>0.35400000000000004</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1988.4485926456764</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1988.4485926456764</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1988.4485926456764</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1988.4485926456764</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48060.502871712968</v>
      </c>
      <c r="C4" s="457">
        <f>huishoudens!C8</f>
        <v>0</v>
      </c>
      <c r="D4" s="457">
        <f>huishoudens!D8</f>
        <v>108509.48196936287</v>
      </c>
      <c r="E4" s="457">
        <f>huishoudens!E8</f>
        <v>11737.156112828263</v>
      </c>
      <c r="F4" s="457">
        <f>huishoudens!F8</f>
        <v>7861.203176303502</v>
      </c>
      <c r="G4" s="457">
        <f>huishoudens!G8</f>
        <v>0</v>
      </c>
      <c r="H4" s="457">
        <f>huishoudens!H8</f>
        <v>0</v>
      </c>
      <c r="I4" s="457">
        <f>huishoudens!I8</f>
        <v>0</v>
      </c>
      <c r="J4" s="457">
        <f>huishoudens!J8</f>
        <v>0</v>
      </c>
      <c r="K4" s="457">
        <f>huishoudens!K8</f>
        <v>0</v>
      </c>
      <c r="L4" s="457">
        <f>huishoudens!L8</f>
        <v>0</v>
      </c>
      <c r="M4" s="457">
        <f>huishoudens!M8</f>
        <v>0</v>
      </c>
      <c r="N4" s="457">
        <f>huishoudens!N8</f>
        <v>22190.333330501649</v>
      </c>
      <c r="O4" s="457">
        <f>huishoudens!O8</f>
        <v>123.50333333333334</v>
      </c>
      <c r="P4" s="458">
        <f>huishoudens!P8</f>
        <v>247.86666666666667</v>
      </c>
      <c r="Q4" s="459">
        <f>SUM(B4:P4)</f>
        <v>198730.04746070926</v>
      </c>
    </row>
    <row r="5" spans="1:17">
      <c r="A5" s="456" t="s">
        <v>155</v>
      </c>
      <c r="B5" s="457">
        <f ca="1">tertiair!B16</f>
        <v>24759.205262061892</v>
      </c>
      <c r="C5" s="457">
        <f ca="1">tertiair!C16</f>
        <v>0</v>
      </c>
      <c r="D5" s="457">
        <f ca="1">tertiair!D16</f>
        <v>35817.666296390569</v>
      </c>
      <c r="E5" s="457">
        <f>tertiair!E16</f>
        <v>381.33606477568412</v>
      </c>
      <c r="F5" s="457">
        <f ca="1">tertiair!F16</f>
        <v>4889.3659147829967</v>
      </c>
      <c r="G5" s="457">
        <f>tertiair!G16</f>
        <v>0</v>
      </c>
      <c r="H5" s="457">
        <f>tertiair!H16</f>
        <v>0</v>
      </c>
      <c r="I5" s="457">
        <f>tertiair!I16</f>
        <v>0</v>
      </c>
      <c r="J5" s="457">
        <f>tertiair!J16</f>
        <v>0</v>
      </c>
      <c r="K5" s="457">
        <f>tertiair!K16</f>
        <v>0</v>
      </c>
      <c r="L5" s="457">
        <f ca="1">tertiair!L16</f>
        <v>0</v>
      </c>
      <c r="M5" s="457">
        <f>tertiair!M16</f>
        <v>0</v>
      </c>
      <c r="N5" s="457">
        <f ca="1">tertiair!N16</f>
        <v>398.24456036397504</v>
      </c>
      <c r="O5" s="457">
        <f>tertiair!O16</f>
        <v>1.5633333333333335</v>
      </c>
      <c r="P5" s="458">
        <f>tertiair!P16</f>
        <v>19.066666666666666</v>
      </c>
      <c r="Q5" s="456">
        <f t="shared" ref="Q5:Q14" ca="1" si="0">SUM(B5:P5)</f>
        <v>66266.448098375127</v>
      </c>
    </row>
    <row r="6" spans="1:17">
      <c r="A6" s="456" t="s">
        <v>193</v>
      </c>
      <c r="B6" s="457">
        <f>'openbare verlichting'!B8</f>
        <v>1208.635</v>
      </c>
      <c r="C6" s="457"/>
      <c r="D6" s="457"/>
      <c r="E6" s="457"/>
      <c r="F6" s="457"/>
      <c r="G6" s="457"/>
      <c r="H6" s="457"/>
      <c r="I6" s="457"/>
      <c r="J6" s="457"/>
      <c r="K6" s="457"/>
      <c r="L6" s="457"/>
      <c r="M6" s="457"/>
      <c r="N6" s="457"/>
      <c r="O6" s="457"/>
      <c r="P6" s="458"/>
      <c r="Q6" s="456">
        <f t="shared" si="0"/>
        <v>1208.635</v>
      </c>
    </row>
    <row r="7" spans="1:17">
      <c r="A7" s="456" t="s">
        <v>111</v>
      </c>
      <c r="B7" s="457">
        <f>landbouw!B8</f>
        <v>573.91472235081994</v>
      </c>
      <c r="C7" s="457">
        <f>landbouw!C8</f>
        <v>0</v>
      </c>
      <c r="D7" s="457">
        <f>landbouw!D8</f>
        <v>913.9811897284892</v>
      </c>
      <c r="E7" s="457">
        <f>landbouw!E8</f>
        <v>6.0101592199283926</v>
      </c>
      <c r="F7" s="457">
        <f>landbouw!F8</f>
        <v>2456.7910942355825</v>
      </c>
      <c r="G7" s="457">
        <f>landbouw!G8</f>
        <v>0</v>
      </c>
      <c r="H7" s="457">
        <f>landbouw!H8</f>
        <v>0</v>
      </c>
      <c r="I7" s="457">
        <f>landbouw!I8</f>
        <v>0</v>
      </c>
      <c r="J7" s="457">
        <f>landbouw!J8</f>
        <v>51.255728791340999</v>
      </c>
      <c r="K7" s="457">
        <f>landbouw!K8</f>
        <v>0</v>
      </c>
      <c r="L7" s="457">
        <f>landbouw!L8</f>
        <v>0</v>
      </c>
      <c r="M7" s="457">
        <f>landbouw!M8</f>
        <v>0</v>
      </c>
      <c r="N7" s="457">
        <f>landbouw!N8</f>
        <v>0</v>
      </c>
      <c r="O7" s="457">
        <f>landbouw!O8</f>
        <v>0</v>
      </c>
      <c r="P7" s="458">
        <f>landbouw!P8</f>
        <v>0</v>
      </c>
      <c r="Q7" s="456">
        <f t="shared" si="0"/>
        <v>4001.9528943261612</v>
      </c>
    </row>
    <row r="8" spans="1:17">
      <c r="A8" s="456" t="s">
        <v>654</v>
      </c>
      <c r="B8" s="457">
        <f>industrie!B18</f>
        <v>2420.8873510563758</v>
      </c>
      <c r="C8" s="457">
        <f>industrie!C18</f>
        <v>0</v>
      </c>
      <c r="D8" s="457">
        <f>industrie!D18</f>
        <v>3176.9210213892834</v>
      </c>
      <c r="E8" s="457">
        <f>industrie!E18</f>
        <v>32.288184522224157</v>
      </c>
      <c r="F8" s="457">
        <f>industrie!F18</f>
        <v>1183.8577985493735</v>
      </c>
      <c r="G8" s="457">
        <f>industrie!G18</f>
        <v>0</v>
      </c>
      <c r="H8" s="457">
        <f>industrie!H18</f>
        <v>0</v>
      </c>
      <c r="I8" s="457">
        <f>industrie!I18</f>
        <v>0</v>
      </c>
      <c r="J8" s="457">
        <f>industrie!J18</f>
        <v>7.1554981904849377</v>
      </c>
      <c r="K8" s="457">
        <f>industrie!K18</f>
        <v>0</v>
      </c>
      <c r="L8" s="457">
        <f>industrie!L18</f>
        <v>0</v>
      </c>
      <c r="M8" s="457">
        <f>industrie!M18</f>
        <v>0</v>
      </c>
      <c r="N8" s="457">
        <f>industrie!N18</f>
        <v>110.27242569623382</v>
      </c>
      <c r="O8" s="457">
        <f>industrie!O18</f>
        <v>0</v>
      </c>
      <c r="P8" s="458">
        <f>industrie!P18</f>
        <v>0</v>
      </c>
      <c r="Q8" s="456">
        <f t="shared" si="0"/>
        <v>6931.3822794039752</v>
      </c>
    </row>
    <row r="9" spans="1:17" s="462" customFormat="1">
      <c r="A9" s="460" t="s">
        <v>572</v>
      </c>
      <c r="B9" s="461">
        <f>transport!B14</f>
        <v>0.8920896248787874</v>
      </c>
      <c r="C9" s="461">
        <f>transport!C14</f>
        <v>0</v>
      </c>
      <c r="D9" s="461">
        <f>transport!D14</f>
        <v>4.789259990640474</v>
      </c>
      <c r="E9" s="461">
        <f>transport!E14</f>
        <v>519.4821717981298</v>
      </c>
      <c r="F9" s="461">
        <f>transport!F14</f>
        <v>0</v>
      </c>
      <c r="G9" s="461">
        <f>transport!G14</f>
        <v>107484.65949592259</v>
      </c>
      <c r="H9" s="461">
        <f>transport!H14</f>
        <v>16739.873222711802</v>
      </c>
      <c r="I9" s="461">
        <f>transport!I14</f>
        <v>0</v>
      </c>
      <c r="J9" s="461">
        <f>transport!J14</f>
        <v>0</v>
      </c>
      <c r="K9" s="461">
        <f>transport!K14</f>
        <v>0</v>
      </c>
      <c r="L9" s="461">
        <f>transport!L14</f>
        <v>0</v>
      </c>
      <c r="M9" s="461">
        <f>transport!M14</f>
        <v>5400.8043036449508</v>
      </c>
      <c r="N9" s="461">
        <f>transport!N14</f>
        <v>0</v>
      </c>
      <c r="O9" s="461">
        <f>transport!O14</f>
        <v>0</v>
      </c>
      <c r="P9" s="461">
        <f>transport!P14</f>
        <v>0</v>
      </c>
      <c r="Q9" s="460">
        <f>SUM(B9:P9)</f>
        <v>130150.50054369299</v>
      </c>
    </row>
    <row r="10" spans="1:17">
      <c r="A10" s="456" t="s">
        <v>562</v>
      </c>
      <c r="B10" s="457">
        <f>transport!B54</f>
        <v>0</v>
      </c>
      <c r="C10" s="457">
        <f>transport!C54</f>
        <v>0</v>
      </c>
      <c r="D10" s="457">
        <f>transport!D54</f>
        <v>0</v>
      </c>
      <c r="E10" s="457">
        <f>transport!E54</f>
        <v>0</v>
      </c>
      <c r="F10" s="457">
        <f>transport!F54</f>
        <v>0</v>
      </c>
      <c r="G10" s="457">
        <f>transport!G54</f>
        <v>2074.8226471162288</v>
      </c>
      <c r="H10" s="457">
        <f>transport!H54</f>
        <v>0</v>
      </c>
      <c r="I10" s="457">
        <f>transport!I54</f>
        <v>0</v>
      </c>
      <c r="J10" s="457">
        <f>transport!J54</f>
        <v>0</v>
      </c>
      <c r="K10" s="457">
        <f>transport!K54</f>
        <v>0</v>
      </c>
      <c r="L10" s="457">
        <f>transport!L54</f>
        <v>0</v>
      </c>
      <c r="M10" s="457">
        <f>transport!M54</f>
        <v>88.229087979348094</v>
      </c>
      <c r="N10" s="457">
        <f>transport!N54</f>
        <v>0</v>
      </c>
      <c r="O10" s="457">
        <f>transport!O54</f>
        <v>0</v>
      </c>
      <c r="P10" s="458">
        <f>transport!P54</f>
        <v>0</v>
      </c>
      <c r="Q10" s="456">
        <f t="shared" si="0"/>
        <v>2163.051735095577</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1804.2423271917501</v>
      </c>
      <c r="C14" s="464"/>
      <c r="D14" s="464">
        <f>'SEAP template'!E25</f>
        <v>4183.1463964785698</v>
      </c>
      <c r="E14" s="464"/>
      <c r="F14" s="464"/>
      <c r="G14" s="464"/>
      <c r="H14" s="464"/>
      <c r="I14" s="464"/>
      <c r="J14" s="464"/>
      <c r="K14" s="464"/>
      <c r="L14" s="464"/>
      <c r="M14" s="464"/>
      <c r="N14" s="464"/>
      <c r="O14" s="464"/>
      <c r="P14" s="465"/>
      <c r="Q14" s="456">
        <f t="shared" si="0"/>
        <v>5987.3887236703195</v>
      </c>
    </row>
    <row r="15" spans="1:17" s="469" customFormat="1">
      <c r="A15" s="466" t="s">
        <v>566</v>
      </c>
      <c r="B15" s="467">
        <f ca="1">SUM(B4:B14)</f>
        <v>78828.279623998678</v>
      </c>
      <c r="C15" s="467">
        <f t="shared" ref="C15:Q15" ca="1" si="1">SUM(C4:C14)</f>
        <v>0</v>
      </c>
      <c r="D15" s="467">
        <f t="shared" ca="1" si="1"/>
        <v>152605.98613334043</v>
      </c>
      <c r="E15" s="467">
        <f t="shared" si="1"/>
        <v>12676.272693144228</v>
      </c>
      <c r="F15" s="467">
        <f t="shared" ca="1" si="1"/>
        <v>16391.217983871455</v>
      </c>
      <c r="G15" s="467">
        <f t="shared" si="1"/>
        <v>109559.48214303883</v>
      </c>
      <c r="H15" s="467">
        <f t="shared" si="1"/>
        <v>16739.873222711802</v>
      </c>
      <c r="I15" s="467">
        <f t="shared" si="1"/>
        <v>0</v>
      </c>
      <c r="J15" s="467">
        <f t="shared" si="1"/>
        <v>58.411226981825934</v>
      </c>
      <c r="K15" s="467">
        <f t="shared" si="1"/>
        <v>0</v>
      </c>
      <c r="L15" s="467">
        <f t="shared" ca="1" si="1"/>
        <v>0</v>
      </c>
      <c r="M15" s="467">
        <f t="shared" si="1"/>
        <v>5489.0333916242989</v>
      </c>
      <c r="N15" s="467">
        <f t="shared" ca="1" si="1"/>
        <v>22698.85031656186</v>
      </c>
      <c r="O15" s="467">
        <f t="shared" si="1"/>
        <v>125.06666666666668</v>
      </c>
      <c r="P15" s="467">
        <f t="shared" si="1"/>
        <v>266.93333333333334</v>
      </c>
      <c r="Q15" s="467">
        <f t="shared" ca="1" si="1"/>
        <v>415439.40673527349</v>
      </c>
    </row>
    <row r="17" spans="1:17">
      <c r="A17" s="470" t="s">
        <v>567</v>
      </c>
      <c r="B17" s="774">
        <f ca="1">huishoudens!B10</f>
        <v>0.21542526031177134</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10353.4463418534</v>
      </c>
      <c r="C22" s="457">
        <f t="shared" ref="C22:C32" ca="1" si="3">C4*$C$17</f>
        <v>0</v>
      </c>
      <c r="D22" s="457">
        <f t="shared" ref="D22:D32" si="4">D4*$D$17</f>
        <v>21918.9153578113</v>
      </c>
      <c r="E22" s="457">
        <f t="shared" ref="E22:E32" si="5">E4*$E$17</f>
        <v>2664.3344376120158</v>
      </c>
      <c r="F22" s="457">
        <f t="shared" ref="F22:F32" si="6">F4*$F$17</f>
        <v>2098.9412480730352</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37035.63738534975</v>
      </c>
    </row>
    <row r="23" spans="1:17">
      <c r="A23" s="456" t="s">
        <v>155</v>
      </c>
      <c r="B23" s="457">
        <f t="shared" ca="1" si="2"/>
        <v>5333.7582386922622</v>
      </c>
      <c r="C23" s="457">
        <f t="shared" ca="1" si="3"/>
        <v>0</v>
      </c>
      <c r="D23" s="457">
        <f t="shared" ca="1" si="4"/>
        <v>7235.1685918708954</v>
      </c>
      <c r="E23" s="457">
        <f t="shared" si="5"/>
        <v>86.563286704080298</v>
      </c>
      <c r="F23" s="457">
        <f t="shared" ca="1" si="6"/>
        <v>1305.4606992470601</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13960.950816514298</v>
      </c>
    </row>
    <row r="24" spans="1:17">
      <c r="A24" s="456" t="s">
        <v>193</v>
      </c>
      <c r="B24" s="457">
        <f t="shared" ca="1" si="2"/>
        <v>260.37050949691775</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260.37050949691775</v>
      </c>
    </row>
    <row r="25" spans="1:17">
      <c r="A25" s="456" t="s">
        <v>111</v>
      </c>
      <c r="B25" s="457">
        <f t="shared" ca="1" si="2"/>
        <v>123.63572845918335</v>
      </c>
      <c r="C25" s="457">
        <f t="shared" ca="1" si="3"/>
        <v>0</v>
      </c>
      <c r="D25" s="457">
        <f t="shared" si="4"/>
        <v>184.62420032515482</v>
      </c>
      <c r="E25" s="457">
        <f t="shared" si="5"/>
        <v>1.3643061429237451</v>
      </c>
      <c r="F25" s="457">
        <f t="shared" si="6"/>
        <v>655.96322216090061</v>
      </c>
      <c r="G25" s="457">
        <f t="shared" si="7"/>
        <v>0</v>
      </c>
      <c r="H25" s="457">
        <f t="shared" si="8"/>
        <v>0</v>
      </c>
      <c r="I25" s="457">
        <f t="shared" si="9"/>
        <v>0</v>
      </c>
      <c r="J25" s="457">
        <f t="shared" si="10"/>
        <v>18.144527992134712</v>
      </c>
      <c r="K25" s="457">
        <f t="shared" si="11"/>
        <v>0</v>
      </c>
      <c r="L25" s="457">
        <f t="shared" si="12"/>
        <v>0</v>
      </c>
      <c r="M25" s="457">
        <f t="shared" si="13"/>
        <v>0</v>
      </c>
      <c r="N25" s="457">
        <f t="shared" si="14"/>
        <v>0</v>
      </c>
      <c r="O25" s="457">
        <f t="shared" si="15"/>
        <v>0</v>
      </c>
      <c r="P25" s="458">
        <f t="shared" si="16"/>
        <v>0</v>
      </c>
      <c r="Q25" s="456">
        <f t="shared" ca="1" si="17"/>
        <v>983.73198508029725</v>
      </c>
    </row>
    <row r="26" spans="1:17">
      <c r="A26" s="456" t="s">
        <v>654</v>
      </c>
      <c r="B26" s="457">
        <f t="shared" ca="1" si="2"/>
        <v>521.52028778679437</v>
      </c>
      <c r="C26" s="457">
        <f t="shared" ca="1" si="3"/>
        <v>0</v>
      </c>
      <c r="D26" s="457">
        <f t="shared" si="4"/>
        <v>641.73804632063525</v>
      </c>
      <c r="E26" s="457">
        <f t="shared" si="5"/>
        <v>7.329417886544884</v>
      </c>
      <c r="F26" s="457">
        <f t="shared" si="6"/>
        <v>316.09003221268273</v>
      </c>
      <c r="G26" s="457">
        <f t="shared" si="7"/>
        <v>0</v>
      </c>
      <c r="H26" s="457">
        <f t="shared" si="8"/>
        <v>0</v>
      </c>
      <c r="I26" s="457">
        <f t="shared" si="9"/>
        <v>0</v>
      </c>
      <c r="J26" s="457">
        <f t="shared" si="10"/>
        <v>2.5330463594316677</v>
      </c>
      <c r="K26" s="457">
        <f t="shared" si="11"/>
        <v>0</v>
      </c>
      <c r="L26" s="457">
        <f t="shared" si="12"/>
        <v>0</v>
      </c>
      <c r="M26" s="457">
        <f t="shared" si="13"/>
        <v>0</v>
      </c>
      <c r="N26" s="457">
        <f t="shared" si="14"/>
        <v>0</v>
      </c>
      <c r="O26" s="457">
        <f t="shared" si="15"/>
        <v>0</v>
      </c>
      <c r="P26" s="458">
        <f t="shared" si="16"/>
        <v>0</v>
      </c>
      <c r="Q26" s="456">
        <f t="shared" ca="1" si="17"/>
        <v>1489.2108305660888</v>
      </c>
    </row>
    <row r="27" spans="1:17" s="462" customFormat="1">
      <c r="A27" s="460" t="s">
        <v>572</v>
      </c>
      <c r="B27" s="768">
        <f t="shared" ca="1" si="2"/>
        <v>0.19217863966094323</v>
      </c>
      <c r="C27" s="461">
        <f t="shared" ca="1" si="3"/>
        <v>0</v>
      </c>
      <c r="D27" s="461">
        <f t="shared" si="4"/>
        <v>0.96743051810937586</v>
      </c>
      <c r="E27" s="461">
        <f t="shared" si="5"/>
        <v>117.92245299817547</v>
      </c>
      <c r="F27" s="461">
        <f t="shared" si="6"/>
        <v>0</v>
      </c>
      <c r="G27" s="461">
        <f t="shared" si="7"/>
        <v>28698.404085411334</v>
      </c>
      <c r="H27" s="461">
        <f t="shared" si="8"/>
        <v>4168.2284324552384</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32985.714580022519</v>
      </c>
    </row>
    <row r="28" spans="1:17">
      <c r="A28" s="456" t="s">
        <v>562</v>
      </c>
      <c r="B28" s="457">
        <f t="shared" ca="1" si="2"/>
        <v>0</v>
      </c>
      <c r="C28" s="457">
        <f t="shared" ca="1" si="3"/>
        <v>0</v>
      </c>
      <c r="D28" s="457">
        <f t="shared" si="4"/>
        <v>0</v>
      </c>
      <c r="E28" s="457">
        <f t="shared" si="5"/>
        <v>0</v>
      </c>
      <c r="F28" s="457">
        <f t="shared" si="6"/>
        <v>0</v>
      </c>
      <c r="G28" s="457">
        <f t="shared" si="7"/>
        <v>553.97764678003318</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553.97764678003318</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388.67937300079888</v>
      </c>
      <c r="C32" s="457">
        <f t="shared" ca="1" si="3"/>
        <v>0</v>
      </c>
      <c r="D32" s="457">
        <f t="shared" si="4"/>
        <v>844.99557208867111</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1233.6749450894699</v>
      </c>
    </row>
    <row r="33" spans="1:17" s="469" customFormat="1">
      <c r="A33" s="466" t="s">
        <v>566</v>
      </c>
      <c r="B33" s="467">
        <f ca="1">SUM(B22:B32)</f>
        <v>16981.602657929016</v>
      </c>
      <c r="C33" s="467">
        <f t="shared" ref="C33:Q33" ca="1" si="19">SUM(C22:C32)</f>
        <v>0</v>
      </c>
      <c r="D33" s="467">
        <f t="shared" ca="1" si="19"/>
        <v>30826.409198934765</v>
      </c>
      <c r="E33" s="467">
        <f t="shared" si="19"/>
        <v>2877.5139013437406</v>
      </c>
      <c r="F33" s="467">
        <f t="shared" ca="1" si="19"/>
        <v>4376.4552016936786</v>
      </c>
      <c r="G33" s="467">
        <f t="shared" si="19"/>
        <v>29252.381732191367</v>
      </c>
      <c r="H33" s="467">
        <f t="shared" si="19"/>
        <v>4168.2284324552384</v>
      </c>
      <c r="I33" s="467">
        <f t="shared" si="19"/>
        <v>0</v>
      </c>
      <c r="J33" s="467">
        <f t="shared" si="19"/>
        <v>20.677574351566381</v>
      </c>
      <c r="K33" s="467">
        <f t="shared" si="19"/>
        <v>0</v>
      </c>
      <c r="L33" s="467">
        <f t="shared" ca="1" si="19"/>
        <v>0</v>
      </c>
      <c r="M33" s="467">
        <f t="shared" si="19"/>
        <v>0</v>
      </c>
      <c r="N33" s="467">
        <f t="shared" ca="1" si="19"/>
        <v>0</v>
      </c>
      <c r="O33" s="467">
        <f t="shared" si="19"/>
        <v>0</v>
      </c>
      <c r="P33" s="467">
        <f t="shared" si="19"/>
        <v>0</v>
      </c>
      <c r="Q33" s="467">
        <f t="shared" ca="1" si="19"/>
        <v>88503.268698899381</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1988.4485926456764</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1988.4485926456764</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0.21542526031177134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0.21542526031177134</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2020-06-20T16:36:09Z</dcterms:modified>
</cp:coreProperties>
</file>