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D4" i="48"/>
  <c r="D22" i="48" s="1"/>
  <c r="E11" i="14"/>
  <c r="P11" i="14"/>
  <c r="O4" i="48"/>
  <c r="O22" i="48" s="1"/>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<sst xmlns="http://schemas.openxmlformats.org/spreadsheetml/2006/main" count="2513" uniqueCount="971">
  <si>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</si>
  <si>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</si>
  <si>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</si>
  <si>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</si>
  <si>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</si>
  <si>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</si>
  <si>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</si>
  <si>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</si>
  <si>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</si>
  <si>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</si>
  <si>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</si>
  <si>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</si>
  <si>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</si>
  <si>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</si>
  <si>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</si>
  <si>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</si>
  <si>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</si>
  <si>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</si>
  <si>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</si>
  <si>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</si>
  <si>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</si>
  <si>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</si>
  <si>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</si>
  <si>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</si>
  <si>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</si>
  <si>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</si>
  <si>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</si>
  <si>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</si>
  <si>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</si>
  <si>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</si>
  <si>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</si>
  <si>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</si>
  <si>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</si>
  <si>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</si>
  <si>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</si>
  <si>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</si>
  <si>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</si>
  <si>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</si>
  <si>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</si>
  <si>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</si>
  <si>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</si>
  <si>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</si>
  <si>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</si>
  <si>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</si>
  <si>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</si>
  <si>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</si>
  <si>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</si>
  <si>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</si>
  <si>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</si>
  <si>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</si>
  <si>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</si>
  <si>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</si>
  <si>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</si>
  <si>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</si>
  <si>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</si>
  <si>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</si>
  <si>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</si>
  <si>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</si>
  <si>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</si>
  <si>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</si>
  <si>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</si>
  <si>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</si>
  <si>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</si>
  <si>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</si>
  <si>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</si>
  <si>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</si>
  <si>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</si>
  <si>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</si>
  <si>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</si>
  <si>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</si>
  <si>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</si>
  <si>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</si>
  <si>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</si>
  <si>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</si>
  <si>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</si>
  <si>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</si>
  <si>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</si>
  <si>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</si>
  <si>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</si>
  <si>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</si>
  <si>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</si>
  <si>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</si>
  <si>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</si>
  <si>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</si>
  <si>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</si>
  <si>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</si>
  <si>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</si>
  <si>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</si>
  <si>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</si>
  <si>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</si>
  <si>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</si>
  <si>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</si>
  <si>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</si>
  <si>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</si>
  <si>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</si>
  <si>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</si>
  <si>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</si>
  <si>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</si>
  <si>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</si>
  <si>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</si>
  <si>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</si>
  <si>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</si>
  <si>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</si>
  <si>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</si>
  <si>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</si>
  <si>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</si>
  <si>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</si>
  <si>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</si>
  <si>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</si>
  <si>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</si>
  <si>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</si>
  <si>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</si>
  <si>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</si>
  <si>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</si>
  <si>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</si>
  <si>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</si>
  <si>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</si>
  <si>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</si>
  <si>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</si>
  <si>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</si>
  <si>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</si>
  <si>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</si>
  <si>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</si>
  <si>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</si>
  <si>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</si>
  <si>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</si>
  <si>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</si>
  <si>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</si>
  <si>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</si>
  <si>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</si>
  <si>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</si>
  <si>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</si>
  <si>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</si>
  <si>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</si>
  <si>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</si>
  <si>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</si>
  <si>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</si>
  <si>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</si>
  <si>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</si>
  <si>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</si>
  <si>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</si>
  <si>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</si>
  <si>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</si>
  <si>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</si>
  <si>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</si>
  <si>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</si>
  <si>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</si>
  <si>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</si>
  <si>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</si>
  <si>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</si>
  <si>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</si>
  <si>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</si>
  <si>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</si>
  <si>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</si>
  <si>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</si>
  <si>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</si>
  <si>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</si>
  <si>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</si>
  <si>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</si>
  <si>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</si>
  <si>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</si>
  <si>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</si>
  <si>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</si>
  <si>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</si>
  <si>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</si>
  <si>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</si>
  <si>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</si>
  <si>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</si>
  <si>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</si>
  <si>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</si>
  <si>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</si>
  <si>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</si>
  <si>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</si>
  <si>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</si>
  <si>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</si>
  <si>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</si>
  <si>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</si>
  <si>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</si>
  <si>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</si>
  <si>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</si>
  <si>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</si>
  <si>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</si>
  <si>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</si>
  <si>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</si>
  <si>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</si>
  <si>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</si>
  <si>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</si>
  <si>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</si>
  <si>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</si>
  <si>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</si>
  <si>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</si>
  <si>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</si>
  <si>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</si>
  <si>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</si>
  <si>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</si>
  <si>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</si>
  <si>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</si>
  <si>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</si>
  <si>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</si>
  <si>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</si>
  <si>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</si>
  <si>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</si>
  <si>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</si>
  <si>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</si>
  <si>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</si>
  <si>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</si>
  <si>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</si>
  <si>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</si>
  <si>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</si>
  <si>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</si>
  <si>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</si>
  <si>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</si>
  <si>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</si>
  <si>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</si>
  <si>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</si>
  <si>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</si>
  <si>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</si>
  <si>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</si>
  <si>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</si>
  <si>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</si>
  <si>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</si>
  <si>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</si>
  <si>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</si>
  <si>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</si>
  <si>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</si>
  <si>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</si>
  <si>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</si>
  <si>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</si>
  <si>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</si>
  <si>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</si>
  <si>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</si>
  <si>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</si>
  <si>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</si>
  <si>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</si>
  <si>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</si>
  <si>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</si>
  <si>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</si>
  <si>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</si>
  <si>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</si>
  <si>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</si>
  <si>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</si>
  <si>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</si>
  <si>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</si>
  <si>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</si>
  <si>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</si>
  <si>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</si>
  <si>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</si>
  <si>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</si>
  <si>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</si>
  <si>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</si>
  <si>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</si>
  <si>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</si>
  <si>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</si>
  <si>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</si>
  <si>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</si>
  <si>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</si>
  <si>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</si>
  <si>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</si>
  <si>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</si>
  <si>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</si>
  <si>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</si>
  <si>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</si>
  <si>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</si>
  <si>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</si>
  <si>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</si>
  <si>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</si>
  <si>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</si>
  <si>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</si>
  <si>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</si>
  <si>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</si>
  <si>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</si>
  <si>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</si>
  <si>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</si>
  <si>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</si>
  <si>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</si>
  <si>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</si>
  <si>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</si>
  <si>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</si>
  <si>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</si>
  <si>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</si>
  <si>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</si>
  <si>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</si>
  <si>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</si>
  <si>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</si>
  <si>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</si>
  <si>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</si>
  <si>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</si>
  <si>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</si>
  <si>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</si>
  <si>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</si>
  <si>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</si>
  <si>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</si>
  <si>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</si>
  <si>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</si>
  <si>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</si>
  <si>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</si>
  <si>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</si>
  <si>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</si>
  <si>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</si>
  <si>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</si>
  <si>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</si>
  <si>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</si>
  <si>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</si>
  <si>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</si>
  <si>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</si>
  <si>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</si>
  <si>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</si>
  <si>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</si>
  <si>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</si>
  <si>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</si>
  <si>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</si>
  <si>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</si>
  <si>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</si>
  <si>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</si>
  <si>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</si>
  <si>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</si>
  <si>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</si>
  <si>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</si>
  <si>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</si>
  <si>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</si>
  <si>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</si>
  <si>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</si>
  <si>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</si>
  <si>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</si>
  <si>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</si>
  <si>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</si>
  <si>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</si>
  <si>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</si>
  <si>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</si>
  <si>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</si>
  <si>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</si>
  <si>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</si>
  <si>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</si>
  <si>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</si>
  <si>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</si>
  <si>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</si>
  <si>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</si>
  <si>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</si>
  <si>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</si>
  <si>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</si>
  <si>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</si>
  <si>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</si>
  <si>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</si>
  <si>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</si>
  <si>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</si>
  <si>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</si>
  <si>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</si>
  <si>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</si>
  <si>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</si>
  <si>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</si>
  <si>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</si>
  <si>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</si>
  <si>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</si>
  <si>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</si>
  <si>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</si>
  <si>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</si>
  <si>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</si>
  <si>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</si>
  <si>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</si>
  <si>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</si>
  <si>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</si>
  <si>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</si>
  <si>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</si>
  <si>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</si>
  <si>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</si>
  <si>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</si>
  <si>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</si>
  <si>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</si>
  <si>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</si>
  <si>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</si>
  <si>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</si>
  <si>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</si>
  <si>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</si>
  <si>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</si>
  <si>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</si>
  <si>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</si>
  <si>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</si>
  <si>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</si>
  <si>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</si>
  <si>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</si>
  <si>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</si>
  <si>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</si>
  <si>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</si>
  <si>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</si>
  <si>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</si>
  <si>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</si>
  <si>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</si>
  <si>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</si>
  <si>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</si>
  <si>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</si>
  <si>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</si>
  <si>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</si>
  <si>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</si>
  <si>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</si>
  <si>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</si>
  <si>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</si>
  <si>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</si>
  <si>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</si>
  <si>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</si>
  <si>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</si>
  <si>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</si>
  <si>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</si>
  <si>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</si>
  <si>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</si>
  <si>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</si>
  <si>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</si>
  <si>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</si>
  <si>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</si>
  <si>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</si>
  <si>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</si>
  <si>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</si>
  <si>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</si>
  <si>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</si>
  <si>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</si>
  <si>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</si>
  <si>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</si>
  <si>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</si>
  <si>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</si>
  <si>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</si>
  <si>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</si>
  <si>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</si>
  <si>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</si>
  <si>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</si>
  <si>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</si>
  <si>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</si>
  <si>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</si>
  <si>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</si>
  <si>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</si>
  <si>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</si>
  <si>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</si>
  <si>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</si>
  <si>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</si>
  <si>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</si>
  <si>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</si>
  <si>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</si>
  <si>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</si>
  <si>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</si>
  <si>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</si>
  <si>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</si>
  <si>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</si>
  <si>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</si>
  <si>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</si>
  <si>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</si>
  <si>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</si>
  <si>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</si>
  <si>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</si>
  <si>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</si>
  <si>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</si>
  <si>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</si>
  <si>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</si>
  <si>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</si>
  <si>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</si>
  <si>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</si>
  <si>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</si>
  <si>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</si>
  <si>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</si>
  <si>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</si>
  <si>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</si>
  <si>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</si>
  <si>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</si>
  <si>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</si>
  <si>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</si>
  <si>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</si>
  <si>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</si>
  <si>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</si>
  <si>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</si>
  <si>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</si>
  <si>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</si>
  <si>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</si>
  <si>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</si>
  <si>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</si>
  <si>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</si>
  <si>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</si>
  <si>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</si>
  <si>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</si>
  <si>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</si>
  <si>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</si>
  <si>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</si>
  <si>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</si>
  <si>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</si>
  <si>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</si>
  <si>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</si>
  <si>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</si>
  <si>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</si>
  <si>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</si>
  <si>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</si>
  <si>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</si>
  <si>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</si>
  <si>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</si>
  <si>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</si>
  <si>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</si>
  <si>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</si>
  <si>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</si>
  <si>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</si>
  <si>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</si>
  <si>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</si>
  <si>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</si>
  <si>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</si>
  <si>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</si>
  <si>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</si>
  <si>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</si>
  <si>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</si>
  <si>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</si>
  <si>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</si>
  <si>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</si>
  <si>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</si>
  <si>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</si>
  <si>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</si>
  <si>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</si>
  <si>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</si>
  <si>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</si>
  <si>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</si>
  <si>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</si>
  <si>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</si>
  <si>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</si>
  <si>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</si>
  <si>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</si>
  <si>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</si>
  <si>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</si>
  <si>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</si>
  <si>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</si>
  <si>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</si>
  <si>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</si>
  <si>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</si>
  <si>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</si>
  <si>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</si>
  <si>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</si>
  <si>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</si>
  <si>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</si>
  <si>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</si>
  <si>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</si>
  <si>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</si>
  <si>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</si>
  <si>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</si>
  <si>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</si>
  <si>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</si>
  <si>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</si>
  <si>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</si>
  <si>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</si>
  <si>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</si>
  <si>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</si>
  <si>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</si>
  <si>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</si>
  <si>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</si>
  <si>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</si>
  <si>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</si>
  <si>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</si>
  <si>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</si>
  <si>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</si>
  <si>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</si>
  <si>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</si>
  <si>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</si>
  <si>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</si>
  <si>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</si>
  <si>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</si>
  <si>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</si>
  <si>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</si>
  <si>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</si>
  <si>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</si>
  <si>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</si>
  <si>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</si>
  <si>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</si>
  <si>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</si>
  <si>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</si>
  <si>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</si>
  <si>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</si>
  <si>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</si>
  <si>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</si>
  <si>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</si>
  <si>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</si>
  <si>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</si>
  <si>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</si>
  <si>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</si>
  <si>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</si>
  <si>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</si>
  <si>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</si>
  <si>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</si>
  <si>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</si>
  <si>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</si>
  <si>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</si>
  <si>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</si>
  <si>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</si>
  <si>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</si>
  <si>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</si>
  <si>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</si>
  <si>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</si>
  <si>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</si>
  <si>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</si>
  <si>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</si>
  <si>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</si>
  <si>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</si>
  <si>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</si>
  <si>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</si>
  <si>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</si>
  <si>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</si>
  <si>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</si>
  <si>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</si>
  <si>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</si>
  <si>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</si>
  <si>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</si>
  <si>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</si>
  <si>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</si>
  <si>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</si>
  <si>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</si>
  <si>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</si>
  <si>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</si>
  <si>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</si>
  <si>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</si>
  <si>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</si>
  <si>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</si>
  <si>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</si>
  <si>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</si>
  <si>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</si>
  <si>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</si>
  <si>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</si>
  <si>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</si>
  <si>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</si>
  <si>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</si>
  <si>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</si>
  <si>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</si>
  <si>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</si>
  <si>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</si>
  <si>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</si>
  <si>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</si>
  <si>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</si>
  <si>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</si>
  <si>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</si>
  <si>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</si>
  <si>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</si>
  <si>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</si>
  <si>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</si>
  <si>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</si>
  <si>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</si>
  <si>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</si>
  <si>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</si>
  <si>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</si>
  <si>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</si>
  <si>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</si>
  <si>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</si>
  <si>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</si>
  <si>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</si>
  <si>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</si>
  <si>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</si>
  <si>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</si>
  <si>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</si>
  <si>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</si>
  <si>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</si>
  <si>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</si>
  <si>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</si>
  <si>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</si>
  <si>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</si>
  <si>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</si>
  <si>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</si>
  <si>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</si>
  <si>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</si>
  <si>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</si>
  <si>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</si>
  <si>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</si>
  <si>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</si>
  <si>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</si>
  <si>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</si>
  <si>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</si>
  <si>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</si>
  <si>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</si>
  <si>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</si>
  <si>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</si>
  <si>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</si>
  <si>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</si>
  <si>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</si>
  <si>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</si>
  <si>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</si>
  <si>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</si>
  <si>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</si>
  <si>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</si>
  <si>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</si>
  <si>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</si>
  <si>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</si>
  <si>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</si>
  <si>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</si>
  <si>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</si>
  <si>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</si>
  <si>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</si>
  <si>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</si>
  <si>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</si>
  <si>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</si>
  <si>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</si>
  <si>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</si>
  <si>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</si>
  <si>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</si>
  <si>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</si>
  <si>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</si>
  <si>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</si>
  <si>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</si>
  <si>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</si>
  <si>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</si>
  <si>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</si>
  <si>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</si>
  <si>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</si>
  <si>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</si>
  <si>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</si>
  <si>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</si>
  <si>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</si>
  <si>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</si>
  <si>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</si>
  <si>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</si>
  <si>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</si>
  <si>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</si>
  <si>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</si>
  <si>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</si>
  <si>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</si>
  <si>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</si>
  <si>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</si>
  <si>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</si>
  <si>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</si>
  <si>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</si>
  <si>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</si>
  <si>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</si>
  <si>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</si>
  <si>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</si>
  <si>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</si>
  <si>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</si>
  <si>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</si>
  <si>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</si>
  <si>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</si>
  <si>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</si>
  <si>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</si>
  <si>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</si>
  <si>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</si>
  <si>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</si>
  <si>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</si>
  <si>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</si>
  <si>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</si>
  <si>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</si>
  <si>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</si>
  <si>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</si>
  <si>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</si>
  <si>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</si>
  <si>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</si>
  <si>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</si>
  <si>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</si>
  <si>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</si>
  <si>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</si>
  <si>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</si>
  <si>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</si>
  <si>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</si>
  <si>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</si>
  <si>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</si>
  <si>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</si>
  <si>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</si>
  <si>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</si>
  <si>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</si>
  <si>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</si>
  <si>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</si>
  <si>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</si>
  <si>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</si>
  <si>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</si>
  <si>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</si>
  <si>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</si>
  <si>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</si>
  <si>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</si>
  <si>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</si>
  <si>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</si>
  <si>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</si>
  <si>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</si>
  <si>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</si>
  <si>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</si>
  <si>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</si>
  <si>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</si>
  <si>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</si>
  <si>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</si>
  <si>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</si>
  <si>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</si>
  <si>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</si>
  <si>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</si>
  <si>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</si>
  <si>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</si>
  <si>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</si>
  <si>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</si>
  <si>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</si>
  <si>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</si>
  <si>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</si>
  <si>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</si>
  <si>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</si>
  <si>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</si>
  <si>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</si>
  <si>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</si>
  <si>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</si>
  <si>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</si>
  <si>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</si>
  <si>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</si>
  <si>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</si>
  <si>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</si>
  <si>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</si>
  <si>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</si>
  <si>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</si>
  <si>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</si>
  <si>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</si>
  <si>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</si>
  <si>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</si>
  <si>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</si>
  <si>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</si>
  <si>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</si>
  <si>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</si>
  <si>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</si>
  <si>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</si>
  <si>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</si>
  <si>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</si>
  <si>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</si>
  <si>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</si>
  <si>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</si>
  <si>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</si>
  <si>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</si>
  <si>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</si>
  <si>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</si>
  <si>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</si>
  <si>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</si>
  <si>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</si>
  <si>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</si>
  <si>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</si>
  <si>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</si>
  <si>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</si>
  <si>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</si>
  <si>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</si>
  <si>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</si>
  <si>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</si>
  <si>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</si>
  <si>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</si>
  <si>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</si>
  <si>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</si>
  <si>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</si>
  <si>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</si>
  <si>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</si>
  <si>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</si>
  <si>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</si>
  <si>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</si>
  <si>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</si>
  <si>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</si>
  <si>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</si>
  <si>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</si>
  <si>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</si>
  <si>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</si>
  <si>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</si>
  <si>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</si>
  <si>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</si>
  <si>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</si>
  <si>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</si>
  <si>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</si>
  <si>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</si>
  <si>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</si>
  <si>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</si>
  <si>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</si>
  <si>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</si>
  <si>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</si>
  <si>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</si>
  <si>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</si>
  <si>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</si>
  <si>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</si>
  <si>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</si>
  <si>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</si>
  <si>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</si>
  <si>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</si>
  <si>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</si>
  <si>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</si>
  <si>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</si>
  <si>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</si>
  <si>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</si>
  <si>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</si>
  <si>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</si>
  <si>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</si>
  <si>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</si>
  <si>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</si>
  <si>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</si>
  <si>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</si>
  <si>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</si>
  <si>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</si>
  <si>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</si>
  <si>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</si>
  <si>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</si>
  <si>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</si>
  <si>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</si>
  <si>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</si>
  <si>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</si>
  <si>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</si>
  <si>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</si>
  <si>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</si>
  <si>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</si>
  <si>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</si>
  <si>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</si>
  <si>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</si>
  <si>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</si>
  <si>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</si>
  <si>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</si>
  <si>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</si>
  <si>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</si>
  <si>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</si>
  <si>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</si>
  <si>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</si>
  <si>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</si>
  <si>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</si>
  <si>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</si>
  <si>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</si>
  <si>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</si>
  <si>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</si>
  <si>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</si>
  <si>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</si>
  <si>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</si>
  <si>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</si>
  <si>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</si>
  <si>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</si>
  <si>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</si>
  <si>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</si>
  <si>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</si>
  <si>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</si>
  <si>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</si>
  <si>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</si>
  <si>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</si>
  <si>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</si>
  <si>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</si>
  <si>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</si>
  <si>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</si>
  <si>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</si>
  <si>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</si>
  <si>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</si>
  <si>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</si>
  <si>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</si>
  <si>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</si>
  <si>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</si>
  <si>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</si>
  <si>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</si>
  <si>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</si>
  <si>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</si>
  <si>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</si>
  <si>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</si>
  <si>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</si>
  <si>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</si>
  <si>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</si>
  <si>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</si>
  <si>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</si>
  <si>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</si>
  <si>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</si>
  <si>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</si>
  <si>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</si>
  <si>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</si>
  <si>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</si>
  <si>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</si>
  <si>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</si>
  <si>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</si>
  <si>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</si>
  <si>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</si>
  <si>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</si>
  <si>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</si>
  <si>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</si>
  <si>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</si>
  <si>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</si>
  <si>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</si>
  <si>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</si>
  <si>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</si>
  <si>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</si>
  <si>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</si>
  <si>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</si>
  <si>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</si>
  <si>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</si>
  <si>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</si>
  <si>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</si>
  <si>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11039</t>
  </si>
  <si>
    <t>SCHILDE</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</si>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</sst>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11039</v>
      </c>
      <c r="B6" s="394"/>
      <c r="C6" s="395"/>
    </row>
    <row r="7" spans="1:7" s="392" customFormat="1" ht="15.75" customHeight="1">
      <c r="A7" s="396" t="str">
        <f>txtMunicipality</f>
        <v>SCHILDE</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0.21867155838372587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0.21867155838372587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7763</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455</v>
      </c>
      <c r="C14" s="331"/>
      <c r="D14" s="331"/>
      <c r="E14" s="331"/>
      <c r="F14" s="331"/>
    </row>
    <row r="15" spans="1:6">
      <c r="A15" s="1290" t="s">
        <v>183</v>
      </c>
      <c r="B15" s="1291">
        <v>2</v>
      </c>
      <c r="C15" s="331"/>
      <c r="D15" s="331"/>
      <c r="E15" s="331"/>
      <c r="F15" s="331"/>
    </row>
    <row r="16" spans="1:6">
      <c r="A16" s="1290" t="s">
        <v>6</v>
      </c>
      <c r="B16" s="1291">
        <v>94</v>
      </c>
      <c r="C16" s="331"/>
      <c r="D16" s="331"/>
      <c r="E16" s="331"/>
      <c r="F16" s="331"/>
    </row>
    <row r="17" spans="1:6">
      <c r="A17" s="1290" t="s">
        <v>7</v>
      </c>
      <c r="B17" s="1291">
        <v>32</v>
      </c>
      <c r="C17" s="331"/>
      <c r="D17" s="331"/>
      <c r="E17" s="331"/>
      <c r="F17" s="331"/>
    </row>
    <row r="18" spans="1:6">
      <c r="A18" s="1290" t="s">
        <v>8</v>
      </c>
      <c r="B18" s="1291">
        <v>75</v>
      </c>
      <c r="C18" s="331"/>
      <c r="D18" s="331"/>
      <c r="E18" s="331"/>
      <c r="F18" s="331"/>
    </row>
    <row r="19" spans="1:6">
      <c r="A19" s="1290" t="s">
        <v>9</v>
      </c>
      <c r="B19" s="1291">
        <v>69</v>
      </c>
      <c r="C19" s="331"/>
      <c r="D19" s="331"/>
      <c r="E19" s="331"/>
      <c r="F19" s="331"/>
    </row>
    <row r="20" spans="1:6">
      <c r="A20" s="1290" t="s">
        <v>10</v>
      </c>
      <c r="B20" s="1291">
        <v>63</v>
      </c>
      <c r="C20" s="331"/>
      <c r="D20" s="331"/>
      <c r="E20" s="331"/>
      <c r="F20" s="331"/>
    </row>
    <row r="21" spans="1:6">
      <c r="A21" s="1290" t="s">
        <v>11</v>
      </c>
      <c r="B21" s="1291">
        <v>47</v>
      </c>
      <c r="C21" s="331"/>
      <c r="D21" s="331"/>
      <c r="E21" s="331"/>
      <c r="F21" s="331"/>
    </row>
    <row r="22" spans="1:6">
      <c r="A22" s="1290" t="s">
        <v>12</v>
      </c>
      <c r="B22" s="1291">
        <v>12</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4</v>
      </c>
      <c r="C25" s="331"/>
      <c r="D25" s="331"/>
      <c r="E25" s="331"/>
      <c r="F25" s="331"/>
    </row>
    <row r="26" spans="1:6">
      <c r="A26" s="1290" t="s">
        <v>16</v>
      </c>
      <c r="B26" s="1291">
        <v>10</v>
      </c>
      <c r="C26" s="331"/>
      <c r="D26" s="331"/>
      <c r="E26" s="331"/>
      <c r="F26" s="331"/>
    </row>
    <row r="27" spans="1:6">
      <c r="A27" s="1290" t="s">
        <v>17</v>
      </c>
      <c r="B27" s="1291">
        <v>0</v>
      </c>
      <c r="C27" s="331"/>
      <c r="D27" s="331"/>
      <c r="E27" s="331"/>
      <c r="F27" s="331"/>
    </row>
    <row r="28" spans="1:6" s="43" customFormat="1">
      <c r="A28" s="1292" t="s">
        <v>18</v>
      </c>
      <c r="B28" s="1293">
        <v>0</v>
      </c>
      <c r="C28" s="337"/>
      <c r="D28" s="337"/>
      <c r="E28" s="337"/>
      <c r="F28" s="337"/>
    </row>
    <row r="29" spans="1:6">
      <c r="A29" s="1292" t="s">
        <v>966</v>
      </c>
      <c r="B29" s="1293">
        <v>228</v>
      </c>
      <c r="C29" s="337"/>
      <c r="D29" s="337"/>
      <c r="E29" s="337"/>
      <c r="F29" s="337"/>
    </row>
    <row r="30" spans="1:6">
      <c r="A30" s="1285" t="s">
        <v>967</v>
      </c>
      <c r="B30" s="1294">
        <v>26</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1</v>
      </c>
      <c r="D38" s="1291">
        <v>22141.606146356498</v>
      </c>
      <c r="E38" s="1291">
        <v>4</v>
      </c>
      <c r="F38" s="1291">
        <v>58665.003539332298</v>
      </c>
    </row>
    <row r="39" spans="1:6">
      <c r="A39" s="1290" t="s">
        <v>29</v>
      </c>
      <c r="B39" s="1290" t="s">
        <v>30</v>
      </c>
      <c r="C39" s="1291">
        <v>4967</v>
      </c>
      <c r="D39" s="1291">
        <v>142509711.87688801</v>
      </c>
      <c r="E39" s="1291">
        <v>7403</v>
      </c>
      <c r="F39" s="1291">
        <v>50574911.2684194</v>
      </c>
    </row>
    <row r="40" spans="1:6">
      <c r="A40" s="1290" t="s">
        <v>29</v>
      </c>
      <c r="B40" s="1290" t="s">
        <v>28</v>
      </c>
      <c r="C40" s="1291">
        <v>0</v>
      </c>
      <c r="D40" s="1291">
        <v>0</v>
      </c>
      <c r="E40" s="1291">
        <v>0</v>
      </c>
      <c r="F40" s="1291">
        <v>0</v>
      </c>
    </row>
    <row r="41" spans="1:6">
      <c r="A41" s="1290" t="s">
        <v>31</v>
      </c>
      <c r="B41" s="1290" t="s">
        <v>32</v>
      </c>
      <c r="C41" s="1291">
        <v>58</v>
      </c>
      <c r="D41" s="1291">
        <v>1723572.4313229299</v>
      </c>
      <c r="E41" s="1291">
        <v>131</v>
      </c>
      <c r="F41" s="1291">
        <v>1173482.1472072101</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0</v>
      </c>
      <c r="F44" s="1291">
        <v>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26</v>
      </c>
      <c r="D48" s="1291">
        <v>1041167.88853775</v>
      </c>
      <c r="E48" s="1291">
        <v>28</v>
      </c>
      <c r="F48" s="1291">
        <v>377634.66549580602</v>
      </c>
    </row>
    <row r="49" spans="1:6">
      <c r="A49" s="1290" t="s">
        <v>31</v>
      </c>
      <c r="B49" s="1290" t="s">
        <v>39</v>
      </c>
      <c r="C49" s="1291">
        <v>0</v>
      </c>
      <c r="D49" s="1291">
        <v>0</v>
      </c>
      <c r="E49" s="1291">
        <v>0</v>
      </c>
      <c r="F49" s="1291">
        <v>0</v>
      </c>
    </row>
    <row r="50" spans="1:6">
      <c r="A50" s="1290" t="s">
        <v>31</v>
      </c>
      <c r="B50" s="1290" t="s">
        <v>40</v>
      </c>
      <c r="C50" s="1291">
        <v>11</v>
      </c>
      <c r="D50" s="1291">
        <v>1168656.5008841199</v>
      </c>
      <c r="E50" s="1291">
        <v>11</v>
      </c>
      <c r="F50" s="1291">
        <v>568139.20833299996</v>
      </c>
    </row>
    <row r="51" spans="1:6">
      <c r="A51" s="1290" t="s">
        <v>41</v>
      </c>
      <c r="B51" s="1290" t="s">
        <v>42</v>
      </c>
      <c r="C51" s="1291">
        <v>3</v>
      </c>
      <c r="D51" s="1291">
        <v>124871.550582198</v>
      </c>
      <c r="E51" s="1291">
        <v>14</v>
      </c>
      <c r="F51" s="1291">
        <v>372389.18521290098</v>
      </c>
    </row>
    <row r="52" spans="1:6">
      <c r="A52" s="1290" t="s">
        <v>41</v>
      </c>
      <c r="B52" s="1290" t="s">
        <v>28</v>
      </c>
      <c r="C52" s="1291">
        <v>4</v>
      </c>
      <c r="D52" s="1291">
        <v>367469.71076204203</v>
      </c>
      <c r="E52" s="1291">
        <v>2</v>
      </c>
      <c r="F52" s="1291">
        <v>34534.947679638397</v>
      </c>
    </row>
    <row r="53" spans="1:6">
      <c r="A53" s="1290" t="s">
        <v>43</v>
      </c>
      <c r="B53" s="1290" t="s">
        <v>44</v>
      </c>
      <c r="C53" s="1291">
        <v>171</v>
      </c>
      <c r="D53" s="1291">
        <v>5821170.8432689896</v>
      </c>
      <c r="E53" s="1291">
        <v>264</v>
      </c>
      <c r="F53" s="1291">
        <v>2148098.6305172802</v>
      </c>
    </row>
    <row r="54" spans="1:6">
      <c r="A54" s="1290" t="s">
        <v>45</v>
      </c>
      <c r="B54" s="1290" t="s">
        <v>46</v>
      </c>
      <c r="C54" s="1291">
        <v>0</v>
      </c>
      <c r="D54" s="1291">
        <v>0</v>
      </c>
      <c r="E54" s="1291">
        <v>1</v>
      </c>
      <c r="F54" s="1291">
        <v>1152615</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45</v>
      </c>
      <c r="D57" s="1291">
        <v>1900351.1681363599</v>
      </c>
      <c r="E57" s="1291">
        <v>82</v>
      </c>
      <c r="F57" s="1291">
        <v>3652500.6150220199</v>
      </c>
    </row>
    <row r="58" spans="1:6">
      <c r="A58" s="1290" t="s">
        <v>48</v>
      </c>
      <c r="B58" s="1290" t="s">
        <v>50</v>
      </c>
      <c r="C58" s="1291">
        <v>31</v>
      </c>
      <c r="D58" s="1291">
        <v>1942949.1295370299</v>
      </c>
      <c r="E58" s="1291">
        <v>40</v>
      </c>
      <c r="F58" s="1291">
        <v>563634.91307411296</v>
      </c>
    </row>
    <row r="59" spans="1:6">
      <c r="A59" s="1290" t="s">
        <v>48</v>
      </c>
      <c r="B59" s="1290" t="s">
        <v>51</v>
      </c>
      <c r="C59" s="1291">
        <v>156</v>
      </c>
      <c r="D59" s="1291">
        <v>6002047.3797722897</v>
      </c>
      <c r="E59" s="1291">
        <v>268</v>
      </c>
      <c r="F59" s="1291">
        <v>8340460.1444087699</v>
      </c>
    </row>
    <row r="60" spans="1:6">
      <c r="A60" s="1290" t="s">
        <v>48</v>
      </c>
      <c r="B60" s="1290" t="s">
        <v>52</v>
      </c>
      <c r="C60" s="1291">
        <v>63</v>
      </c>
      <c r="D60" s="1291">
        <v>4314270.1436126996</v>
      </c>
      <c r="E60" s="1291">
        <v>70</v>
      </c>
      <c r="F60" s="1291">
        <v>2737343.1903870399</v>
      </c>
    </row>
    <row r="61" spans="1:6">
      <c r="A61" s="1290" t="s">
        <v>48</v>
      </c>
      <c r="B61" s="1290" t="s">
        <v>53</v>
      </c>
      <c r="C61" s="1291">
        <v>405</v>
      </c>
      <c r="D61" s="1291">
        <v>21075469.234351002</v>
      </c>
      <c r="E61" s="1291">
        <v>663</v>
      </c>
      <c r="F61" s="1291">
        <v>9479124.5299831796</v>
      </c>
    </row>
    <row r="62" spans="1:6">
      <c r="A62" s="1290" t="s">
        <v>48</v>
      </c>
      <c r="B62" s="1290" t="s">
        <v>54</v>
      </c>
      <c r="C62" s="1291">
        <v>12</v>
      </c>
      <c r="D62" s="1291">
        <v>4117403.2591215</v>
      </c>
      <c r="E62" s="1291">
        <v>20</v>
      </c>
      <c r="F62" s="1291">
        <v>793203.26612099702</v>
      </c>
    </row>
    <row r="63" spans="1:6">
      <c r="A63" s="1290" t="s">
        <v>48</v>
      </c>
      <c r="B63" s="1290" t="s">
        <v>28</v>
      </c>
      <c r="C63" s="1291">
        <v>105</v>
      </c>
      <c r="D63" s="1291">
        <v>7449771.8623863403</v>
      </c>
      <c r="E63" s="1291">
        <v>93</v>
      </c>
      <c r="F63" s="1291">
        <v>2428917.5471888599</v>
      </c>
    </row>
    <row r="64" spans="1:6">
      <c r="A64" s="1290" t="s">
        <v>55</v>
      </c>
      <c r="B64" s="1290" t="s">
        <v>56</v>
      </c>
      <c r="C64" s="1291">
        <v>0</v>
      </c>
      <c r="D64" s="1291">
        <v>0</v>
      </c>
      <c r="E64" s="1291">
        <v>0</v>
      </c>
      <c r="F64" s="1291">
        <v>0</v>
      </c>
    </row>
    <row r="65" spans="1:6">
      <c r="A65" s="1290" t="s">
        <v>55</v>
      </c>
      <c r="B65" s="1290" t="s">
        <v>28</v>
      </c>
      <c r="C65" s="1291">
        <v>4</v>
      </c>
      <c r="D65" s="1291">
        <v>85491.351482254104</v>
      </c>
      <c r="E65" s="1291">
        <v>3</v>
      </c>
      <c r="F65" s="1291">
        <v>47923.353565198602</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6</v>
      </c>
      <c r="F68" s="1294">
        <v>50991.190794660797</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90475240</v>
      </c>
      <c r="E73" s="455"/>
      <c r="F73" s="331"/>
    </row>
    <row r="74" spans="1:6">
      <c r="A74" s="1290" t="s">
        <v>63</v>
      </c>
      <c r="B74" s="1290" t="s">
        <v>773</v>
      </c>
      <c r="C74" s="1304" t="s">
        <v>774</v>
      </c>
      <c r="D74" s="1305">
        <v>4893055.6129601514</v>
      </c>
      <c r="E74" s="455"/>
      <c r="F74" s="331"/>
    </row>
    <row r="75" spans="1:6">
      <c r="A75" s="1290" t="s">
        <v>64</v>
      </c>
      <c r="B75" s="1290" t="s">
        <v>771</v>
      </c>
      <c r="C75" s="1304" t="s">
        <v>775</v>
      </c>
      <c r="D75" s="1305">
        <v>26325289</v>
      </c>
      <c r="E75" s="455"/>
      <c r="F75" s="331"/>
    </row>
    <row r="76" spans="1:6">
      <c r="A76" s="1290" t="s">
        <v>64</v>
      </c>
      <c r="B76" s="1290" t="s">
        <v>773</v>
      </c>
      <c r="C76" s="1304" t="s">
        <v>776</v>
      </c>
      <c r="D76" s="1305">
        <v>530187.61296015116</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597430.77407969756</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879.02619546696053</v>
      </c>
      <c r="C91" s="331"/>
      <c r="D91" s="331"/>
      <c r="E91" s="331"/>
      <c r="F91" s="331"/>
    </row>
    <row r="92" spans="1:6">
      <c r="A92" s="1285" t="s">
        <v>68</v>
      </c>
      <c r="B92" s="1286">
        <v>19.444971552493691</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3917</v>
      </c>
      <c r="C97" s="331"/>
      <c r="D97" s="331"/>
      <c r="E97" s="331"/>
      <c r="F97" s="331"/>
    </row>
    <row r="98" spans="1:6">
      <c r="A98" s="1290" t="s">
        <v>71</v>
      </c>
      <c r="B98" s="1291">
        <v>12</v>
      </c>
      <c r="C98" s="331"/>
      <c r="D98" s="331"/>
      <c r="E98" s="331"/>
      <c r="F98" s="331"/>
    </row>
    <row r="99" spans="1:6">
      <c r="A99" s="1290" t="s">
        <v>72</v>
      </c>
      <c r="B99" s="1291">
        <v>121</v>
      </c>
      <c r="C99" s="331"/>
      <c r="D99" s="331"/>
      <c r="E99" s="331"/>
      <c r="F99" s="331"/>
    </row>
    <row r="100" spans="1:6">
      <c r="A100" s="1290" t="s">
        <v>73</v>
      </c>
      <c r="B100" s="1291">
        <v>800</v>
      </c>
      <c r="C100" s="331"/>
      <c r="D100" s="331"/>
      <c r="E100" s="331"/>
      <c r="F100" s="331"/>
    </row>
    <row r="101" spans="1:6">
      <c r="A101" s="1290" t="s">
        <v>74</v>
      </c>
      <c r="B101" s="1291">
        <v>89</v>
      </c>
      <c r="C101" s="331"/>
      <c r="D101" s="331"/>
      <c r="E101" s="331"/>
      <c r="F101" s="331"/>
    </row>
    <row r="102" spans="1:6">
      <c r="A102" s="1290" t="s">
        <v>75</v>
      </c>
      <c r="B102" s="1291">
        <v>89</v>
      </c>
      <c r="C102" s="331"/>
      <c r="D102" s="331"/>
      <c r="E102" s="331"/>
      <c r="F102" s="331"/>
    </row>
    <row r="103" spans="1:6">
      <c r="A103" s="1290" t="s">
        <v>76</v>
      </c>
      <c r="B103" s="1291">
        <v>99</v>
      </c>
      <c r="C103" s="331"/>
      <c r="D103" s="331"/>
      <c r="E103" s="331"/>
      <c r="F103" s="331"/>
    </row>
    <row r="104" spans="1:6">
      <c r="A104" s="1290" t="s">
        <v>77</v>
      </c>
      <c r="B104" s="1291">
        <v>2065</v>
      </c>
      <c r="C104" s="331"/>
      <c r="D104" s="331"/>
      <c r="E104" s="331"/>
      <c r="F104" s="331"/>
    </row>
    <row r="105" spans="1:6">
      <c r="A105" s="1285" t="s">
        <v>78</v>
      </c>
      <c r="B105" s="1294">
        <v>8</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12</v>
      </c>
      <c r="C123" s="1291">
        <v>5</v>
      </c>
      <c r="D123" s="331"/>
      <c r="E123" s="331"/>
      <c r="F123" s="331"/>
    </row>
    <row r="124" spans="1:6" s="43" customFormat="1">
      <c r="A124" s="1292" t="s">
        <v>88</v>
      </c>
      <c r="B124" s="1313">
        <v>0</v>
      </c>
      <c r="C124" s="1313">
        <v>1</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31</v>
      </c>
      <c r="C129" s="331"/>
      <c r="D129" s="331"/>
      <c r="E129" s="331"/>
      <c r="F129" s="331"/>
    </row>
    <row r="130" spans="1:6">
      <c r="A130" s="1290" t="s">
        <v>294</v>
      </c>
      <c r="B130" s="1291">
        <v>2</v>
      </c>
      <c r="C130" s="331"/>
      <c r="D130" s="331"/>
      <c r="E130" s="331"/>
      <c r="F130" s="331"/>
    </row>
    <row r="131" spans="1:6">
      <c r="A131" s="1290" t="s">
        <v>295</v>
      </c>
      <c r="B131" s="1291">
        <v>0</v>
      </c>
      <c r="C131" s="331"/>
      <c r="D131" s="331"/>
      <c r="E131" s="331"/>
      <c r="F131" s="331"/>
    </row>
    <row r="132" spans="1:6">
      <c r="A132" s="1285" t="s">
        <v>296</v>
      </c>
      <c r="B132" s="1286">
        <v>10</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85276.83345096196</v>
      </c>
      <c r="C3" s="43" t="s">
        <v>169</v>
      </c>
      <c r="D3" s="43"/>
      <c r="E3" s="156"/>
      <c r="F3" s="43"/>
      <c r="G3" s="43"/>
      <c r="H3" s="43"/>
      <c r="I3" s="43"/>
      <c r="J3" s="43"/>
      <c r="K3" s="96"/>
    </row>
    <row r="4" spans="1:11">
      <c r="A4" s="362" t="s">
        <v>170</v>
      </c>
      <c r="B4" s="49">
        <f>IF(ISERROR('SEAP template'!B78+'SEAP template'!C78),0,'SEAP template'!B78+'SEAP template'!C78)</f>
        <v>898.47116701945424</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0.21867155838372587</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1152.615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1152.615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0.21867155838372587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252.04411826645818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50574.911268419397</v>
      </c>
      <c r="C5" s="17">
        <f>IF(ISERROR('Eigen informatie GS &amp; warmtenet'!B57),0,'Eigen informatie GS &amp; warmtenet'!B57)</f>
        <v>0</v>
      </c>
      <c r="D5" s="30">
        <f>(SUM(HH_hh_gas_kWh,HH_rest_gas_kWh)/1000)*0.902</f>
        <v>128543.76011295298</v>
      </c>
      <c r="E5" s="17">
        <f>B46*B57</f>
        <v>13490.929894979234</v>
      </c>
      <c r="F5" s="17">
        <f>B51*B62</f>
        <v>25344.120775647454</v>
      </c>
      <c r="G5" s="18"/>
      <c r="H5" s="17"/>
      <c r="I5" s="17"/>
      <c r="J5" s="17">
        <f>B50*B61+C50*C61</f>
        <v>0</v>
      </c>
      <c r="K5" s="17"/>
      <c r="L5" s="17"/>
      <c r="M5" s="17"/>
      <c r="N5" s="17">
        <f>B48*B59+C48*C59</f>
        <v>8821.9639010927167</v>
      </c>
      <c r="O5" s="17">
        <f>B69*B70*B71</f>
        <v>57.843333333333334</v>
      </c>
      <c r="P5" s="17">
        <f>B77*B78*B79/1000-B77*B78*B79/1000/B80</f>
        <v>419.4666666666667</v>
      </c>
    </row>
    <row r="6" spans="1:16">
      <c r="A6" s="16" t="s">
        <v>631</v>
      </c>
      <c r="B6" s="776">
        <f>kWh_PV_kleiner_dan_10kW</f>
        <v>879.02619546696053</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51453.937463886359</v>
      </c>
      <c r="C8" s="21">
        <f>C5</f>
        <v>0</v>
      </c>
      <c r="D8" s="21">
        <f>D5</f>
        <v>128543.76011295298</v>
      </c>
      <c r="E8" s="21">
        <f>E5</f>
        <v>13490.929894979234</v>
      </c>
      <c r="F8" s="21">
        <f>F5</f>
        <v>25344.120775647454</v>
      </c>
      <c r="G8" s="21"/>
      <c r="H8" s="21"/>
      <c r="I8" s="21"/>
      <c r="J8" s="21">
        <f>J5</f>
        <v>0</v>
      </c>
      <c r="K8" s="21"/>
      <c r="L8" s="21">
        <f>L5</f>
        <v>0</v>
      </c>
      <c r="M8" s="21">
        <f>M5</f>
        <v>0</v>
      </c>
      <c r="N8" s="21">
        <f>N5</f>
        <v>8821.9639010927167</v>
      </c>
      <c r="O8" s="21">
        <f>O5</f>
        <v>57.843333333333334</v>
      </c>
      <c r="P8" s="21">
        <f>P5</f>
        <v>419.4666666666667</v>
      </c>
    </row>
    <row r="9" spans="1:16">
      <c r="B9" s="19"/>
      <c r="C9" s="19"/>
      <c r="D9" s="260"/>
      <c r="E9" s="19"/>
      <c r="F9" s="19"/>
      <c r="G9" s="19"/>
      <c r="H9" s="19"/>
      <c r="I9" s="19"/>
      <c r="J9" s="19"/>
      <c r="K9" s="19"/>
      <c r="L9" s="19"/>
      <c r="M9" s="19"/>
      <c r="N9" s="19"/>
      <c r="O9" s="19"/>
      <c r="P9" s="19"/>
    </row>
    <row r="10" spans="1:16">
      <c r="A10" s="24" t="s">
        <v>213</v>
      </c>
      <c r="B10" s="25">
        <f ca="1">'EF ele_warmte'!B12</f>
        <v>0.21867155838372587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11251.512690206806</v>
      </c>
      <c r="C12" s="23">
        <f ca="1">C10*C8</f>
        <v>0</v>
      </c>
      <c r="D12" s="23">
        <f>D8*D10</f>
        <v>25965.839542816502</v>
      </c>
      <c r="E12" s="23">
        <f>E10*E8</f>
        <v>3062.441086160286</v>
      </c>
      <c r="F12" s="23">
        <f>F10*F8</f>
        <v>6766.8802470978708</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3917</v>
      </c>
      <c r="C18" s="167" t="s">
        <v>110</v>
      </c>
      <c r="D18" s="229"/>
      <c r="E18" s="15"/>
    </row>
    <row r="19" spans="1:7">
      <c r="A19" s="172" t="s">
        <v>71</v>
      </c>
      <c r="B19" s="37">
        <f>aantalw2001_ander</f>
        <v>12</v>
      </c>
      <c r="C19" s="167" t="s">
        <v>110</v>
      </c>
      <c r="D19" s="230"/>
      <c r="E19" s="15"/>
    </row>
    <row r="20" spans="1:7">
      <c r="A20" s="172" t="s">
        <v>72</v>
      </c>
      <c r="B20" s="37">
        <f>aantalw2001_propaan</f>
        <v>121</v>
      </c>
      <c r="C20" s="168">
        <f>IF(ISERROR(B20/SUM($B$20,$B$21,$B$22)*100),0,B20/SUM($B$20,$B$21,$B$22)*100)</f>
        <v>11.98019801980198</v>
      </c>
      <c r="D20" s="230"/>
      <c r="E20" s="15"/>
    </row>
    <row r="21" spans="1:7">
      <c r="A21" s="172" t="s">
        <v>73</v>
      </c>
      <c r="B21" s="37">
        <f>aantalw2001_elektriciteit</f>
        <v>800</v>
      </c>
      <c r="C21" s="168">
        <f>IF(ISERROR(B21/SUM($B$20,$B$21,$B$22)*100),0,B21/SUM($B$20,$B$21,$B$22)*100)</f>
        <v>79.207920792079207</v>
      </c>
      <c r="D21" s="230"/>
      <c r="E21" s="15"/>
    </row>
    <row r="22" spans="1:7">
      <c r="A22" s="172" t="s">
        <v>74</v>
      </c>
      <c r="B22" s="37">
        <f>aantalw2001_hout</f>
        <v>89</v>
      </c>
      <c r="C22" s="168">
        <f>IF(ISERROR(B22/SUM($B$20,$B$21,$B$22)*100),0,B22/SUM($B$20,$B$21,$B$22)*100)</f>
        <v>8.8118811881188108</v>
      </c>
      <c r="D22" s="230"/>
      <c r="E22" s="15"/>
    </row>
    <row r="23" spans="1:7">
      <c r="A23" s="172" t="s">
        <v>75</v>
      </c>
      <c r="B23" s="37">
        <f>aantalw2001_niet_gespec</f>
        <v>89</v>
      </c>
      <c r="C23" s="167" t="s">
        <v>110</v>
      </c>
      <c r="D23" s="229"/>
      <c r="E23" s="15"/>
    </row>
    <row r="24" spans="1:7">
      <c r="A24" s="172" t="s">
        <v>76</v>
      </c>
      <c r="B24" s="37">
        <f>aantalw2001_steenkool</f>
        <v>99</v>
      </c>
      <c r="C24" s="167" t="s">
        <v>110</v>
      </c>
      <c r="D24" s="230"/>
      <c r="E24" s="15"/>
    </row>
    <row r="25" spans="1:7">
      <c r="A25" s="172" t="s">
        <v>77</v>
      </c>
      <c r="B25" s="37">
        <f>aantalw2001_stookolie</f>
        <v>2065</v>
      </c>
      <c r="C25" s="167" t="s">
        <v>110</v>
      </c>
      <c r="D25" s="229"/>
      <c r="E25" s="52"/>
    </row>
    <row r="26" spans="1:7">
      <c r="A26" s="172" t="s">
        <v>78</v>
      </c>
      <c r="B26" s="37">
        <f>aantalw2001_WP</f>
        <v>8</v>
      </c>
      <c r="C26" s="167" t="s">
        <v>110</v>
      </c>
      <c r="D26" s="229"/>
      <c r="E26" s="15"/>
    </row>
    <row r="27" spans="1:7" s="15" customFormat="1">
      <c r="A27" s="172"/>
      <c r="B27" s="29"/>
      <c r="C27" s="36"/>
      <c r="D27" s="229"/>
    </row>
    <row r="28" spans="1:7" s="15" customFormat="1">
      <c r="A28" s="231" t="s">
        <v>711</v>
      </c>
      <c r="B28" s="37">
        <f>aantalHuishoudens</f>
        <v>7763</v>
      </c>
      <c r="C28" s="36"/>
      <c r="D28" s="229"/>
    </row>
    <row r="29" spans="1:7" s="15" customFormat="1">
      <c r="A29" s="231" t="s">
        <v>712</v>
      </c>
      <c r="B29" s="37">
        <f>SUM(HH_hh_gas_aantal,HH_rest_gas_aantal)</f>
        <v>4967</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4967</v>
      </c>
      <c r="C32" s="168">
        <f>IF(ISERROR(B32/SUM($B$32,$B$34,$B$35,$B$36,$B$38,$B$39)*100),0,B32/SUM($B$32,$B$34,$B$35,$B$36,$B$38,$B$39)*100)</f>
        <v>64.164836584420627</v>
      </c>
      <c r="D32" s="234"/>
      <c r="G32" s="15"/>
    </row>
    <row r="33" spans="1:7">
      <c r="A33" s="172" t="s">
        <v>71</v>
      </c>
      <c r="B33" s="34" t="s">
        <v>110</v>
      </c>
      <c r="C33" s="168"/>
      <c r="D33" s="234"/>
      <c r="G33" s="15"/>
    </row>
    <row r="34" spans="1:7">
      <c r="A34" s="172" t="s">
        <v>72</v>
      </c>
      <c r="B34" s="33">
        <f>IF((($B$28-$B$32-$B$39-$B$77-$B$38)*C20/100)&lt;0,0,($B$28-$B$32-$B$39-$B$77-$B$38)*C20/100)</f>
        <v>198.15247524752473</v>
      </c>
      <c r="C34" s="168">
        <f>IF(ISERROR(B34/SUM($B$32,$B$34,$B$35,$B$36,$B$38,$B$39)*100),0,B34/SUM($B$32,$B$34,$B$35,$B$36,$B$38,$B$39)*100)</f>
        <v>2.5597787785496031</v>
      </c>
      <c r="D34" s="234"/>
      <c r="G34" s="15"/>
    </row>
    <row r="35" spans="1:7">
      <c r="A35" s="172" t="s">
        <v>73</v>
      </c>
      <c r="B35" s="33">
        <f>IF((($B$28-$B$32-$B$39-$B$77-$B$38)*C21/100)&lt;0,0,($B$28-$B$32-$B$39-$B$77-$B$38)*C21/100)</f>
        <v>1310.09900990099</v>
      </c>
      <c r="C35" s="168">
        <f>IF(ISERROR(B35/SUM($B$32,$B$34,$B$35,$B$36,$B$38,$B$39)*100),0,B35/SUM($B$32,$B$34,$B$35,$B$36,$B$38,$B$39)*100)</f>
        <v>16.924157213551094</v>
      </c>
      <c r="D35" s="234"/>
      <c r="G35" s="15"/>
    </row>
    <row r="36" spans="1:7">
      <c r="A36" s="172" t="s">
        <v>74</v>
      </c>
      <c r="B36" s="33">
        <f>IF((($B$28-$B$32-$B$39-$B$77-$B$38)*C22/100)&lt;0,0,($B$28-$B$32-$B$39-$B$77-$B$38)*C22/100)</f>
        <v>145.74851485148511</v>
      </c>
      <c r="C36" s="168">
        <f>IF(ISERROR(B36/SUM($B$32,$B$34,$B$35,$B$36,$B$38,$B$39)*100),0,B36/SUM($B$32,$B$34,$B$35,$B$36,$B$38,$B$39)*100)</f>
        <v>1.8828124900075589</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1120</v>
      </c>
      <c r="C39" s="168">
        <f>IF(ISERROR(B39/SUM($B$32,$B$34,$B$35,$B$36,$B$38,$B$39)*100),0,B39/SUM($B$32,$B$34,$B$35,$B$36,$B$38,$B$39)*100)</f>
        <v>14.468414933471131</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4967</v>
      </c>
      <c r="C44" s="34" t="s">
        <v>110</v>
      </c>
      <c r="D44" s="175"/>
    </row>
    <row r="45" spans="1:7">
      <c r="A45" s="172" t="s">
        <v>71</v>
      </c>
      <c r="B45" s="33" t="str">
        <f t="shared" si="0"/>
        <v>-</v>
      </c>
      <c r="C45" s="34" t="s">
        <v>110</v>
      </c>
      <c r="D45" s="175"/>
    </row>
    <row r="46" spans="1:7">
      <c r="A46" s="172" t="s">
        <v>72</v>
      </c>
      <c r="B46" s="33">
        <f t="shared" si="0"/>
        <v>198.15247524752473</v>
      </c>
      <c r="C46" s="34" t="s">
        <v>110</v>
      </c>
      <c r="D46" s="175"/>
    </row>
    <row r="47" spans="1:7">
      <c r="A47" s="172" t="s">
        <v>73</v>
      </c>
      <c r="B47" s="33">
        <f t="shared" si="0"/>
        <v>1310.09900990099</v>
      </c>
      <c r="C47" s="34" t="s">
        <v>110</v>
      </c>
      <c r="D47" s="175"/>
    </row>
    <row r="48" spans="1:7">
      <c r="A48" s="172" t="s">
        <v>74</v>
      </c>
      <c r="B48" s="33">
        <f t="shared" si="0"/>
        <v>145.74851485148511</v>
      </c>
      <c r="C48" s="33">
        <f>B48*10</f>
        <v>1457.4851485148511</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1120</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37</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22</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27995.184206184982</v>
      </c>
      <c r="C5" s="17">
        <f>IF(ISERROR('Eigen informatie GS &amp; warmtenet'!B58),0,'Eigen informatie GS &amp; warmtenet'!B58)</f>
        <v>0</v>
      </c>
      <c r="D5" s="30">
        <f>SUM(D6:D12)</f>
        <v>42215.640483579336</v>
      </c>
      <c r="E5" s="17">
        <f>SUM(E6:E12)</f>
        <v>604.24521949770326</v>
      </c>
      <c r="F5" s="17">
        <f>SUM(F6:F12)</f>
        <v>5360.4862575959123</v>
      </c>
      <c r="G5" s="18"/>
      <c r="H5" s="17"/>
      <c r="I5" s="17"/>
      <c r="J5" s="17">
        <f>SUM(J6:J12)</f>
        <v>0</v>
      </c>
      <c r="K5" s="17"/>
      <c r="L5" s="17"/>
      <c r="M5" s="17"/>
      <c r="N5" s="17">
        <f>SUM(N6:N12)</f>
        <v>995.09374735713016</v>
      </c>
      <c r="O5" s="17">
        <f>B38*B39*B40</f>
        <v>3.1266666666666669</v>
      </c>
      <c r="P5" s="17">
        <f>B46*B47*B48/1000-B46*B47*B48/1000/B49</f>
        <v>0</v>
      </c>
      <c r="R5" s="32"/>
    </row>
    <row r="6" spans="1:18">
      <c r="A6" s="32" t="s">
        <v>53</v>
      </c>
      <c r="B6" s="37">
        <f>B26</f>
        <v>9479.1245299831789</v>
      </c>
      <c r="C6" s="33"/>
      <c r="D6" s="37">
        <f>IF(ISERROR(TER_kantoor_gas_kWh/1000),0,TER_kantoor_gas_kWh/1000)*0.902</f>
        <v>19010.073249384604</v>
      </c>
      <c r="E6" s="33">
        <f>$C$26*'E Balans VL '!I12/100/3.6*1000000</f>
        <v>331.80664702363612</v>
      </c>
      <c r="F6" s="33">
        <f>$C$26*('E Balans VL '!L12+'E Balans VL '!N12)/100/3.6*1000000</f>
        <v>1437.2387935548463</v>
      </c>
      <c r="G6" s="34"/>
      <c r="H6" s="33"/>
      <c r="I6" s="33"/>
      <c r="J6" s="33">
        <f>$C$26*('E Balans VL '!D12+'E Balans VL '!E12)/100/3.6*1000000</f>
        <v>0</v>
      </c>
      <c r="K6" s="33"/>
      <c r="L6" s="33"/>
      <c r="M6" s="33"/>
      <c r="N6" s="33">
        <f>$C$26*'E Balans VL '!Y12/100/3.6*1000000</f>
        <v>73.270665732444414</v>
      </c>
      <c r="O6" s="33"/>
      <c r="P6" s="33"/>
      <c r="R6" s="32"/>
    </row>
    <row r="7" spans="1:18">
      <c r="A7" s="32" t="s">
        <v>52</v>
      </c>
      <c r="B7" s="37">
        <f t="shared" ref="B7:B12" si="0">B27</f>
        <v>2737.3431903870401</v>
      </c>
      <c r="C7" s="33"/>
      <c r="D7" s="37">
        <f>IF(ISERROR(TER_horeca_gas_kWh/1000),0,TER_horeca_gas_kWh/1000)*0.902</f>
        <v>3891.4716695386555</v>
      </c>
      <c r="E7" s="33">
        <f>$C$27*'E Balans VL '!I9/100/3.6*1000000</f>
        <v>154.4225537378949</v>
      </c>
      <c r="F7" s="33">
        <f>$C$27*('E Balans VL '!L9+'E Balans VL '!N9)/100/3.6*1000000</f>
        <v>476.8603324171375</v>
      </c>
      <c r="G7" s="34"/>
      <c r="H7" s="33"/>
      <c r="I7" s="33"/>
      <c r="J7" s="33">
        <f>$C$27*('E Balans VL '!D9+'E Balans VL '!E9)/100/3.6*1000000</f>
        <v>0</v>
      </c>
      <c r="K7" s="33"/>
      <c r="L7" s="33"/>
      <c r="M7" s="33"/>
      <c r="N7" s="33">
        <f>$C$27*'E Balans VL '!Y9/100/3.6*1000000</f>
        <v>0</v>
      </c>
      <c r="O7" s="33"/>
      <c r="P7" s="33"/>
      <c r="R7" s="32"/>
    </row>
    <row r="8" spans="1:18">
      <c r="A8" s="6" t="s">
        <v>51</v>
      </c>
      <c r="B8" s="37">
        <f t="shared" si="0"/>
        <v>8340.4601444087693</v>
      </c>
      <c r="C8" s="33"/>
      <c r="D8" s="37">
        <f>IF(ISERROR(TER_handel_gas_kWh/1000),0,TER_handel_gas_kWh/1000)*0.902</f>
        <v>5413.8467365546057</v>
      </c>
      <c r="E8" s="33">
        <f>$C$28*'E Balans VL '!I13/100/3.6*1000000</f>
        <v>42.819075002933793</v>
      </c>
      <c r="F8" s="33">
        <f>$C$28*('E Balans VL '!L13+'E Balans VL '!N13)/100/3.6*1000000</f>
        <v>1285.9700809291753</v>
      </c>
      <c r="G8" s="34"/>
      <c r="H8" s="33"/>
      <c r="I8" s="33"/>
      <c r="J8" s="33">
        <f>$C$28*('E Balans VL '!D13+'E Balans VL '!E13)/100/3.6*1000000</f>
        <v>0</v>
      </c>
      <c r="K8" s="33"/>
      <c r="L8" s="33"/>
      <c r="M8" s="33"/>
      <c r="N8" s="33">
        <f>$C$28*'E Balans VL '!Y13/100/3.6*1000000</f>
        <v>3.9009350185599194</v>
      </c>
      <c r="O8" s="33"/>
      <c r="P8" s="33"/>
      <c r="R8" s="32"/>
    </row>
    <row r="9" spans="1:18">
      <c r="A9" s="32" t="s">
        <v>50</v>
      </c>
      <c r="B9" s="37">
        <f t="shared" si="0"/>
        <v>563.634913074113</v>
      </c>
      <c r="C9" s="33"/>
      <c r="D9" s="37">
        <f>IF(ISERROR(TER_gezond_gas_kWh/1000),0,TER_gezond_gas_kWh/1000)*0.902</f>
        <v>1752.540114842401</v>
      </c>
      <c r="E9" s="33">
        <f>$C$29*'E Balans VL '!I10/100/3.6*1000000</f>
        <v>0.23362265740523216</v>
      </c>
      <c r="F9" s="33">
        <f>$C$29*('E Balans VL '!L10+'E Balans VL '!N10)/100/3.6*1000000</f>
        <v>138.81519548720834</v>
      </c>
      <c r="G9" s="34"/>
      <c r="H9" s="33"/>
      <c r="I9" s="33"/>
      <c r="J9" s="33">
        <f>$C$29*('E Balans VL '!D10+'E Balans VL '!E10)/100/3.6*1000000</f>
        <v>0</v>
      </c>
      <c r="K9" s="33"/>
      <c r="L9" s="33"/>
      <c r="M9" s="33"/>
      <c r="N9" s="33">
        <f>$C$29*'E Balans VL '!Y10/100/3.6*1000000</f>
        <v>4.8712007158909811</v>
      </c>
      <c r="O9" s="33"/>
      <c r="P9" s="33"/>
      <c r="R9" s="32"/>
    </row>
    <row r="10" spans="1:18">
      <c r="A10" s="32" t="s">
        <v>49</v>
      </c>
      <c r="B10" s="37">
        <f t="shared" si="0"/>
        <v>3652.5006150220202</v>
      </c>
      <c r="C10" s="33"/>
      <c r="D10" s="37">
        <f>IF(ISERROR(TER_ander_gas_kWh/1000),0,TER_ander_gas_kWh/1000)*0.902</f>
        <v>1714.1167536589967</v>
      </c>
      <c r="E10" s="33">
        <f>$C$30*'E Balans VL '!I14/100/3.6*1000000</f>
        <v>22.265733866216856</v>
      </c>
      <c r="F10" s="33">
        <f>$C$30*('E Balans VL '!L14+'E Balans VL '!N14)/100/3.6*1000000</f>
        <v>968.32794662520769</v>
      </c>
      <c r="G10" s="34"/>
      <c r="H10" s="33"/>
      <c r="I10" s="33"/>
      <c r="J10" s="33">
        <f>$C$30*('E Balans VL '!D14+'E Balans VL '!E14)/100/3.6*1000000</f>
        <v>0</v>
      </c>
      <c r="K10" s="33"/>
      <c r="L10" s="33"/>
      <c r="M10" s="33"/>
      <c r="N10" s="33">
        <f>$C$30*'E Balans VL '!Y14/100/3.6*1000000</f>
        <v>841.82246703347801</v>
      </c>
      <c r="O10" s="33"/>
      <c r="P10" s="33"/>
      <c r="R10" s="32"/>
    </row>
    <row r="11" spans="1:18">
      <c r="A11" s="32" t="s">
        <v>54</v>
      </c>
      <c r="B11" s="37">
        <f t="shared" si="0"/>
        <v>793.203266120997</v>
      </c>
      <c r="C11" s="33"/>
      <c r="D11" s="37">
        <f>IF(ISERROR(TER_onderwijs_gas_kWh/1000),0,TER_onderwijs_gas_kWh/1000)*0.902</f>
        <v>3713.897739727593</v>
      </c>
      <c r="E11" s="33">
        <f>$C$31*'E Balans VL '!I11/100/3.6*1000000</f>
        <v>0.60446219131460033</v>
      </c>
      <c r="F11" s="33">
        <f>$C$31*('E Balans VL '!L11+'E Balans VL '!N11)/100/3.6*1000000</f>
        <v>574.00535271280194</v>
      </c>
      <c r="G11" s="34"/>
      <c r="H11" s="33"/>
      <c r="I11" s="33"/>
      <c r="J11" s="33">
        <f>$C$31*('E Balans VL '!D11+'E Balans VL '!E11)/100/3.6*1000000</f>
        <v>0</v>
      </c>
      <c r="K11" s="33"/>
      <c r="L11" s="33"/>
      <c r="M11" s="33"/>
      <c r="N11" s="33">
        <f>$C$31*'E Balans VL '!Y11/100/3.6*1000000</f>
        <v>2.3377595973848044</v>
      </c>
      <c r="O11" s="33"/>
      <c r="P11" s="33"/>
      <c r="R11" s="32"/>
    </row>
    <row r="12" spans="1:18">
      <c r="A12" s="32" t="s">
        <v>259</v>
      </c>
      <c r="B12" s="37">
        <f t="shared" si="0"/>
        <v>2428.9175471888598</v>
      </c>
      <c r="C12" s="33"/>
      <c r="D12" s="37">
        <f>IF(ISERROR(TER_rest_gas_kWh/1000),0,TER_rest_gas_kWh/1000)*0.902</f>
        <v>6719.6942198724792</v>
      </c>
      <c r="E12" s="33">
        <f>$C$32*'E Balans VL '!I8/100/3.6*1000000</f>
        <v>52.093125018301762</v>
      </c>
      <c r="F12" s="33">
        <f>$C$32*('E Balans VL '!L8+'E Balans VL '!N8)/100/3.6*1000000</f>
        <v>479.26855586953513</v>
      </c>
      <c r="G12" s="34"/>
      <c r="H12" s="33"/>
      <c r="I12" s="33"/>
      <c r="J12" s="33">
        <f>$C$32*('E Balans VL '!D8+'E Balans VL '!E8)/100/3.6*1000000</f>
        <v>0</v>
      </c>
      <c r="K12" s="33"/>
      <c r="L12" s="33"/>
      <c r="M12" s="33"/>
      <c r="N12" s="33">
        <f>$C$32*'E Balans VL '!Y8/100/3.6*1000000</f>
        <v>68.890719259372048</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27995.184206184982</v>
      </c>
      <c r="C16" s="21">
        <f ca="1">C5+C13+C14</f>
        <v>0</v>
      </c>
      <c r="D16" s="21">
        <f t="shared" ref="D16:N16" ca="1" si="1">MAX((D5+D13+D14),0)</f>
        <v>42215.640483579336</v>
      </c>
      <c r="E16" s="21">
        <f t="shared" si="1"/>
        <v>604.24521949770326</v>
      </c>
      <c r="F16" s="21">
        <f t="shared" ca="1" si="1"/>
        <v>5360.4862575959123</v>
      </c>
      <c r="G16" s="21">
        <f t="shared" si="1"/>
        <v>0</v>
      </c>
      <c r="H16" s="21">
        <f t="shared" si="1"/>
        <v>0</v>
      </c>
      <c r="I16" s="21">
        <f t="shared" si="1"/>
        <v>0</v>
      </c>
      <c r="J16" s="21">
        <f t="shared" si="1"/>
        <v>0</v>
      </c>
      <c r="K16" s="21">
        <f t="shared" si="1"/>
        <v>0</v>
      </c>
      <c r="L16" s="21">
        <f t="shared" ca="1" si="1"/>
        <v>0</v>
      </c>
      <c r="M16" s="21">
        <f t="shared" si="1"/>
        <v>0</v>
      </c>
      <c r="N16" s="21">
        <f t="shared" ca="1" si="1"/>
        <v>995.09374735713016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0.21867155838372587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6121.7505576059393</v>
      </c>
      <c r="C20" s="23">
        <f t="shared" ref="C20:P20" ca="1" si="2">C16*C18</f>
        <v>0</v>
      </c>
      <c r="D20" s="23">
        <f t="shared" ca="1" si="2"/>
        <v>8527.5593776830265</v>
      </c>
      <c r="E20" s="23">
        <f t="shared" si="2"/>
        <v>137.16366482597866</v>
      </c>
      <c r="F20" s="23">
        <f t="shared" ca="1" si="2"/>
        <v>1431.2498307781086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9479.1245299831789</v>
      </c>
      <c r="C26" s="39">
        <f>IF(ISERROR(B26*3.6/1000000/'E Balans VL '!Z12*100),0,B26*3.6/1000000/'E Balans VL '!Z12*100)</f>
        <v>0.19947245578874123</v>
      </c>
      <c r="D26" s="238" t="s">
        <v>718</v>
      </c>
      <c r="F26" s="6"/>
    </row>
    <row r="27" spans="1:18">
      <c r="A27" s="232" t="s">
        <v>52</v>
      </c>
      <c r="B27" s="33">
        <f>IF(ISERROR(TER_horeca_ele_kWh/1000),0,TER_horeca_ele_kWh/1000)</f>
        <v>2737.3431903870401</v>
      </c>
      <c r="C27" s="39">
        <f>IF(ISERROR(B27*3.6/1000000/'E Balans VL '!Z9*100),0,B27*3.6/1000000/'E Balans VL '!Z9*100)</f>
        <v>0.23176315606693718</v>
      </c>
      <c r="D27" s="238" t="s">
        <v>718</v>
      </c>
      <c r="F27" s="6"/>
    </row>
    <row r="28" spans="1:18">
      <c r="A28" s="172" t="s">
        <v>51</v>
      </c>
      <c r="B28" s="33">
        <f>IF(ISERROR(TER_handel_ele_kWh/1000),0,TER_handel_ele_kWh/1000)</f>
        <v>8340.4601444087693</v>
      </c>
      <c r="C28" s="39">
        <f>IF(ISERROR(B28*3.6/1000000/'E Balans VL '!Z13*100),0,B28*3.6/1000000/'E Balans VL '!Z13*100)</f>
        <v>0.23090448578708722</v>
      </c>
      <c r="D28" s="238" t="s">
        <v>718</v>
      </c>
      <c r="F28" s="6"/>
    </row>
    <row r="29" spans="1:18">
      <c r="A29" s="232" t="s">
        <v>50</v>
      </c>
      <c r="B29" s="33">
        <f>IF(ISERROR(TER_gezond_ele_kWh/1000),0,TER_gezond_ele_kWh/1000)</f>
        <v>563.634913074113</v>
      </c>
      <c r="C29" s="39">
        <f>IF(ISERROR(B29*3.6/1000000/'E Balans VL '!Z10*100),0,B29*3.6/1000000/'E Balans VL '!Z10*100)</f>
        <v>7.3266290078098234E-2</v>
      </c>
      <c r="D29" s="238" t="s">
        <v>718</v>
      </c>
      <c r="F29" s="6"/>
    </row>
    <row r="30" spans="1:18">
      <c r="A30" s="232" t="s">
        <v>49</v>
      </c>
      <c r="B30" s="33">
        <f>IF(ISERROR(TER_ander_ele_kWh/1000),0,TER_ander_ele_kWh/1000)</f>
        <v>3652.5006150220202</v>
      </c>
      <c r="C30" s="39">
        <f>IF(ISERROR(B30*3.6/1000000/'E Balans VL '!Z14*100),0,B30*3.6/1000000/'E Balans VL '!Z14*100)</f>
        <v>0.28310229365363909</v>
      </c>
      <c r="D30" s="238" t="s">
        <v>718</v>
      </c>
      <c r="F30" s="6"/>
    </row>
    <row r="31" spans="1:18">
      <c r="A31" s="232" t="s">
        <v>54</v>
      </c>
      <c r="B31" s="33">
        <f>IF(ISERROR(TER_onderwijs_ele_kWh/1000),0,TER_onderwijs_ele_kWh/1000)</f>
        <v>793.203266120997</v>
      </c>
      <c r="C31" s="39">
        <f>IF(ISERROR(B31*3.6/1000000/'E Balans VL '!Z11*100),0,B31*3.6/1000000/'E Balans VL '!Z11*100)</f>
        <v>0.15175330070657606</v>
      </c>
      <c r="D31" s="238" t="s">
        <v>718</v>
      </c>
    </row>
    <row r="32" spans="1:18">
      <c r="A32" s="232" t="s">
        <v>259</v>
      </c>
      <c r="B32" s="33">
        <f>IF(ISERROR(TER_rest_ele_kWh/1000),0,TER_rest_ele_kWh/1000)</f>
        <v>2428.9175471888598</v>
      </c>
      <c r="C32" s="39">
        <f>IF(ISERROR(B32*3.6/1000000/'E Balans VL '!Z8*100),0,B32*3.6/1000000/'E Balans VL '!Z8*100)</f>
        <v>2.0028290380158475E-2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2</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2119.2560210360161</v>
      </c>
      <c r="C5" s="17">
        <f>IF(ISERROR('Eigen informatie GS &amp; warmtenet'!B59),0,'Eigen informatie GS &amp; warmtenet'!B59)</f>
        <v>0</v>
      </c>
      <c r="D5" s="30">
        <f>SUM(D6:D15)</f>
        <v>3547.9239323118099</v>
      </c>
      <c r="E5" s="17">
        <f>SUM(E6:E15)</f>
        <v>28.301599816785977</v>
      </c>
      <c r="F5" s="17">
        <f>SUM(F6:F15)</f>
        <v>1084.5123327750634</v>
      </c>
      <c r="G5" s="18"/>
      <c r="H5" s="17"/>
      <c r="I5" s="17"/>
      <c r="J5" s="17">
        <f>SUM(J6:J15)</f>
        <v>4.9885546952690323</v>
      </c>
      <c r="K5" s="17"/>
      <c r="L5" s="17"/>
      <c r="M5" s="17"/>
      <c r="N5" s="17">
        <f>SUM(N6:N15)</f>
        <v>102.08114200982106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1173.4821472072101</v>
      </c>
      <c r="C9" s="33"/>
      <c r="D9" s="37">
        <f>IF( ISERROR(IND_andere_gas_kWh/1000),0,IND_andere_gas_kWh/1000)*0.902</f>
        <v>1554.662333053283</v>
      </c>
      <c r="E9" s="33">
        <f>C31*'E Balans VL '!I19/100/3.6*1000000</f>
        <v>19.710070223874212</v>
      </c>
      <c r="F9" s="33">
        <f>C31*'E Balans VL '!L19/100/3.6*1000000+C31*'E Balans VL '!N19/100/3.6*1000000</f>
        <v>917.36150613401549</v>
      </c>
      <c r="G9" s="34"/>
      <c r="H9" s="33"/>
      <c r="I9" s="33"/>
      <c r="J9" s="40">
        <f>C31*'E Balans VL '!D19/100/3.6*1000000+C31*'E Balans VL '!E19/100/3.6*1000000</f>
        <v>0.10583773089948759</v>
      </c>
      <c r="K9" s="33"/>
      <c r="L9" s="33"/>
      <c r="M9" s="33"/>
      <c r="N9" s="33">
        <f>C31*'E Balans VL '!Y19/100/3.6*1000000</f>
        <v>86.973853971640594</v>
      </c>
      <c r="O9" s="33"/>
      <c r="P9" s="33"/>
      <c r="R9" s="32"/>
    </row>
    <row r="10" spans="1:18">
      <c r="A10" s="6" t="s">
        <v>40</v>
      </c>
      <c r="B10" s="37">
        <f t="shared" si="0"/>
        <v>568.13920833299994</v>
      </c>
      <c r="C10" s="33"/>
      <c r="D10" s="37">
        <f>IF( ISERROR(IND_voed_gas_kWh/1000),0,IND_voed_gas_kWh/1000)*0.902</f>
        <v>1054.1281637974762</v>
      </c>
      <c r="E10" s="33">
        <f>C32*'E Balans VL '!I20/100/3.6*1000000</f>
        <v>5.1834660465936198</v>
      </c>
      <c r="F10" s="33">
        <f>C32*'E Balans VL '!L20/100/3.6*1000000+C32*'E Balans VL '!N20/100/3.6*1000000</f>
        <v>91.658624658592231</v>
      </c>
      <c r="G10" s="34"/>
      <c r="H10" s="33"/>
      <c r="I10" s="33"/>
      <c r="J10" s="40">
        <f>C32*'E Balans VL '!D20/100/3.6*1000000+C32*'E Balans VL '!E20/100/3.6*1000000</f>
        <v>2.3399697500106904</v>
      </c>
      <c r="K10" s="33"/>
      <c r="L10" s="33"/>
      <c r="M10" s="33"/>
      <c r="N10" s="33">
        <f>C32*'E Balans VL '!Y20/100/3.6*1000000</f>
        <v>8.3114286275726936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377.63466549580602</v>
      </c>
      <c r="C15" s="33"/>
      <c r="D15" s="37">
        <f>IF( ISERROR(IND_rest_gas_kWh/1000),0,IND_rest_gas_kWh/1000)*0.902</f>
        <v>939.13343546105057</v>
      </c>
      <c r="E15" s="33">
        <f>C37*'E Balans VL '!I15/100/3.6*1000000</f>
        <v>3.4080635463181466</v>
      </c>
      <c r="F15" s="33">
        <f>C37*'E Balans VL '!L15/100/3.6*1000000+C37*'E Balans VL '!N15/100/3.6*1000000</f>
        <v>75.492201982455811</v>
      </c>
      <c r="G15" s="34"/>
      <c r="H15" s="33"/>
      <c r="I15" s="33"/>
      <c r="J15" s="40">
        <f>C37*'E Balans VL '!D15/100/3.6*1000000+C37*'E Balans VL '!E15/100/3.6*1000000</f>
        <v>2.5427472143588541</v>
      </c>
      <c r="K15" s="33"/>
      <c r="L15" s="33"/>
      <c r="M15" s="33"/>
      <c r="N15" s="33">
        <f>C37*'E Balans VL '!Y15/100/3.6*1000000</f>
        <v>6.7958594106077754</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2119.2560210360161</v>
      </c>
      <c r="C18" s="21">
        <f>C5+C16</f>
        <v>0</v>
      </c>
      <c r="D18" s="21">
        <f>MAX((D5+D16),0)</f>
        <v>3547.9239323118099</v>
      </c>
      <c r="E18" s="21">
        <f>MAX((E5+E16),0)</f>
        <v>28.301599816785977</v>
      </c>
      <c r="F18" s="21">
        <f>MAX((F5+F16),0)</f>
        <v>1084.5123327750634</v>
      </c>
      <c r="G18" s="21"/>
      <c r="H18" s="21"/>
      <c r="I18" s="21"/>
      <c r="J18" s="21">
        <f>MAX((J5+J16),0)</f>
        <v>4.9885546952690323</v>
      </c>
      <c r="K18" s="21"/>
      <c r="L18" s="21">
        <f>MAX((L5+L16),0)</f>
        <v>0</v>
      </c>
      <c r="M18" s="21"/>
      <c r="N18" s="21">
        <f>MAX((N5+N16),0)</f>
        <v>102.08114200982106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0.21867155838372587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463.42101673403977</v>
      </c>
      <c r="C22" s="23">
        <f ca="1">C18*C20</f>
        <v>0</v>
      </c>
      <c r="D22" s="23">
        <f>D18*D20</f>
        <v>716.68063432698568</v>
      </c>
      <c r="E22" s="23">
        <f>E18*E20</f>
        <v>6.4244631584104166</v>
      </c>
      <c r="F22" s="23">
        <f>F18*F20</f>
        <v>289.56479285094196</v>
      </c>
      <c r="G22" s="23"/>
      <c r="H22" s="23"/>
      <c r="I22" s="23"/>
      <c r="J22" s="23">
        <f>J18*J20</f>
        <v>1.7659483621252374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0</v>
      </c>
      <c r="C30" s="39">
        <f>IF(ISERROR(B30*3.6/1000000/'E Balans VL '!Z18*100),0,B30*3.6/1000000/'E Balans VL '!Z18*100)</f>
        <v>0</v>
      </c>
      <c r="D30" s="238" t="s">
        <v>718</v>
      </c>
    </row>
    <row r="31" spans="1:18">
      <c r="A31" s="6" t="s">
        <v>32</v>
      </c>
      <c r="B31" s="37">
        <f>IF( ISERROR(IND_ander_ele_kWh/1000),0,IND_ander_ele_kWh/1000)</f>
        <v>1173.4821472072101</v>
      </c>
      <c r="C31" s="39">
        <f>IF(ISERROR(B31*3.6/1000000/'E Balans VL '!Z19*100),0,B31*3.6/1000000/'E Balans VL '!Z19*100)</f>
        <v>5.2015813138314729E-2</v>
      </c>
      <c r="D31" s="238" t="s">
        <v>718</v>
      </c>
    </row>
    <row r="32" spans="1:18">
      <c r="A32" s="172" t="s">
        <v>40</v>
      </c>
      <c r="B32" s="37">
        <f>IF( ISERROR(IND_voed_ele_kWh/1000),0,IND_voed_ele_kWh/1000)</f>
        <v>568.13920833299994</v>
      </c>
      <c r="C32" s="39">
        <f>IF(ISERROR(B32*3.6/1000000/'E Balans VL '!Z20*100),0,B32*3.6/1000000/'E Balans VL '!Z20*100)</f>
        <v>1.8977479338776096E-2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377.63466549580602</v>
      </c>
      <c r="C37" s="39">
        <f>IF(ISERROR(B37*3.6/1000000/'E Balans VL '!Z15*100),0,B37*3.6/1000000/'E Balans VL '!Z15*100)</f>
        <v>2.8089866917932935E-3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406.92413289253938</v>
      </c>
      <c r="C5" s="17">
        <f>'Eigen informatie GS &amp; warmtenet'!B60</f>
        <v>0</v>
      </c>
      <c r="D5" s="30">
        <f>IF(ISERROR(SUM(LB_lb_gas_kWh,LB_rest_gas_kWh)/1000),0,SUM(LB_lb_gas_kWh,LB_rest_gas_kWh)/1000)*0.902</f>
        <v>444.09181773250452</v>
      </c>
      <c r="E5" s="17">
        <f>B17*'E Balans VL '!I25/3.6*1000000/100</f>
        <v>4.26139761513293</v>
      </c>
      <c r="F5" s="17">
        <f>B17*('E Balans VL '!L25/3.6*1000000+'E Balans VL '!N25/3.6*1000000)/100</f>
        <v>1741.9444854540923</v>
      </c>
      <c r="G5" s="18"/>
      <c r="H5" s="17"/>
      <c r="I5" s="17"/>
      <c r="J5" s="17">
        <f>('E Balans VL '!D25+'E Balans VL '!E25)/3.6*1000000*landbouw!B17/100</f>
        <v>36.341972390528973</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406.92413289253938</v>
      </c>
      <c r="C8" s="21">
        <f>C5+C6</f>
        <v>0</v>
      </c>
      <c r="D8" s="21">
        <f>MAX((D5+D6),0)</f>
        <v>444.09181773250452</v>
      </c>
      <c r="E8" s="21">
        <f>MAX((E5+E6),0)</f>
        <v>4.26139761513293</v>
      </c>
      <c r="F8" s="21">
        <f>MAX((F5+F6),0)</f>
        <v>1741.9444854540923</v>
      </c>
      <c r="G8" s="21"/>
      <c r="H8" s="21"/>
      <c r="I8" s="21"/>
      <c r="J8" s="21">
        <f>MAX((J5+J6),0)</f>
        <v>36.341972390528973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0.21867155838372587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88.982734283557946</v>
      </c>
      <c r="C12" s="23">
        <f ca="1">C8*C10</f>
        <v>0</v>
      </c>
      <c r="D12" s="23">
        <f>D8*D10</f>
        <v>89.706547181965917</v>
      </c>
      <c r="E12" s="23">
        <f>E8*E10</f>
        <v>0.96733725863517517</v>
      </c>
      <c r="F12" s="23">
        <f>F8*F10</f>
        <v>465.09917761624268</v>
      </c>
      <c r="G12" s="23"/>
      <c r="H12" s="23"/>
      <c r="I12" s="23"/>
      <c r="J12" s="23">
        <f>J8*J10</f>
        <v>12.865058226247255</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6.2633479139534501E-2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29.763140303674955</v>
      </c>
      <c r="C26" s="248">
        <f>B26*'GWP N2O_CH4'!B5</f>
        <v>625.02594637717402</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5.0975390259823454</v>
      </c>
      <c r="C27" s="248">
        <f>B27*'GWP N2O_CH4'!B5</f>
        <v>107.04831954562925</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0.33376957513524974</v>
      </c>
      <c r="C28" s="248">
        <f>B28*'GWP N2O_CH4'!B4</f>
        <v>103.46856829192743</v>
      </c>
      <c r="D28" s="50"/>
    </row>
    <row r="29" spans="1:4">
      <c r="A29" s="41" t="s">
        <v>276</v>
      </c>
      <c r="B29" s="248">
        <f>B34*'ha_N2O bodem landbouw'!B4</f>
        <v>4.0936633764430193</v>
      </c>
      <c r="C29" s="248">
        <f>B29*'GWP N2O_CH4'!B4</f>
        <v>1269.035646697336</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6.7653163789052975E-4</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2.9447872012035452E-6</v>
      </c>
      <c r="C5" s="443" t="s">
        <v>210</v>
      </c>
      <c r="D5" s="428">
        <f>SUM(D6:D11)</f>
        <v>1.6145823897597138E-5</v>
      </c>
      <c r="E5" s="428">
        <f>SUM(E6:E11)</f>
        <v>1.6360093973623838E-3</v>
      </c>
      <c r="F5" s="441" t="s">
        <v>210</v>
      </c>
      <c r="G5" s="428">
        <f>SUM(G6:G11)</f>
        <v>0.27154886552987084</v>
      </c>
      <c r="H5" s="428">
        <f>SUM(H6:H11)</f>
        <v>5.5368413296683419E-2</v>
      </c>
      <c r="I5" s="443" t="s">
        <v>210</v>
      </c>
      <c r="J5" s="443" t="s">
        <v>210</v>
      </c>
      <c r="K5" s="443" t="s">
        <v>210</v>
      </c>
      <c r="L5" s="443" t="s">
        <v>210</v>
      </c>
      <c r="M5" s="428">
        <f>SUM(M6:M11)</f>
        <v>1.4246436676097431E-2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2.2810712507802001E-6</v>
      </c>
      <c r="C6" s="429"/>
      <c r="D6" s="429">
        <f>vkm_GW_PW*SUMIFS(TableVerdeelsleutelVkm[CNG],TableVerdeelsleutelVkm[Voertuigtype],"Lichte voertuigen")*SUMIFS(TableECFTransport[EnergieConsumptieFactor (PJ per km)],TableECFTransport[Index],CONCATENATE($A6,"_CNG_CNG"))</f>
        <v>1.0819703171881571E-5</v>
      </c>
      <c r="E6" s="431">
        <f>vkm_GW_PW*SUMIFS(TableVerdeelsleutelVkm[LPG],TableVerdeelsleutelVkm[Voertuigtype],"Lichte voertuigen")*SUMIFS(TableECFTransport[EnergieConsumptieFactor (PJ per km)],TableECFTransport[Index],CONCATENATE($A6,"_LPG_LPG"))</f>
        <v>1.1196135768438442E-3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0.15164893075716382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3.7758887257465172E-2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8.2707667599725906E-3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4.5965714080375739E-2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1.2765742801900076E-6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1.9802235521277785E-3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6.6371595042334499E-7</v>
      </c>
      <c r="C8" s="429"/>
      <c r="D8" s="431">
        <f>vkm_NGW_PW*SUMIFS(TableVerdeelsleutelVkm[CNG],TableVerdeelsleutelVkm[Voertuigtype],"Lichte voertuigen")*SUMIFS(TableECFTransport[EnergieConsumptieFactor (PJ per km)],TableECFTransport[Index],CONCATENATE($A8,"_CNG_CNG"))</f>
        <v>5.3261207257155661E-6</v>
      </c>
      <c r="E8" s="431">
        <f>vkm_NGW_PW*SUMIFS(TableVerdeelsleutelVkm[LPG],TableVerdeelsleutelVkm[Voertuigtype],"Lichte voertuigen")*SUMIFS(TableECFTransport[EnergieConsumptieFactor (PJ per km)],TableECFTransport[Index],CONCATENATE($A8,"_LPG_LPG"))</f>
        <v>5.1639582051853962E-4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6.7040407479208905E-2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1.7608018939788431E-2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3.6984560047028216E-3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6.8938132131223864E-3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2.3052514962990481E-7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2.969903592942395E-4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0.81799644477876254</v>
      </c>
      <c r="C14" s="21"/>
      <c r="D14" s="21">
        <f t="shared" ref="D14:M14" si="0">((D5)*10^9/3600)+D12</f>
        <v>4.4849510826658721</v>
      </c>
      <c r="E14" s="21">
        <f t="shared" si="0"/>
        <v>454.44705482288441</v>
      </c>
      <c r="F14" s="21"/>
      <c r="G14" s="21">
        <f t="shared" si="0"/>
        <v>75430.240424964126</v>
      </c>
      <c r="H14" s="21">
        <f t="shared" si="0"/>
        <v>15380.114804634282</v>
      </c>
      <c r="I14" s="21"/>
      <c r="J14" s="21"/>
      <c r="K14" s="21"/>
      <c r="L14" s="21"/>
      <c r="M14" s="21">
        <f t="shared" si="0"/>
        <v>3957.3435211381752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0.21867155838372587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0.17887255733211938</v>
      </c>
      <c r="C18" s="23"/>
      <c r="D18" s="23">
        <f t="shared" ref="D18:M18" si="1">D14*D16</f>
        <v>0.90596011869850623</v>
      </c>
      <c r="E18" s="23">
        <f t="shared" si="1"/>
        <v>103.15948144479476</v>
      </c>
      <c r="F18" s="23"/>
      <c r="G18" s="23">
        <f t="shared" si="1"/>
        <v>20139.874193465424</v>
      </c>
      <c r="H18" s="23">
        <f t="shared" si="1"/>
        <v>3829.6485863539365</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7.8814010435470806E-3</v>
      </c>
      <c r="H50" s="320">
        <f t="shared" si="2"/>
        <v>0</v>
      </c>
      <c r="I50" s="320">
        <f t="shared" si="2"/>
        <v>0</v>
      </c>
      <c r="J50" s="320">
        <f t="shared" si="2"/>
        <v>0</v>
      </c>
      <c r="K50" s="320">
        <f t="shared" si="2"/>
        <v>0</v>
      </c>
      <c r="L50" s="320">
        <f t="shared" si="2"/>
        <v>0</v>
      </c>
      <c r="M50" s="320">
        <f t="shared" si="2"/>
        <v>3.3514615190755037E-4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7.8814010435470806E-3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3.3514615190755037E-4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2189.2780676519669</v>
      </c>
      <c r="H54" s="21">
        <f t="shared" si="3"/>
        <v>0</v>
      </c>
      <c r="I54" s="21">
        <f t="shared" si="3"/>
        <v>0</v>
      </c>
      <c r="J54" s="21">
        <f t="shared" si="3"/>
        <v>0</v>
      </c>
      <c r="K54" s="21">
        <f t="shared" si="3"/>
        <v>0</v>
      </c>
      <c r="L54" s="21">
        <f t="shared" si="3"/>
        <v>0</v>
      </c>
      <c r="M54" s="21">
        <f t="shared" si="3"/>
        <v>93.09615330765287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0.21867155838372587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584.53724406307515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29147.799206184984</v>
      </c>
      <c r="D10" s="684">
        <f ca="1">tertiair!C16</f>
        <v>0</v>
      </c>
      <c r="E10" s="684">
        <f ca="1">tertiair!D16</f>
        <v>42215.640483579336</v>
      </c>
      <c r="F10" s="684">
        <f>tertiair!E16</f>
        <v>604.24521949770326</v>
      </c>
      <c r="G10" s="684">
        <f ca="1">tertiair!F16</f>
        <v>5360.4862575959123</v>
      </c>
      <c r="H10" s="684">
        <f>tertiair!G16</f>
        <v>0</v>
      </c>
      <c r="I10" s="684">
        <f>tertiair!H16</f>
        <v>0</v>
      </c>
      <c r="J10" s="684">
        <f>tertiair!I16</f>
        <v>0</v>
      </c>
      <c r="K10" s="684">
        <f>tertiair!J16</f>
        <v>0</v>
      </c>
      <c r="L10" s="684">
        <f>tertiair!K16</f>
        <v>0</v>
      </c>
      <c r="M10" s="684">
        <f ca="1">tertiair!L16</f>
        <v>0</v>
      </c>
      <c r="N10" s="684">
        <f>tertiair!M16</f>
        <v>0</v>
      </c>
      <c r="O10" s="684">
        <f ca="1">tertiair!N16</f>
        <v>995.09374735713016</v>
      </c>
      <c r="P10" s="684">
        <f>tertiair!O16</f>
        <v>3.1266666666666669</v>
      </c>
      <c r="Q10" s="685">
        <f>tertiair!P16</f>
        <v>0</v>
      </c>
      <c r="R10" s="687">
        <f ca="1">SUM(C10:Q10)</f>
        <v>78326.391580881726</v>
      </c>
      <c r="S10" s="67"/>
    </row>
    <row r="11" spans="1:19" s="453" customFormat="1">
      <c r="A11" s="799" t="s">
        <v>224</v>
      </c>
      <c r="B11" s="804"/>
      <c r="C11" s="684">
        <f>huishoudens!B8</f>
        <v>51453.937463886359</v>
      </c>
      <c r="D11" s="684">
        <f>huishoudens!C8</f>
        <v>0</v>
      </c>
      <c r="E11" s="684">
        <f>huishoudens!D8</f>
        <v>128543.76011295298</v>
      </c>
      <c r="F11" s="684">
        <f>huishoudens!E8</f>
        <v>13490.929894979234</v>
      </c>
      <c r="G11" s="684">
        <f>huishoudens!F8</f>
        <v>25344.120775647454</v>
      </c>
      <c r="H11" s="684">
        <f>huishoudens!G8</f>
        <v>0</v>
      </c>
      <c r="I11" s="684">
        <f>huishoudens!H8</f>
        <v>0</v>
      </c>
      <c r="J11" s="684">
        <f>huishoudens!I8</f>
        <v>0</v>
      </c>
      <c r="K11" s="684">
        <f>huishoudens!J8</f>
        <v>0</v>
      </c>
      <c r="L11" s="684">
        <f>huishoudens!K8</f>
        <v>0</v>
      </c>
      <c r="M11" s="684">
        <f>huishoudens!L8</f>
        <v>0</v>
      </c>
      <c r="N11" s="684">
        <f>huishoudens!M8</f>
        <v>0</v>
      </c>
      <c r="O11" s="684">
        <f>huishoudens!N8</f>
        <v>8821.9639010927167</v>
      </c>
      <c r="P11" s="684">
        <f>huishoudens!O8</f>
        <v>57.843333333333334</v>
      </c>
      <c r="Q11" s="685">
        <f>huishoudens!P8</f>
        <v>419.4666666666667</v>
      </c>
      <c r="R11" s="687">
        <f>SUM(C11:Q11)</f>
        <v>228132.02214855872</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2119.2560210360161</v>
      </c>
      <c r="D13" s="684">
        <f>industrie!C18</f>
        <v>0</v>
      </c>
      <c r="E13" s="684">
        <f>industrie!D18</f>
        <v>3547.9239323118099</v>
      </c>
      <c r="F13" s="684">
        <f>industrie!E18</f>
        <v>28.301599816785977</v>
      </c>
      <c r="G13" s="684">
        <f>industrie!F18</f>
        <v>1084.5123327750634</v>
      </c>
      <c r="H13" s="684">
        <f>industrie!G18</f>
        <v>0</v>
      </c>
      <c r="I13" s="684">
        <f>industrie!H18</f>
        <v>0</v>
      </c>
      <c r="J13" s="684">
        <f>industrie!I18</f>
        <v>0</v>
      </c>
      <c r="K13" s="684">
        <f>industrie!J18</f>
        <v>4.9885546952690323</v>
      </c>
      <c r="L13" s="684">
        <f>industrie!K18</f>
        <v>0</v>
      </c>
      <c r="M13" s="684">
        <f>industrie!L18</f>
        <v>0</v>
      </c>
      <c r="N13" s="684">
        <f>industrie!M18</f>
        <v>0</v>
      </c>
      <c r="O13" s="684">
        <f>industrie!N18</f>
        <v>102.08114200982106</v>
      </c>
      <c r="P13" s="684">
        <f>industrie!O18</f>
        <v>0</v>
      </c>
      <c r="Q13" s="685">
        <f>industrie!P18</f>
        <v>0</v>
      </c>
      <c r="R13" s="687">
        <f>SUM(C13:Q13)</f>
        <v>6887.0635826447651</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82720.992691107356</v>
      </c>
      <c r="D16" s="717">
        <f t="shared" ref="D16:R16" ca="1" si="0">SUM(D9:D15)</f>
        <v>0</v>
      </c>
      <c r="E16" s="717">
        <f t="shared" ca="1" si="0"/>
        <v>174307.32452884415</v>
      </c>
      <c r="F16" s="717">
        <f t="shared" si="0"/>
        <v>14123.476714293723</v>
      </c>
      <c r="G16" s="717">
        <f t="shared" ca="1" si="0"/>
        <v>31789.119366018429</v>
      </c>
      <c r="H16" s="717">
        <f t="shared" si="0"/>
        <v>0</v>
      </c>
      <c r="I16" s="717">
        <f t="shared" si="0"/>
        <v>0</v>
      </c>
      <c r="J16" s="717">
        <f t="shared" si="0"/>
        <v>0</v>
      </c>
      <c r="K16" s="717">
        <f t="shared" si="0"/>
        <v>4.9885546952690323</v>
      </c>
      <c r="L16" s="717">
        <f t="shared" si="0"/>
        <v>0</v>
      </c>
      <c r="M16" s="717">
        <f t="shared" ca="1" si="0"/>
        <v>0</v>
      </c>
      <c r="N16" s="717">
        <f t="shared" si="0"/>
        <v>0</v>
      </c>
      <c r="O16" s="717">
        <f t="shared" ca="1" si="0"/>
        <v>9919.1387904596686</v>
      </c>
      <c r="P16" s="717">
        <f t="shared" si="0"/>
        <v>60.97</v>
      </c>
      <c r="Q16" s="717">
        <f t="shared" si="0"/>
        <v>419.4666666666667</v>
      </c>
      <c r="R16" s="717">
        <f t="shared" ca="1" si="0"/>
        <v>313345.47731208516</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2189.2780676519669</v>
      </c>
      <c r="I19" s="684">
        <f>transport!H54</f>
        <v>0</v>
      </c>
      <c r="J19" s="684">
        <f>transport!I54</f>
        <v>0</v>
      </c>
      <c r="K19" s="684">
        <f>transport!J54</f>
        <v>0</v>
      </c>
      <c r="L19" s="684">
        <f>transport!K54</f>
        <v>0</v>
      </c>
      <c r="M19" s="684">
        <f>transport!L54</f>
        <v>0</v>
      </c>
      <c r="N19" s="684">
        <f>transport!M54</f>
        <v>93.09615330765287</v>
      </c>
      <c r="O19" s="684">
        <f>transport!N54</f>
        <v>0</v>
      </c>
      <c r="P19" s="684">
        <f>transport!O54</f>
        <v>0</v>
      </c>
      <c r="Q19" s="685">
        <f>transport!P54</f>
        <v>0</v>
      </c>
      <c r="R19" s="687">
        <f>SUM(C19:Q19)</f>
        <v>2282.3742209596198</v>
      </c>
      <c r="S19" s="67"/>
    </row>
    <row r="20" spans="1:19" s="453" customFormat="1">
      <c r="A20" s="799" t="s">
        <v>306</v>
      </c>
      <c r="B20" s="804"/>
      <c r="C20" s="684">
        <f>transport!B14</f>
        <v>0.81799644477876254</v>
      </c>
      <c r="D20" s="684">
        <f>transport!C14</f>
        <v>0</v>
      </c>
      <c r="E20" s="684">
        <f>transport!D14</f>
        <v>4.4849510826658721</v>
      </c>
      <c r="F20" s="684">
        <f>transport!E14</f>
        <v>454.44705482288441</v>
      </c>
      <c r="G20" s="684">
        <f>transport!F14</f>
        <v>0</v>
      </c>
      <c r="H20" s="684">
        <f>transport!G14</f>
        <v>75430.240424964126</v>
      </c>
      <c r="I20" s="684">
        <f>transport!H14</f>
        <v>15380.114804634282</v>
      </c>
      <c r="J20" s="684">
        <f>transport!I14</f>
        <v>0</v>
      </c>
      <c r="K20" s="684">
        <f>transport!J14</f>
        <v>0</v>
      </c>
      <c r="L20" s="684">
        <f>transport!K14</f>
        <v>0</v>
      </c>
      <c r="M20" s="684">
        <f>transport!L14</f>
        <v>0</v>
      </c>
      <c r="N20" s="684">
        <f>transport!M14</f>
        <v>3957.3435211381752</v>
      </c>
      <c r="O20" s="684">
        <f>transport!N14</f>
        <v>0</v>
      </c>
      <c r="P20" s="684">
        <f>transport!O14</f>
        <v>0</v>
      </c>
      <c r="Q20" s="685">
        <f>transport!P14</f>
        <v>0</v>
      </c>
      <c r="R20" s="687">
        <f>SUM(C20:Q20)</f>
        <v>95227.448753086908</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0.81799644477876254</v>
      </c>
      <c r="D22" s="802">
        <f t="shared" ref="D22:R22" si="1">SUM(D18:D21)</f>
        <v>0</v>
      </c>
      <c r="E22" s="802">
        <f t="shared" si="1"/>
        <v>4.4849510826658721</v>
      </c>
      <c r="F22" s="802">
        <f t="shared" si="1"/>
        <v>454.44705482288441</v>
      </c>
      <c r="G22" s="802">
        <f t="shared" si="1"/>
        <v>0</v>
      </c>
      <c r="H22" s="802">
        <f t="shared" si="1"/>
        <v>77619.518492616087</v>
      </c>
      <c r="I22" s="802">
        <f t="shared" si="1"/>
        <v>15380.114804634282</v>
      </c>
      <c r="J22" s="802">
        <f t="shared" si="1"/>
        <v>0</v>
      </c>
      <c r="K22" s="802">
        <f t="shared" si="1"/>
        <v>0</v>
      </c>
      <c r="L22" s="802">
        <f t="shared" si="1"/>
        <v>0</v>
      </c>
      <c r="M22" s="802">
        <f t="shared" si="1"/>
        <v>0</v>
      </c>
      <c r="N22" s="802">
        <f t="shared" si="1"/>
        <v>4050.4396744458281</v>
      </c>
      <c r="O22" s="802">
        <f t="shared" si="1"/>
        <v>0</v>
      </c>
      <c r="P22" s="802">
        <f t="shared" si="1"/>
        <v>0</v>
      </c>
      <c r="Q22" s="802">
        <f t="shared" si="1"/>
        <v>0</v>
      </c>
      <c r="R22" s="802">
        <f t="shared" si="1"/>
        <v>97509.822974046532</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406.92413289253938</v>
      </c>
      <c r="D24" s="684">
        <f>+landbouw!C8</f>
        <v>0</v>
      </c>
      <c r="E24" s="684">
        <f>+landbouw!D8</f>
        <v>444.09181773250452</v>
      </c>
      <c r="F24" s="684">
        <f>+landbouw!E8</f>
        <v>4.26139761513293</v>
      </c>
      <c r="G24" s="684">
        <f>+landbouw!F8</f>
        <v>1741.9444854540923</v>
      </c>
      <c r="H24" s="684">
        <f>+landbouw!G8</f>
        <v>0</v>
      </c>
      <c r="I24" s="684">
        <f>+landbouw!H8</f>
        <v>0</v>
      </c>
      <c r="J24" s="684">
        <f>+landbouw!I8</f>
        <v>0</v>
      </c>
      <c r="K24" s="684">
        <f>+landbouw!J8</f>
        <v>36.341972390528973</v>
      </c>
      <c r="L24" s="684">
        <f>+landbouw!K8</f>
        <v>0</v>
      </c>
      <c r="M24" s="684">
        <f>+landbouw!L8</f>
        <v>0</v>
      </c>
      <c r="N24" s="684">
        <f>+landbouw!M8</f>
        <v>0</v>
      </c>
      <c r="O24" s="684">
        <f>+landbouw!N8</f>
        <v>0</v>
      </c>
      <c r="P24" s="684">
        <f>+landbouw!O8</f>
        <v>0</v>
      </c>
      <c r="Q24" s="685">
        <f>+landbouw!P8</f>
        <v>0</v>
      </c>
      <c r="R24" s="687">
        <f>SUM(C24:Q24)</f>
        <v>2633.5638060847982</v>
      </c>
      <c r="S24" s="67"/>
    </row>
    <row r="25" spans="1:19" s="453" customFormat="1" ht="15" thickBot="1">
      <c r="A25" s="821" t="s">
        <v>912</v>
      </c>
      <c r="B25" s="978"/>
      <c r="C25" s="979">
        <f>IF(Onbekend_ele_kWh="---",0,Onbekend_ele_kWh)/1000+IF(REST_rest_ele_kWh="---",0,REST_rest_ele_kWh)/1000</f>
        <v>2148.0986305172801</v>
      </c>
      <c r="D25" s="979"/>
      <c r="E25" s="979">
        <f>IF(onbekend_gas_kWh="---",0,onbekend_gas_kWh)/1000+IF(REST_rest_gas_kWh="---",0,REST_rest_gas_kWh)/1000</f>
        <v>5821.1708432689893</v>
      </c>
      <c r="F25" s="979"/>
      <c r="G25" s="979"/>
      <c r="H25" s="979"/>
      <c r="I25" s="979"/>
      <c r="J25" s="979"/>
      <c r="K25" s="979"/>
      <c r="L25" s="979"/>
      <c r="M25" s="979"/>
      <c r="N25" s="979"/>
      <c r="O25" s="979"/>
      <c r="P25" s="979"/>
      <c r="Q25" s="980"/>
      <c r="R25" s="687">
        <f>SUM(C25:Q25)</f>
        <v>7969.2694737862694</v>
      </c>
      <c r="S25" s="67"/>
    </row>
    <row r="26" spans="1:19" s="453" customFormat="1" ht="15.75" thickBot="1">
      <c r="A26" s="690" t="s">
        <v>913</v>
      </c>
      <c r="B26" s="807"/>
      <c r="C26" s="802">
        <f>SUM(C24:C25)</f>
        <v>2555.0227634098196</v>
      </c>
      <c r="D26" s="802">
        <f t="shared" ref="D26:R26" si="2">SUM(D24:D25)</f>
        <v>0</v>
      </c>
      <c r="E26" s="802">
        <f t="shared" si="2"/>
        <v>6265.2626610014941</v>
      </c>
      <c r="F26" s="802">
        <f t="shared" si="2"/>
        <v>4.26139761513293</v>
      </c>
      <c r="G26" s="802">
        <f t="shared" si="2"/>
        <v>1741.9444854540923</v>
      </c>
      <c r="H26" s="802">
        <f t="shared" si="2"/>
        <v>0</v>
      </c>
      <c r="I26" s="802">
        <f t="shared" si="2"/>
        <v>0</v>
      </c>
      <c r="J26" s="802">
        <f t="shared" si="2"/>
        <v>0</v>
      </c>
      <c r="K26" s="802">
        <f t="shared" si="2"/>
        <v>36.341972390528973</v>
      </c>
      <c r="L26" s="802">
        <f t="shared" si="2"/>
        <v>0</v>
      </c>
      <c r="M26" s="802">
        <f t="shared" si="2"/>
        <v>0</v>
      </c>
      <c r="N26" s="802">
        <f t="shared" si="2"/>
        <v>0</v>
      </c>
      <c r="O26" s="802">
        <f t="shared" si="2"/>
        <v>0</v>
      </c>
      <c r="P26" s="802">
        <f t="shared" si="2"/>
        <v>0</v>
      </c>
      <c r="Q26" s="802">
        <f t="shared" si="2"/>
        <v>0</v>
      </c>
      <c r="R26" s="802">
        <f t="shared" si="2"/>
        <v>10602.833279871067</v>
      </c>
      <c r="S26" s="67"/>
    </row>
    <row r="27" spans="1:19" s="453" customFormat="1" ht="17.25" thickTop="1" thickBot="1">
      <c r="A27" s="691" t="s">
        <v>115</v>
      </c>
      <c r="B27" s="794"/>
      <c r="C27" s="692">
        <f ca="1">C22+C16+C26</f>
        <v>85276.83345096196</v>
      </c>
      <c r="D27" s="692">
        <f t="shared" ref="D27:R27" ca="1" si="3">D22+D16+D26</f>
        <v>0</v>
      </c>
      <c r="E27" s="692">
        <f t="shared" ca="1" si="3"/>
        <v>180577.07214092833</v>
      </c>
      <c r="F27" s="692">
        <f t="shared" si="3"/>
        <v>14582.185166731741</v>
      </c>
      <c r="G27" s="692">
        <f t="shared" ca="1" si="3"/>
        <v>33531.063851472521</v>
      </c>
      <c r="H27" s="692">
        <f t="shared" si="3"/>
        <v>77619.518492616087</v>
      </c>
      <c r="I27" s="692">
        <f t="shared" si="3"/>
        <v>15380.114804634282</v>
      </c>
      <c r="J27" s="692">
        <f t="shared" si="3"/>
        <v>0</v>
      </c>
      <c r="K27" s="692">
        <f t="shared" si="3"/>
        <v>41.330527085798003</v>
      </c>
      <c r="L27" s="692">
        <f t="shared" si="3"/>
        <v>0</v>
      </c>
      <c r="M27" s="692">
        <f t="shared" ca="1" si="3"/>
        <v>0</v>
      </c>
      <c r="N27" s="692">
        <f t="shared" si="3"/>
        <v>4050.4396744458281</v>
      </c>
      <c r="O27" s="692">
        <f t="shared" ca="1" si="3"/>
        <v>9919.1387904596686</v>
      </c>
      <c r="P27" s="692">
        <f t="shared" si="3"/>
        <v>60.97</v>
      </c>
      <c r="Q27" s="692">
        <f t="shared" si="3"/>
        <v>419.4666666666667</v>
      </c>
      <c r="R27" s="692">
        <f t="shared" ca="1" si="3"/>
        <v>421458.13356600277</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6373.7946758723974</v>
      </c>
      <c r="D40" s="684">
        <f ca="1">tertiair!C20</f>
        <v>0</v>
      </c>
      <c r="E40" s="684">
        <f ca="1">tertiair!D20</f>
        <v>8527.5593776830265</v>
      </c>
      <c r="F40" s="684">
        <f>tertiair!E20</f>
        <v>137.16366482597866</v>
      </c>
      <c r="G40" s="684">
        <f ca="1">tertiair!F20</f>
        <v>1431.2498307781086</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16469.767549159511</v>
      </c>
    </row>
    <row r="41" spans="1:18">
      <c r="A41" s="812" t="s">
        <v>224</v>
      </c>
      <c r="B41" s="819"/>
      <c r="C41" s="684">
        <f ca="1">huishoudens!B12</f>
        <v>11251.512690206806</v>
      </c>
      <c r="D41" s="684">
        <f ca="1">huishoudens!C12</f>
        <v>0</v>
      </c>
      <c r="E41" s="684">
        <f>huishoudens!D12</f>
        <v>25965.839542816502</v>
      </c>
      <c r="F41" s="684">
        <f>huishoudens!E12</f>
        <v>3062.441086160286</v>
      </c>
      <c r="G41" s="684">
        <f>huishoudens!F12</f>
        <v>6766.8802470978708</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47046.673566281468</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463.42101673403977</v>
      </c>
      <c r="D43" s="684">
        <f ca="1">industrie!C22</f>
        <v>0</v>
      </c>
      <c r="E43" s="684">
        <f>industrie!D22</f>
        <v>716.68063432698568</v>
      </c>
      <c r="F43" s="684">
        <f>industrie!E22</f>
        <v>6.4244631584104166</v>
      </c>
      <c r="G43" s="684">
        <f>industrie!F22</f>
        <v>289.56479285094196</v>
      </c>
      <c r="H43" s="684">
        <f>industrie!G22</f>
        <v>0</v>
      </c>
      <c r="I43" s="684">
        <f>industrie!H22</f>
        <v>0</v>
      </c>
      <c r="J43" s="684">
        <f>industrie!I22</f>
        <v>0</v>
      </c>
      <c r="K43" s="684">
        <f>industrie!J22</f>
        <v>1.7659483621252374</v>
      </c>
      <c r="L43" s="684">
        <f>industrie!K22</f>
        <v>0</v>
      </c>
      <c r="M43" s="684">
        <f>industrie!L22</f>
        <v>0</v>
      </c>
      <c r="N43" s="684">
        <f>industrie!M22</f>
        <v>0</v>
      </c>
      <c r="O43" s="684">
        <f>industrie!N22</f>
        <v>0</v>
      </c>
      <c r="P43" s="684">
        <f>industrie!O22</f>
        <v>0</v>
      </c>
      <c r="Q43" s="759">
        <f>industrie!P22</f>
        <v>0</v>
      </c>
      <c r="R43" s="839">
        <f t="shared" ca="1" si="4"/>
        <v>1477.8568554325032</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18088.728382813242</v>
      </c>
      <c r="D46" s="717">
        <f t="shared" ref="D46:Q46" ca="1" si="5">SUM(D39:D45)</f>
        <v>0</v>
      </c>
      <c r="E46" s="717">
        <f t="shared" ca="1" si="5"/>
        <v>35210.079554826516</v>
      </c>
      <c r="F46" s="717">
        <f t="shared" si="5"/>
        <v>3206.0292141446753</v>
      </c>
      <c r="G46" s="717">
        <f t="shared" ca="1" si="5"/>
        <v>8487.6948707269221</v>
      </c>
      <c r="H46" s="717">
        <f t="shared" si="5"/>
        <v>0</v>
      </c>
      <c r="I46" s="717">
        <f t="shared" si="5"/>
        <v>0</v>
      </c>
      <c r="J46" s="717">
        <f t="shared" si="5"/>
        <v>0</v>
      </c>
      <c r="K46" s="717">
        <f t="shared" si="5"/>
        <v>1.7659483621252374</v>
      </c>
      <c r="L46" s="717">
        <f t="shared" si="5"/>
        <v>0</v>
      </c>
      <c r="M46" s="717">
        <f t="shared" ca="1" si="5"/>
        <v>0</v>
      </c>
      <c r="N46" s="717">
        <f t="shared" si="5"/>
        <v>0</v>
      </c>
      <c r="O46" s="717">
        <f t="shared" ca="1" si="5"/>
        <v>0</v>
      </c>
      <c r="P46" s="717">
        <f t="shared" si="5"/>
        <v>0</v>
      </c>
      <c r="Q46" s="717">
        <f t="shared" si="5"/>
        <v>0</v>
      </c>
      <c r="R46" s="717">
        <f ca="1">SUM(R39:R45)</f>
        <v>64994.297970873478</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584.53724406307515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584.53724406307515</v>
      </c>
    </row>
    <row r="50" spans="1:18">
      <c r="A50" s="815" t="s">
        <v>306</v>
      </c>
      <c r="B50" s="825"/>
      <c r="C50" s="985">
        <f ca="1">transport!B18</f>
        <v>0.17887255733211938</v>
      </c>
      <c r="D50" s="985">
        <f>transport!C18</f>
        <v>0</v>
      </c>
      <c r="E50" s="985">
        <f>transport!D18</f>
        <v>0.90596011869850623</v>
      </c>
      <c r="F50" s="985">
        <f>transport!E18</f>
        <v>103.15948144479476</v>
      </c>
      <c r="G50" s="985">
        <f>transport!F18</f>
        <v>0</v>
      </c>
      <c r="H50" s="985">
        <f>transport!G18</f>
        <v>20139.874193465424</v>
      </c>
      <c r="I50" s="985">
        <f>transport!H18</f>
        <v>3829.6485863539365</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24073.767093940187</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0.17887255733211938</v>
      </c>
      <c r="D52" s="717">
        <f t="shared" ref="D52:Q52" ca="1" si="6">SUM(D48:D51)</f>
        <v>0</v>
      </c>
      <c r="E52" s="717">
        <f t="shared" si="6"/>
        <v>0.90596011869850623</v>
      </c>
      <c r="F52" s="717">
        <f t="shared" si="6"/>
        <v>103.15948144479476</v>
      </c>
      <c r="G52" s="717">
        <f t="shared" si="6"/>
        <v>0</v>
      </c>
      <c r="H52" s="717">
        <f t="shared" si="6"/>
        <v>20724.411437528499</v>
      </c>
      <c r="I52" s="717">
        <f t="shared" si="6"/>
        <v>3829.6485863539365</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24658.304338003261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88.982734283557946</v>
      </c>
      <c r="D54" s="985">
        <f ca="1">+landbouw!C12</f>
        <v>0</v>
      </c>
      <c r="E54" s="985">
        <f>+landbouw!D12</f>
        <v>89.706547181965917</v>
      </c>
      <c r="F54" s="985">
        <f>+landbouw!E12</f>
        <v>0.96733725863517517</v>
      </c>
      <c r="G54" s="985">
        <f>+landbouw!F12</f>
        <v>465.09917761624268</v>
      </c>
      <c r="H54" s="985">
        <f>+landbouw!G12</f>
        <v>0</v>
      </c>
      <c r="I54" s="985">
        <f>+landbouw!H12</f>
        <v>0</v>
      </c>
      <c r="J54" s="985">
        <f>+landbouw!I12</f>
        <v>0</v>
      </c>
      <c r="K54" s="985">
        <f>+landbouw!J12</f>
        <v>12.865058226247255</v>
      </c>
      <c r="L54" s="985">
        <f>+landbouw!K12</f>
        <v>0</v>
      </c>
      <c r="M54" s="985">
        <f>+landbouw!L12</f>
        <v>0</v>
      </c>
      <c r="N54" s="985">
        <f>+landbouw!M12</f>
        <v>0</v>
      </c>
      <c r="O54" s="985">
        <f>+landbouw!N12</f>
        <v>0</v>
      </c>
      <c r="P54" s="985">
        <f>+landbouw!O12</f>
        <v>0</v>
      </c>
      <c r="Q54" s="986">
        <f>+landbouw!P12</f>
        <v>0</v>
      </c>
      <c r="R54" s="716">
        <f ca="1">SUM(C54:Q54)</f>
        <v>657.62085456664897</v>
      </c>
    </row>
    <row r="55" spans="1:18" ht="15" thickBot="1">
      <c r="A55" s="815" t="s">
        <v>912</v>
      </c>
      <c r="B55" s="825"/>
      <c r="C55" s="985">
        <f ca="1">C25*'EF ele_warmte'!B12</f>
        <v>469.72807509716102</v>
      </c>
      <c r="D55" s="985"/>
      <c r="E55" s="985">
        <f>E25*EF_CO2_aardgas</f>
        <v>1175.8765103403359</v>
      </c>
      <c r="F55" s="985"/>
      <c r="G55" s="985"/>
      <c r="H55" s="985"/>
      <c r="I55" s="985"/>
      <c r="J55" s="985"/>
      <c r="K55" s="985"/>
      <c r="L55" s="985"/>
      <c r="M55" s="985"/>
      <c r="N55" s="985"/>
      <c r="O55" s="985"/>
      <c r="P55" s="985"/>
      <c r="Q55" s="986"/>
      <c r="R55" s="716">
        <f ca="1">SUM(C55:Q55)</f>
        <v>1645.604585437497</v>
      </c>
    </row>
    <row r="56" spans="1:18" ht="15.75" thickBot="1">
      <c r="A56" s="813" t="s">
        <v>913</v>
      </c>
      <c r="B56" s="826"/>
      <c r="C56" s="717">
        <f ca="1">SUM(C54:C55)</f>
        <v>558.71080938071896</v>
      </c>
      <c r="D56" s="717">
        <f t="shared" ref="D56:Q56" ca="1" si="7">SUM(D54:D55)</f>
        <v>0</v>
      </c>
      <c r="E56" s="717">
        <f t="shared" si="7"/>
        <v>1265.5830575223019</v>
      </c>
      <c r="F56" s="717">
        <f t="shared" si="7"/>
        <v>0.96733725863517517</v>
      </c>
      <c r="G56" s="717">
        <f t="shared" si="7"/>
        <v>465.09917761624268</v>
      </c>
      <c r="H56" s="717">
        <f t="shared" si="7"/>
        <v>0</v>
      </c>
      <c r="I56" s="717">
        <f t="shared" si="7"/>
        <v>0</v>
      </c>
      <c r="J56" s="717">
        <f t="shared" si="7"/>
        <v>0</v>
      </c>
      <c r="K56" s="717">
        <f t="shared" si="7"/>
        <v>12.865058226247255</v>
      </c>
      <c r="L56" s="717">
        <f t="shared" si="7"/>
        <v>0</v>
      </c>
      <c r="M56" s="717">
        <f t="shared" si="7"/>
        <v>0</v>
      </c>
      <c r="N56" s="717">
        <f t="shared" si="7"/>
        <v>0</v>
      </c>
      <c r="O56" s="717">
        <f t="shared" si="7"/>
        <v>0</v>
      </c>
      <c r="P56" s="717">
        <f t="shared" si="7"/>
        <v>0</v>
      </c>
      <c r="Q56" s="718">
        <f t="shared" si="7"/>
        <v>0</v>
      </c>
      <c r="R56" s="719">
        <f ca="1">SUM(R54:R55)</f>
        <v>2303.2254400041461</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18647.618064751292</v>
      </c>
      <c r="D61" s="725">
        <f t="shared" ref="D61:Q61" ca="1" si="8">D46+D52+D56</f>
        <v>0</v>
      </c>
      <c r="E61" s="725">
        <f t="shared" ca="1" si="8"/>
        <v>36476.568572467513</v>
      </c>
      <c r="F61" s="725">
        <f t="shared" si="8"/>
        <v>3310.1560328481055</v>
      </c>
      <c r="G61" s="725">
        <f t="shared" ca="1" si="8"/>
        <v>8952.7940483431648</v>
      </c>
      <c r="H61" s="725">
        <f t="shared" si="8"/>
        <v>20724.411437528499</v>
      </c>
      <c r="I61" s="725">
        <f t="shared" si="8"/>
        <v>3829.6485863539365</v>
      </c>
      <c r="J61" s="725">
        <f t="shared" si="8"/>
        <v>0</v>
      </c>
      <c r="K61" s="725">
        <f t="shared" si="8"/>
        <v>14.631006588372493</v>
      </c>
      <c r="L61" s="725">
        <f t="shared" si="8"/>
        <v>0</v>
      </c>
      <c r="M61" s="725">
        <f t="shared" ca="1" si="8"/>
        <v>0</v>
      </c>
      <c r="N61" s="725">
        <f t="shared" si="8"/>
        <v>0</v>
      </c>
      <c r="O61" s="725">
        <f t="shared" ca="1" si="8"/>
        <v>0</v>
      </c>
      <c r="P61" s="725">
        <f t="shared" si="8"/>
        <v>0</v>
      </c>
      <c r="Q61" s="725">
        <f t="shared" si="8"/>
        <v>0</v>
      </c>
      <c r="R61" s="725">
        <f ca="1">R46+R52+R56</f>
        <v>91955.827748880882</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0.21867155838372582</v>
      </c>
      <c r="D63" s="769">
        <f t="shared" ca="1" si="9"/>
        <v>0</v>
      </c>
      <c r="E63" s="987">
        <f t="shared" ca="1" si="9"/>
        <v>0.20199999999999996</v>
      </c>
      <c r="F63" s="769">
        <f t="shared" si="9"/>
        <v>0.22700000000000004</v>
      </c>
      <c r="G63" s="769">
        <f t="shared" ca="1" si="9"/>
        <v>0.26700000000000007</v>
      </c>
      <c r="H63" s="769">
        <f t="shared" si="9"/>
        <v>0.26700000000000007</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898.47116701945424</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898.47116701945424</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898.47116701945424</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898.47116701945424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51453.937463886359</v>
      </c>
      <c r="C4" s="457">
        <f>huishoudens!C8</f>
        <v>0</v>
      </c>
      <c r="D4" s="457">
        <f>huishoudens!D8</f>
        <v>128543.76011295298</v>
      </c>
      <c r="E4" s="457">
        <f>huishoudens!E8</f>
        <v>13490.929894979234</v>
      </c>
      <c r="F4" s="457">
        <f>huishoudens!F8</f>
        <v>25344.120775647454</v>
      </c>
      <c r="G4" s="457">
        <f>huishoudens!G8</f>
        <v>0</v>
      </c>
      <c r="H4" s="457">
        <f>huishoudens!H8</f>
        <v>0</v>
      </c>
      <c r="I4" s="457">
        <f>huishoudens!I8</f>
        <v>0</v>
      </c>
      <c r="J4" s="457">
        <f>huishoudens!J8</f>
        <v>0</v>
      </c>
      <c r="K4" s="457">
        <f>huishoudens!K8</f>
        <v>0</v>
      </c>
      <c r="L4" s="457">
        <f>huishoudens!L8</f>
        <v>0</v>
      </c>
      <c r="M4" s="457">
        <f>huishoudens!M8</f>
        <v>0</v>
      </c>
      <c r="N4" s="457">
        <f>huishoudens!N8</f>
        <v>8821.9639010927167</v>
      </c>
      <c r="O4" s="457">
        <f>huishoudens!O8</f>
        <v>57.843333333333334</v>
      </c>
      <c r="P4" s="458">
        <f>huishoudens!P8</f>
        <v>419.4666666666667</v>
      </c>
      <c r="Q4" s="459">
        <f>SUM(B4:P4)</f>
        <v>228132.02214855872</v>
      </c>
    </row>
    <row r="5" spans="1:17">
      <c r="A5" s="456" t="s">
        <v>155</v>
      </c>
      <c r="B5" s="457">
        <f ca="1">tertiair!B16</f>
        <v>27995.184206184982</v>
      </c>
      <c r="C5" s="457">
        <f ca="1">tertiair!C16</f>
        <v>0</v>
      </c>
      <c r="D5" s="457">
        <f ca="1">tertiair!D16</f>
        <v>42215.640483579336</v>
      </c>
      <c r="E5" s="457">
        <f>tertiair!E16</f>
        <v>604.24521949770326</v>
      </c>
      <c r="F5" s="457">
        <f ca="1">tertiair!F16</f>
        <v>5360.4862575959123</v>
      </c>
      <c r="G5" s="457">
        <f>tertiair!G16</f>
        <v>0</v>
      </c>
      <c r="H5" s="457">
        <f>tertiair!H16</f>
        <v>0</v>
      </c>
      <c r="I5" s="457">
        <f>tertiair!I16</f>
        <v>0</v>
      </c>
      <c r="J5" s="457">
        <f>tertiair!J16</f>
        <v>0</v>
      </c>
      <c r="K5" s="457">
        <f>tertiair!K16</f>
        <v>0</v>
      </c>
      <c r="L5" s="457">
        <f ca="1">tertiair!L16</f>
        <v>0</v>
      </c>
      <c r="M5" s="457">
        <f>tertiair!M16</f>
        <v>0</v>
      </c>
      <c r="N5" s="457">
        <f ca="1">tertiair!N16</f>
        <v>995.09374735713016</v>
      </c>
      <c r="O5" s="457">
        <f>tertiair!O16</f>
        <v>3.1266666666666669</v>
      </c>
      <c r="P5" s="458">
        <f>tertiair!P16</f>
        <v>0</v>
      </c>
      <c r="Q5" s="456">
        <f t="shared" ref="Q5:Q14" ca="1" si="0">SUM(B5:P5)</f>
        <v>77173.776580881735</v>
      </c>
    </row>
    <row r="6" spans="1:17">
      <c r="A6" s="456" t="s">
        <v>193</v>
      </c>
      <c r="B6" s="457">
        <f>'openbare verlichting'!B8</f>
        <v>1152.615</v>
      </c>
      <c r="C6" s="457"/>
      <c r="D6" s="457"/>
      <c r="E6" s="457"/>
      <c r="F6" s="457"/>
      <c r="G6" s="457"/>
      <c r="H6" s="457"/>
      <c r="I6" s="457"/>
      <c r="J6" s="457"/>
      <c r="K6" s="457"/>
      <c r="L6" s="457"/>
      <c r="M6" s="457"/>
      <c r="N6" s="457"/>
      <c r="O6" s="457"/>
      <c r="P6" s="458"/>
      <c r="Q6" s="456">
        <f t="shared" si="0"/>
        <v>1152.615</v>
      </c>
    </row>
    <row r="7" spans="1:17">
      <c r="A7" s="456" t="s">
        <v>111</v>
      </c>
      <c r="B7" s="457">
        <f>landbouw!B8</f>
        <v>406.92413289253938</v>
      </c>
      <c r="C7" s="457">
        <f>landbouw!C8</f>
        <v>0</v>
      </c>
      <c r="D7" s="457">
        <f>landbouw!D8</f>
        <v>444.09181773250452</v>
      </c>
      <c r="E7" s="457">
        <f>landbouw!E8</f>
        <v>4.26139761513293</v>
      </c>
      <c r="F7" s="457">
        <f>landbouw!F8</f>
        <v>1741.9444854540923</v>
      </c>
      <c r="G7" s="457">
        <f>landbouw!G8</f>
        <v>0</v>
      </c>
      <c r="H7" s="457">
        <f>landbouw!H8</f>
        <v>0</v>
      </c>
      <c r="I7" s="457">
        <f>landbouw!I8</f>
        <v>0</v>
      </c>
      <c r="J7" s="457">
        <f>landbouw!J8</f>
        <v>36.341972390528973</v>
      </c>
      <c r="K7" s="457">
        <f>landbouw!K8</f>
        <v>0</v>
      </c>
      <c r="L7" s="457">
        <f>landbouw!L8</f>
        <v>0</v>
      </c>
      <c r="M7" s="457">
        <f>landbouw!M8</f>
        <v>0</v>
      </c>
      <c r="N7" s="457">
        <f>landbouw!N8</f>
        <v>0</v>
      </c>
      <c r="O7" s="457">
        <f>landbouw!O8</f>
        <v>0</v>
      </c>
      <c r="P7" s="458">
        <f>landbouw!P8</f>
        <v>0</v>
      </c>
      <c r="Q7" s="456">
        <f t="shared" si="0"/>
        <v>2633.5638060847982</v>
      </c>
    </row>
    <row r="8" spans="1:17">
      <c r="A8" s="456" t="s">
        <v>654</v>
      </c>
      <c r="B8" s="457">
        <f>industrie!B18</f>
        <v>2119.2560210360161</v>
      </c>
      <c r="C8" s="457">
        <f>industrie!C18</f>
        <v>0</v>
      </c>
      <c r="D8" s="457">
        <f>industrie!D18</f>
        <v>3547.9239323118099</v>
      </c>
      <c r="E8" s="457">
        <f>industrie!E18</f>
        <v>28.301599816785977</v>
      </c>
      <c r="F8" s="457">
        <f>industrie!F18</f>
        <v>1084.5123327750634</v>
      </c>
      <c r="G8" s="457">
        <f>industrie!G18</f>
        <v>0</v>
      </c>
      <c r="H8" s="457">
        <f>industrie!H18</f>
        <v>0</v>
      </c>
      <c r="I8" s="457">
        <f>industrie!I18</f>
        <v>0</v>
      </c>
      <c r="J8" s="457">
        <f>industrie!J18</f>
        <v>4.9885546952690323</v>
      </c>
      <c r="K8" s="457">
        <f>industrie!K18</f>
        <v>0</v>
      </c>
      <c r="L8" s="457">
        <f>industrie!L18</f>
        <v>0</v>
      </c>
      <c r="M8" s="457">
        <f>industrie!M18</f>
        <v>0</v>
      </c>
      <c r="N8" s="457">
        <f>industrie!N18</f>
        <v>102.08114200982106</v>
      </c>
      <c r="O8" s="457">
        <f>industrie!O18</f>
        <v>0</v>
      </c>
      <c r="P8" s="458">
        <f>industrie!P18</f>
        <v>0</v>
      </c>
      <c r="Q8" s="456">
        <f t="shared" si="0"/>
        <v>6887.0635826447651</v>
      </c>
    </row>
    <row r="9" spans="1:17" s="462" customFormat="1">
      <c r="A9" s="460" t="s">
        <v>572</v>
      </c>
      <c r="B9" s="461">
        <f>transport!B14</f>
        <v>0.81799644477876254</v>
      </c>
      <c r="C9" s="461">
        <f>transport!C14</f>
        <v>0</v>
      </c>
      <c r="D9" s="461">
        <f>transport!D14</f>
        <v>4.4849510826658721</v>
      </c>
      <c r="E9" s="461">
        <f>transport!E14</f>
        <v>454.44705482288441</v>
      </c>
      <c r="F9" s="461">
        <f>transport!F14</f>
        <v>0</v>
      </c>
      <c r="G9" s="461">
        <f>transport!G14</f>
        <v>75430.240424964126</v>
      </c>
      <c r="H9" s="461">
        <f>transport!H14</f>
        <v>15380.114804634282</v>
      </c>
      <c r="I9" s="461">
        <f>transport!I14</f>
        <v>0</v>
      </c>
      <c r="J9" s="461">
        <f>transport!J14</f>
        <v>0</v>
      </c>
      <c r="K9" s="461">
        <f>transport!K14</f>
        <v>0</v>
      </c>
      <c r="L9" s="461">
        <f>transport!L14</f>
        <v>0</v>
      </c>
      <c r="M9" s="461">
        <f>transport!M14</f>
        <v>3957.3435211381752</v>
      </c>
      <c r="N9" s="461">
        <f>transport!N14</f>
        <v>0</v>
      </c>
      <c r="O9" s="461">
        <f>transport!O14</f>
        <v>0</v>
      </c>
      <c r="P9" s="461">
        <f>transport!P14</f>
        <v>0</v>
      </c>
      <c r="Q9" s="460">
        <f>SUM(B9:P9)</f>
        <v>95227.448753086908</v>
      </c>
    </row>
    <row r="10" spans="1:17">
      <c r="A10" s="456" t="s">
        <v>562</v>
      </c>
      <c r="B10" s="457">
        <f>transport!B54</f>
        <v>0</v>
      </c>
      <c r="C10" s="457">
        <f>transport!C54</f>
        <v>0</v>
      </c>
      <c r="D10" s="457">
        <f>transport!D54</f>
        <v>0</v>
      </c>
      <c r="E10" s="457">
        <f>transport!E54</f>
        <v>0</v>
      </c>
      <c r="F10" s="457">
        <f>transport!F54</f>
        <v>0</v>
      </c>
      <c r="G10" s="457">
        <f>transport!G54</f>
        <v>2189.2780676519669</v>
      </c>
      <c r="H10" s="457">
        <f>transport!H54</f>
        <v>0</v>
      </c>
      <c r="I10" s="457">
        <f>transport!I54</f>
        <v>0</v>
      </c>
      <c r="J10" s="457">
        <f>transport!J54</f>
        <v>0</v>
      </c>
      <c r="K10" s="457">
        <f>transport!K54</f>
        <v>0</v>
      </c>
      <c r="L10" s="457">
        <f>transport!L54</f>
        <v>0</v>
      </c>
      <c r="M10" s="457">
        <f>transport!M54</f>
        <v>93.09615330765287</v>
      </c>
      <c r="N10" s="457">
        <f>transport!N54</f>
        <v>0</v>
      </c>
      <c r="O10" s="457">
        <f>transport!O54</f>
        <v>0</v>
      </c>
      <c r="P10" s="458">
        <f>transport!P54</f>
        <v>0</v>
      </c>
      <c r="Q10" s="456">
        <f t="shared" si="0"/>
        <v>2282.3742209596198</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2148.0986305172801</v>
      </c>
      <c r="C14" s="464"/>
      <c r="D14" s="464">
        <f>'SEAP template'!E25</f>
        <v>5821.1708432689893</v>
      </c>
      <c r="E14" s="464"/>
      <c r="F14" s="464"/>
      <c r="G14" s="464"/>
      <c r="H14" s="464"/>
      <c r="I14" s="464"/>
      <c r="J14" s="464"/>
      <c r="K14" s="464"/>
      <c r="L14" s="464"/>
      <c r="M14" s="464"/>
      <c r="N14" s="464"/>
      <c r="O14" s="464"/>
      <c r="P14" s="465"/>
      <c r="Q14" s="456">
        <f t="shared" si="0"/>
        <v>7969.2694737862694</v>
      </c>
    </row>
    <row r="15" spans="1:17" s="469" customFormat="1">
      <c r="A15" s="466" t="s">
        <v>566</v>
      </c>
      <c r="B15" s="467">
        <f ca="1">SUM(B4:B14)</f>
        <v>85276.83345096196</v>
      </c>
      <c r="C15" s="467">
        <f t="shared" ref="C15:Q15" ca="1" si="1">SUM(C4:C14)</f>
        <v>0</v>
      </c>
      <c r="D15" s="467">
        <f t="shared" ca="1" si="1"/>
        <v>180577.0721409283</v>
      </c>
      <c r="E15" s="467">
        <f t="shared" si="1"/>
        <v>14582.185166731741</v>
      </c>
      <c r="F15" s="467">
        <f t="shared" ca="1" si="1"/>
        <v>33531.063851472521</v>
      </c>
      <c r="G15" s="467">
        <f t="shared" si="1"/>
        <v>77619.518492616087</v>
      </c>
      <c r="H15" s="467">
        <f t="shared" si="1"/>
        <v>15380.114804634282</v>
      </c>
      <c r="I15" s="467">
        <f t="shared" si="1"/>
        <v>0</v>
      </c>
      <c r="J15" s="467">
        <f t="shared" si="1"/>
        <v>41.330527085798003</v>
      </c>
      <c r="K15" s="467">
        <f t="shared" si="1"/>
        <v>0</v>
      </c>
      <c r="L15" s="467">
        <f t="shared" ca="1" si="1"/>
        <v>0</v>
      </c>
      <c r="M15" s="467">
        <f t="shared" si="1"/>
        <v>4050.4396744458281</v>
      </c>
      <c r="N15" s="467">
        <f t="shared" ca="1" si="1"/>
        <v>9919.1387904596686</v>
      </c>
      <c r="O15" s="467">
        <f t="shared" si="1"/>
        <v>60.97</v>
      </c>
      <c r="P15" s="467">
        <f t="shared" si="1"/>
        <v>419.4666666666667</v>
      </c>
      <c r="Q15" s="467">
        <f t="shared" ca="1" si="1"/>
        <v>421458.13356600277</v>
      </c>
    </row>
    <row r="17" spans="1:17">
      <c r="A17" s="470" t="s">
        <v>567</v>
      </c>
      <c r="B17" s="774">
        <f ca="1">huishoudens!B10</f>
        <v>0.21867155838372587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11251.512690206806</v>
      </c>
      <c r="C22" s="457">
        <f t="shared" ref="C22:C32" ca="1" si="3">C4*$C$17</f>
        <v>0</v>
      </c>
      <c r="D22" s="457">
        <f t="shared" ref="D22:D32" si="4">D4*$D$17</f>
        <v>25965.839542816502</v>
      </c>
      <c r="E22" s="457">
        <f t="shared" ref="E22:E32" si="5">E4*$E$17</f>
        <v>3062.441086160286</v>
      </c>
      <c r="F22" s="457">
        <f t="shared" ref="F22:F32" si="6">F4*$F$17</f>
        <v>6766.8802470978708</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47046.673566281468</v>
      </c>
    </row>
    <row r="23" spans="1:17">
      <c r="A23" s="456" t="s">
        <v>155</v>
      </c>
      <c r="B23" s="457">
        <f t="shared" ca="1" si="2"/>
        <v>6121.7505576059393</v>
      </c>
      <c r="C23" s="457">
        <f t="shared" ca="1" si="3"/>
        <v>0</v>
      </c>
      <c r="D23" s="457">
        <f t="shared" ca="1" si="4"/>
        <v>8527.5593776830265</v>
      </c>
      <c r="E23" s="457">
        <f t="shared" si="5"/>
        <v>137.16366482597866</v>
      </c>
      <c r="F23" s="457">
        <f t="shared" ca="1" si="6"/>
        <v>1431.2498307781086</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16217.723430893053</v>
      </c>
    </row>
    <row r="24" spans="1:17">
      <c r="A24" s="456" t="s">
        <v>193</v>
      </c>
      <c r="B24" s="457">
        <f t="shared" ca="1" si="2"/>
        <v>252.04411826645818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252.04411826645818</v>
      </c>
    </row>
    <row r="25" spans="1:17">
      <c r="A25" s="456" t="s">
        <v>111</v>
      </c>
      <c r="B25" s="457">
        <f t="shared" ca="1" si="2"/>
        <v>88.982734283557946</v>
      </c>
      <c r="C25" s="457">
        <f t="shared" ca="1" si="3"/>
        <v>0</v>
      </c>
      <c r="D25" s="457">
        <f t="shared" si="4"/>
        <v>89.706547181965917</v>
      </c>
      <c r="E25" s="457">
        <f t="shared" si="5"/>
        <v>0.96733725863517517</v>
      </c>
      <c r="F25" s="457">
        <f t="shared" si="6"/>
        <v>465.09917761624268</v>
      </c>
      <c r="G25" s="457">
        <f t="shared" si="7"/>
        <v>0</v>
      </c>
      <c r="H25" s="457">
        <f t="shared" si="8"/>
        <v>0</v>
      </c>
      <c r="I25" s="457">
        <f t="shared" si="9"/>
        <v>0</v>
      </c>
      <c r="J25" s="457">
        <f t="shared" si="10"/>
        <v>12.865058226247255</v>
      </c>
      <c r="K25" s="457">
        <f t="shared" si="11"/>
        <v>0</v>
      </c>
      <c r="L25" s="457">
        <f t="shared" si="12"/>
        <v>0</v>
      </c>
      <c r="M25" s="457">
        <f t="shared" si="13"/>
        <v>0</v>
      </c>
      <c r="N25" s="457">
        <f t="shared" si="14"/>
        <v>0</v>
      </c>
      <c r="O25" s="457">
        <f t="shared" si="15"/>
        <v>0</v>
      </c>
      <c r="P25" s="458">
        <f t="shared" si="16"/>
        <v>0</v>
      </c>
      <c r="Q25" s="456">
        <f t="shared" ca="1" si="17"/>
        <v>657.62085456664897</v>
      </c>
    </row>
    <row r="26" spans="1:17">
      <c r="A26" s="456" t="s">
        <v>654</v>
      </c>
      <c r="B26" s="457">
        <f t="shared" ca="1" si="2"/>
        <v>463.42101673403977</v>
      </c>
      <c r="C26" s="457">
        <f t="shared" ca="1" si="3"/>
        <v>0</v>
      </c>
      <c r="D26" s="457">
        <f t="shared" si="4"/>
        <v>716.68063432698568</v>
      </c>
      <c r="E26" s="457">
        <f t="shared" si="5"/>
        <v>6.4244631584104166</v>
      </c>
      <c r="F26" s="457">
        <f t="shared" si="6"/>
        <v>289.56479285094196</v>
      </c>
      <c r="G26" s="457">
        <f t="shared" si="7"/>
        <v>0</v>
      </c>
      <c r="H26" s="457">
        <f t="shared" si="8"/>
        <v>0</v>
      </c>
      <c r="I26" s="457">
        <f t="shared" si="9"/>
        <v>0</v>
      </c>
      <c r="J26" s="457">
        <f t="shared" si="10"/>
        <v>1.7659483621252374</v>
      </c>
      <c r="K26" s="457">
        <f t="shared" si="11"/>
        <v>0</v>
      </c>
      <c r="L26" s="457">
        <f t="shared" si="12"/>
        <v>0</v>
      </c>
      <c r="M26" s="457">
        <f t="shared" si="13"/>
        <v>0</v>
      </c>
      <c r="N26" s="457">
        <f t="shared" si="14"/>
        <v>0</v>
      </c>
      <c r="O26" s="457">
        <f t="shared" si="15"/>
        <v>0</v>
      </c>
      <c r="P26" s="458">
        <f t="shared" si="16"/>
        <v>0</v>
      </c>
      <c r="Q26" s="456">
        <f t="shared" ca="1" si="17"/>
        <v>1477.8568554325032</v>
      </c>
    </row>
    <row r="27" spans="1:17" s="462" customFormat="1">
      <c r="A27" s="460" t="s">
        <v>572</v>
      </c>
      <c r="B27" s="768">
        <f t="shared" ca="1" si="2"/>
        <v>0.17887255733211938</v>
      </c>
      <c r="C27" s="461">
        <f t="shared" ca="1" si="3"/>
        <v>0</v>
      </c>
      <c r="D27" s="461">
        <f t="shared" si="4"/>
        <v>0.90596011869850623</v>
      </c>
      <c r="E27" s="461">
        <f t="shared" si="5"/>
        <v>103.15948144479476</v>
      </c>
      <c r="F27" s="461">
        <f t="shared" si="6"/>
        <v>0</v>
      </c>
      <c r="G27" s="461">
        <f t="shared" si="7"/>
        <v>20139.874193465424</v>
      </c>
      <c r="H27" s="461">
        <f t="shared" si="8"/>
        <v>3829.6485863539365</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24073.767093940187</v>
      </c>
    </row>
    <row r="28" spans="1:17">
      <c r="A28" s="456" t="s">
        <v>562</v>
      </c>
      <c r="B28" s="457">
        <f t="shared" ca="1" si="2"/>
        <v>0</v>
      </c>
      <c r="C28" s="457">
        <f t="shared" ca="1" si="3"/>
        <v>0</v>
      </c>
      <c r="D28" s="457">
        <f t="shared" si="4"/>
        <v>0</v>
      </c>
      <c r="E28" s="457">
        <f t="shared" si="5"/>
        <v>0</v>
      </c>
      <c r="F28" s="457">
        <f t="shared" si="6"/>
        <v>0</v>
      </c>
      <c r="G28" s="457">
        <f t="shared" si="7"/>
        <v>584.53724406307515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584.53724406307515</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469.72807509716102</v>
      </c>
      <c r="C32" s="457">
        <f t="shared" ca="1" si="3"/>
        <v>0</v>
      </c>
      <c r="D32" s="457">
        <f t="shared" si="4"/>
        <v>1175.8765103403359</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1645.604585437497</v>
      </c>
    </row>
    <row r="33" spans="1:17" s="469" customFormat="1">
      <c r="A33" s="466" t="s">
        <v>566</v>
      </c>
      <c r="B33" s="467">
        <f ca="1">SUM(B22:B32)</f>
        <v>18647.618064751296</v>
      </c>
      <c r="C33" s="467">
        <f t="shared" ref="C33:Q33" ca="1" si="19">SUM(C22:C32)</f>
        <v>0</v>
      </c>
      <c r="D33" s="467">
        <f t="shared" ca="1" si="19"/>
        <v>36476.568572467513</v>
      </c>
      <c r="E33" s="467">
        <f t="shared" si="19"/>
        <v>3310.1560328481055</v>
      </c>
      <c r="F33" s="467">
        <f t="shared" ca="1" si="19"/>
        <v>8952.7940483431648</v>
      </c>
      <c r="G33" s="467">
        <f t="shared" si="19"/>
        <v>20724.411437528499</v>
      </c>
      <c r="H33" s="467">
        <f t="shared" si="19"/>
        <v>3829.6485863539365</v>
      </c>
      <c r="I33" s="467">
        <f t="shared" si="19"/>
        <v>0</v>
      </c>
      <c r="J33" s="467">
        <f t="shared" si="19"/>
        <v>14.631006588372493</v>
      </c>
      <c r="K33" s="467">
        <f t="shared" si="19"/>
        <v>0</v>
      </c>
      <c r="L33" s="467">
        <f t="shared" ca="1" si="19"/>
        <v>0</v>
      </c>
      <c r="M33" s="467">
        <f t="shared" si="19"/>
        <v>0</v>
      </c>
      <c r="N33" s="467">
        <f t="shared" ca="1" si="19"/>
        <v>0</v>
      </c>
      <c r="O33" s="467">
        <f t="shared" si="19"/>
        <v>0</v>
      </c>
      <c r="P33" s="467">
        <f t="shared" si="19"/>
        <v>0</v>
      </c>
      <c r="Q33" s="467">
        <f t="shared" ca="1" si="19"/>
        <v>91955.827748880896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898.47116701945424</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898.47116701945424</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0.21867155838372587</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0.21867155838372587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2020-06-20T16:35:55Z</dcterms:modified>
</cp:coreProperties>
</file>