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I20" i="18"/>
  <c r="I87" i="14"/>
  <c r="I17" i="55" s="1"/>
  <c r="I20" i="55" s="1"/>
  <c r="O8" i="18"/>
  <c r="O10" i="18" s="1"/>
  <c r="J10" i="18"/>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C11" i="14"/>
  <c r="B4" i="48"/>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Q63"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P13" i="14" l="1"/>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H22" i="14" s="1"/>
  <c r="H27" i="14" s="1"/>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<sst xmlns="http://schemas.openxmlformats.org/spreadsheetml/2006/main" count="2522" uniqueCount="977">
  <si>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</si>
  <si>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</si>
  <si>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</si>
  <si>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</si>
  <si>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</si>
  <si>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</si>
  <si>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</si>
  <si>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</si>
  <si>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</si>
  <si>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</si>
  <si>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</si>
  <si>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</si>
  <si>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</si>
  <si>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</si>
  <si>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</si>
  <si>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</si>
  <si>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</si>
  <si>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</si>
  <si>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</si>
  <si>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</si>
  <si>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</si>
  <si>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</si>
  <si>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</si>
  <si>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</si>
  <si>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</si>
  <si>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</si>
  <si>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</si>
  <si>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</si>
  <si>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</si>
  <si>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</si>
  <si>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</si>
  <si>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</si>
  <si>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</si>
  <si>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</si>
  <si>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</si>
  <si>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</si>
  <si>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</si>
  <si>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</si>
  <si>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</si>
  <si>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</si>
  <si>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</si>
  <si>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</si>
  <si>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</si>
  <si>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</si>
  <si>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</si>
  <si>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</si>
  <si>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</si>
  <si>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</si>
  <si>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</si>
  <si>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</si>
  <si>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</si>
  <si>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</si>
  <si>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</si>
  <si>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</si>
  <si>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</si>
  <si>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</si>
  <si>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</si>
  <si>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</si>
  <si>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</si>
  <si>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</si>
  <si>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</si>
  <si>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</si>
  <si>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</si>
  <si>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</si>
  <si>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</si>
  <si>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</si>
  <si>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</si>
  <si>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</si>
  <si>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</si>
  <si>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</si>
  <si>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</si>
  <si>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</si>
  <si>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</si>
  <si>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</si>
  <si>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</si>
  <si>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</si>
  <si>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</si>
  <si>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</si>
  <si>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</si>
  <si>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</si>
  <si>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</si>
  <si>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</si>
  <si>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</si>
  <si>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</si>
  <si>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</si>
  <si>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</si>
  <si>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</si>
  <si>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</si>
  <si>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</si>
  <si>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</si>
  <si>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</si>
  <si>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</si>
  <si>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</si>
  <si>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</si>
  <si>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</si>
  <si>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</si>
  <si>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</si>
  <si>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</si>
  <si>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</si>
  <si>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</si>
  <si>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</si>
  <si>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</si>
  <si>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</si>
  <si>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</si>
  <si>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</si>
  <si>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</si>
  <si>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</si>
  <si>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</si>
  <si>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</si>
  <si>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</si>
  <si>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</si>
  <si>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</si>
  <si>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</si>
  <si>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</si>
  <si>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</si>
  <si>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</si>
  <si>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</si>
  <si>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</si>
  <si>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</si>
  <si>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</si>
  <si>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</si>
  <si>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</si>
  <si>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</si>
  <si>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</si>
  <si>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</si>
  <si>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</si>
  <si>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</si>
  <si>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</si>
  <si>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</si>
  <si>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</si>
  <si>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</si>
  <si>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</si>
  <si>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</si>
  <si>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</si>
  <si>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</si>
  <si>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</si>
  <si>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</si>
  <si>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</si>
  <si>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</si>
  <si>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</si>
  <si>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</si>
  <si>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</si>
  <si>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</si>
  <si>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</si>
  <si>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</si>
  <si>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</si>
  <si>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</si>
  <si>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</si>
  <si>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</si>
  <si>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</si>
  <si>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</si>
  <si>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</si>
  <si>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</si>
  <si>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</si>
  <si>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</si>
  <si>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</si>
  <si>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</si>
  <si>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</si>
  <si>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</si>
  <si>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</si>
  <si>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</si>
  <si>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</si>
  <si>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</si>
  <si>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</si>
  <si>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</si>
  <si>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</si>
  <si>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</si>
  <si>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</si>
  <si>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</si>
  <si>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</si>
  <si>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</si>
  <si>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</si>
  <si>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</si>
  <si>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</si>
  <si>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</si>
  <si>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</si>
  <si>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</si>
  <si>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</si>
  <si>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</si>
  <si>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</si>
  <si>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</si>
  <si>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</si>
  <si>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</si>
  <si>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</si>
  <si>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</si>
  <si>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</si>
  <si>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</si>
  <si>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</si>
  <si>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</si>
  <si>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</si>
  <si>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</si>
  <si>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</si>
  <si>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</si>
  <si>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</si>
  <si>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</si>
  <si>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</si>
  <si>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</si>
  <si>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</si>
  <si>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</si>
  <si>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</si>
  <si>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</si>
  <si>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</si>
  <si>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</si>
  <si>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</si>
  <si>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</si>
  <si>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</si>
  <si>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</si>
  <si>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</si>
  <si>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</si>
  <si>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</si>
  <si>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</si>
  <si>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</si>
  <si>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</si>
  <si>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</si>
  <si>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</si>
  <si>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</si>
  <si>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</si>
  <si>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</si>
  <si>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</si>
  <si>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</si>
  <si>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</si>
  <si>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</si>
  <si>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</si>
  <si>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</si>
  <si>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</si>
  <si>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</si>
  <si>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</si>
  <si>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</si>
  <si>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</si>
  <si>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</si>
  <si>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</si>
  <si>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</si>
  <si>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</si>
  <si>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</si>
  <si>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</si>
  <si>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</si>
  <si>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</si>
  <si>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</si>
  <si>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</si>
  <si>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</si>
  <si>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</si>
  <si>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</si>
  <si>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</si>
  <si>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</si>
  <si>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</si>
  <si>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</si>
  <si>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</si>
  <si>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</si>
  <si>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</si>
  <si>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</si>
  <si>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</si>
  <si>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</si>
  <si>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</si>
  <si>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</si>
  <si>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</si>
  <si>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</si>
  <si>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</si>
  <si>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</si>
  <si>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</si>
  <si>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</si>
  <si>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</si>
  <si>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</si>
  <si>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</si>
  <si>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</si>
  <si>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</si>
  <si>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</si>
  <si>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</si>
  <si>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</si>
  <si>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</si>
  <si>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</si>
  <si>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</si>
  <si>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</si>
  <si>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</si>
  <si>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</si>
  <si>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</si>
  <si>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</si>
  <si>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</si>
  <si>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</si>
  <si>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</si>
  <si>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</si>
  <si>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</si>
  <si>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</si>
  <si>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</si>
  <si>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</si>
  <si>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</si>
  <si>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</si>
  <si>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</si>
  <si>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</si>
  <si>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</si>
  <si>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</si>
  <si>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</si>
  <si>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</si>
  <si>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</si>
  <si>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</si>
  <si>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</si>
  <si>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</si>
  <si>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</si>
  <si>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</si>
  <si>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</si>
  <si>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</si>
  <si>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</si>
  <si>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</si>
  <si>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</si>
  <si>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</si>
  <si>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</si>
  <si>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</si>
  <si>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</si>
  <si>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</si>
  <si>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</si>
  <si>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</si>
  <si>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</si>
  <si>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</si>
  <si>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</si>
  <si>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</si>
  <si>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</si>
  <si>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</si>
  <si>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</si>
  <si>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</si>
  <si>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</si>
  <si>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</si>
  <si>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</si>
  <si>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</si>
  <si>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</si>
  <si>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</si>
  <si>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</si>
  <si>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</si>
  <si>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</si>
  <si>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</si>
  <si>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</si>
  <si>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</si>
  <si>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</si>
  <si>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</si>
  <si>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</si>
  <si>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</si>
  <si>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</si>
  <si>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</si>
  <si>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</si>
  <si>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</si>
  <si>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</si>
  <si>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</si>
  <si>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</si>
  <si>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</si>
  <si>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</si>
  <si>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</si>
  <si>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</si>
  <si>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</si>
  <si>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</si>
  <si>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</si>
  <si>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</si>
  <si>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</si>
  <si>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</si>
  <si>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</si>
  <si>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</si>
  <si>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</si>
  <si>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</si>
  <si>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</si>
  <si>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</si>
  <si>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</si>
  <si>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</si>
  <si>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</si>
  <si>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</si>
  <si>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</si>
  <si>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</si>
  <si>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</si>
  <si>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</si>
  <si>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</si>
  <si>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</si>
  <si>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</si>
  <si>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</si>
  <si>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</si>
  <si>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</si>
  <si>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</si>
  <si>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</si>
  <si>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</si>
  <si>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</si>
  <si>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</si>
  <si>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</si>
  <si>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</si>
  <si>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</si>
  <si>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</si>
  <si>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</si>
  <si>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</si>
  <si>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</si>
  <si>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</si>
  <si>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</si>
  <si>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</si>
  <si>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</si>
  <si>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</si>
  <si>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</si>
  <si>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</si>
  <si>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</si>
  <si>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</si>
  <si>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</si>
  <si>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</si>
  <si>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</si>
  <si>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</si>
  <si>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</si>
  <si>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</si>
  <si>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</si>
  <si>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</si>
  <si>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</si>
  <si>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</si>
  <si>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</si>
  <si>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</si>
  <si>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</si>
  <si>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</si>
  <si>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</si>
  <si>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</si>
  <si>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</si>
  <si>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</si>
  <si>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</si>
  <si>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</si>
  <si>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</si>
  <si>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</si>
  <si>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</si>
  <si>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</si>
  <si>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</si>
  <si>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</si>
  <si>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</si>
  <si>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</si>
  <si>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</si>
  <si>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</si>
  <si>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</si>
  <si>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</si>
  <si>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</si>
  <si>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</si>
  <si>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</si>
  <si>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</si>
  <si>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</si>
  <si>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</si>
  <si>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</si>
  <si>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</si>
  <si>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</si>
  <si>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</si>
  <si>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</si>
  <si>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</si>
  <si>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</si>
  <si>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</si>
  <si>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</si>
  <si>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</si>
  <si>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</si>
  <si>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</si>
  <si>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</si>
  <si>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</si>
  <si>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</si>
  <si>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</si>
  <si>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</si>
  <si>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</si>
  <si>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</si>
  <si>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</si>
  <si>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</si>
  <si>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</si>
  <si>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</si>
  <si>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</si>
  <si>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</si>
  <si>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</si>
  <si>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</si>
  <si>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</si>
  <si>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</si>
  <si>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</si>
  <si>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</si>
  <si>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</si>
  <si>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</si>
  <si>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</si>
  <si>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</si>
  <si>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</si>
  <si>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</si>
  <si>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</si>
  <si>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</si>
  <si>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</si>
  <si>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</si>
  <si>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</si>
  <si>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</si>
  <si>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</si>
  <si>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</si>
  <si>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</si>
  <si>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</si>
  <si>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</si>
  <si>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</si>
  <si>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</si>
  <si>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</si>
  <si>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</si>
  <si>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</si>
  <si>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</si>
  <si>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</si>
  <si>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</si>
  <si>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</si>
  <si>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</si>
  <si>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</si>
  <si>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</si>
  <si>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</si>
  <si>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</si>
  <si>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</si>
  <si>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</si>
  <si>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</si>
  <si>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</si>
  <si>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</si>
  <si>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</si>
  <si>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</si>
  <si>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</si>
  <si>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</si>
  <si>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</si>
  <si>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</si>
  <si>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</si>
  <si>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</si>
  <si>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</si>
  <si>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</si>
  <si>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</si>
  <si>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</si>
  <si>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</si>
  <si>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</si>
  <si>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</si>
  <si>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</si>
  <si>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</si>
  <si>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</si>
  <si>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</si>
  <si>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</si>
  <si>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</si>
  <si>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</si>
  <si>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</si>
  <si>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</si>
  <si>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</si>
  <si>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</si>
  <si>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</si>
  <si>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</si>
  <si>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</si>
  <si>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</si>
  <si>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</si>
  <si>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</si>
  <si>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</si>
  <si>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</si>
  <si>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</si>
  <si>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</si>
  <si>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</si>
  <si>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</si>
  <si>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</si>
  <si>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</si>
  <si>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</si>
  <si>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</si>
  <si>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</si>
  <si>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</si>
  <si>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</si>
  <si>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</si>
  <si>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</si>
  <si>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</si>
  <si>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</si>
  <si>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</si>
  <si>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</si>
  <si>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</si>
  <si>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</si>
  <si>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</si>
  <si>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</si>
  <si>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</si>
  <si>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</si>
  <si>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</si>
  <si>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</si>
  <si>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</si>
  <si>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</si>
  <si>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</si>
  <si>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</si>
  <si>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</si>
  <si>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</si>
  <si>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</si>
  <si>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</si>
  <si>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</si>
  <si>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</si>
  <si>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</si>
  <si>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</si>
  <si>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</si>
  <si>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</si>
  <si>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</si>
  <si>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</si>
  <si>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</si>
  <si>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</si>
  <si>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</si>
  <si>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</si>
  <si>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</si>
  <si>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</si>
  <si>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</si>
  <si>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</si>
  <si>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</si>
  <si>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</si>
  <si>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</si>
  <si>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</si>
  <si>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</si>
  <si>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</si>
  <si>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</si>
  <si>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</si>
  <si>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</si>
  <si>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</si>
  <si>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</si>
  <si>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</si>
  <si>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</si>
  <si>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</si>
  <si>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</si>
  <si>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</si>
  <si>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</si>
  <si>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</si>
  <si>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</si>
  <si>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</si>
  <si>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</si>
  <si>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</si>
  <si>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</si>
  <si>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</si>
  <si>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</si>
  <si>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</si>
  <si>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</si>
  <si>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</si>
  <si>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</si>
  <si>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</si>
  <si>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</si>
  <si>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</si>
  <si>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</si>
  <si>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</si>
  <si>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</si>
  <si>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</si>
  <si>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</si>
  <si>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</si>
  <si>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</si>
  <si>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</si>
  <si>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</si>
  <si>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</si>
  <si>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</si>
  <si>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</si>
  <si>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</si>
  <si>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</si>
  <si>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</si>
  <si>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</si>
  <si>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</si>
  <si>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</si>
  <si>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</si>
  <si>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</si>
  <si>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</si>
  <si>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</si>
  <si>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</si>
  <si>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</si>
  <si>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</si>
  <si>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</si>
  <si>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</si>
  <si>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</si>
  <si>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</si>
  <si>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</si>
  <si>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</si>
  <si>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</si>
  <si>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</si>
  <si>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</si>
  <si>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</si>
  <si>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</si>
  <si>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</si>
  <si>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</si>
  <si>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</si>
  <si>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</si>
  <si>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</si>
  <si>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</si>
  <si>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</si>
  <si>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</si>
  <si>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</si>
  <si>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</si>
  <si>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</si>
  <si>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</si>
  <si>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</si>
  <si>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</si>
  <si>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</si>
  <si>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</si>
  <si>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</si>
  <si>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</si>
  <si>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</si>
  <si>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</si>
  <si>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</si>
  <si>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</si>
  <si>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</si>
  <si>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</si>
  <si>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</si>
  <si>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</si>
  <si>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</si>
  <si>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</si>
  <si>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</si>
  <si>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</si>
  <si>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</si>
  <si>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</si>
  <si>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</si>
  <si>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</si>
  <si>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</si>
  <si>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</si>
  <si>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</si>
  <si>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</si>
  <si>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</si>
  <si>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</si>
  <si>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</si>
  <si>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</si>
  <si>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</si>
  <si>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</si>
  <si>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</si>
  <si>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</si>
  <si>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</si>
  <si>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</si>
  <si>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</si>
  <si>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</si>
  <si>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</si>
  <si>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</si>
  <si>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</si>
  <si>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</si>
  <si>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</si>
  <si>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</si>
  <si>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</si>
  <si>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</si>
  <si>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</si>
  <si>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</si>
  <si>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</si>
  <si>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</si>
  <si>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</si>
  <si>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</si>
  <si>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</si>
  <si>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</si>
  <si>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</si>
  <si>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</si>
  <si>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</si>
  <si>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</si>
  <si>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</si>
  <si>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</si>
  <si>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</si>
  <si>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</si>
  <si>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</si>
  <si>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</si>
  <si>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</si>
  <si>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</si>
  <si>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</si>
  <si>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</si>
  <si>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</si>
  <si>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</si>
  <si>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</si>
  <si>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</si>
  <si>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</si>
  <si>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</si>
  <si>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</si>
  <si>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</si>
  <si>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</si>
  <si>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</si>
  <si>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</si>
  <si>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</si>
  <si>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</si>
  <si>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</si>
  <si>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</si>
  <si>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</si>
  <si>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</si>
  <si>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</si>
  <si>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</si>
  <si>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</si>
  <si>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</si>
  <si>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</si>
  <si>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</si>
  <si>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</si>
  <si>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</si>
  <si>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</si>
  <si>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</si>
  <si>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</si>
  <si>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</si>
  <si>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</si>
  <si>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</si>
  <si>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</si>
  <si>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</si>
  <si>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</si>
  <si>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</si>
  <si>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</si>
  <si>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</si>
  <si>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</si>
  <si>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</si>
  <si>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</si>
  <si>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</si>
  <si>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</si>
  <si>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</si>
  <si>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</si>
  <si>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</si>
  <si>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</si>
  <si>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</si>
  <si>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</si>
  <si>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</si>
  <si>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</si>
  <si>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</si>
  <si>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</si>
  <si>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</si>
  <si>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</si>
  <si>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</si>
  <si>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</si>
  <si>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</si>
  <si>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</si>
  <si>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</si>
  <si>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</si>
  <si>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</si>
  <si>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</si>
  <si>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</si>
  <si>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</si>
  <si>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</si>
  <si>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</si>
  <si>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</si>
  <si>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</si>
  <si>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</si>
  <si>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</si>
  <si>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</si>
  <si>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</si>
  <si>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</si>
  <si>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</si>
  <si>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</si>
  <si>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</si>
  <si>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</si>
  <si>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</si>
  <si>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</si>
  <si>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</si>
  <si>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</si>
  <si>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</si>
  <si>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</si>
  <si>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</si>
  <si>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</si>
  <si>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</si>
  <si>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</si>
  <si>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</si>
  <si>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</si>
  <si>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</si>
  <si>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</si>
  <si>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</si>
  <si>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</si>
  <si>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</si>
  <si>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</si>
  <si>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</si>
  <si>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</si>
  <si>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</si>
  <si>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</si>
  <si>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</si>
  <si>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</si>
  <si>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</si>
  <si>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</si>
  <si>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</si>
  <si>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</si>
  <si>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</si>
  <si>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</si>
  <si>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</si>
  <si>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</si>
  <si>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</si>
  <si>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</si>
  <si>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</si>
  <si>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</si>
  <si>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</si>
  <si>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</si>
  <si>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</si>
  <si>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</si>
  <si>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</si>
  <si>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</si>
  <si>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</si>
  <si>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</si>
  <si>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</si>
  <si>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</si>
  <si>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</si>
  <si>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</si>
  <si>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</si>
  <si>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</si>
  <si>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</si>
  <si>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</si>
  <si>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</si>
  <si>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</si>
  <si>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</si>
  <si>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</si>
  <si>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</si>
  <si>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</si>
  <si>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</si>
  <si>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</si>
  <si>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</si>
  <si>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</si>
  <si>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</si>
  <si>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</si>
  <si>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</si>
  <si>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</si>
  <si>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</si>
  <si>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</si>
  <si>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</si>
  <si>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</si>
  <si>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</si>
  <si>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</si>
  <si>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</si>
  <si>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</si>
  <si>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</si>
  <si>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</si>
  <si>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</si>
  <si>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</si>
  <si>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</si>
  <si>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</si>
  <si>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</si>
  <si>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</si>
  <si>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</si>
  <si>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</si>
  <si>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</si>
  <si>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</si>
  <si>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</si>
  <si>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</si>
  <si>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</si>
  <si>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</si>
  <si>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</si>
  <si>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</si>
  <si>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</si>
  <si>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</si>
  <si>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</si>
  <si>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</si>
  <si>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</si>
  <si>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</si>
  <si>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</si>
  <si>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</si>
  <si>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</si>
  <si>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</si>
  <si>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</si>
  <si>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</si>
  <si>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</si>
  <si>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</si>
  <si>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</si>
  <si>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</si>
  <si>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</si>
  <si>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</si>
  <si>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</si>
  <si>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</si>
  <si>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</si>
  <si>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</si>
  <si>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</si>
  <si>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</si>
  <si>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</si>
  <si>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</si>
  <si>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</si>
  <si>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</si>
  <si>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</si>
  <si>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</si>
  <si>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</si>
  <si>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</si>
  <si>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</si>
  <si>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</si>
  <si>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</si>
  <si>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</si>
  <si>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</si>
  <si>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</si>
  <si>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</si>
  <si>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</si>
  <si>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</si>
  <si>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</si>
  <si>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</si>
  <si>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</si>
  <si>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</si>
  <si>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</si>
  <si>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</si>
  <si>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</si>
  <si>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</si>
  <si>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</si>
  <si>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</si>
  <si>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</si>
  <si>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</si>
  <si>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</si>
  <si>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</si>
  <si>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</si>
  <si>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</si>
  <si>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</si>
  <si>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</si>
  <si>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</si>
  <si>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</si>
  <si>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</si>
  <si>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</si>
  <si>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</si>
  <si>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</si>
  <si>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</si>
  <si>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</si>
  <si>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11007</t>
  </si>
  <si>
    <t>BORSBEEK</t>
  </si>
  <si>
    <t>Paarden&amp;pony's 200 - 600 kg</t>
  </si>
  <si>
    <t>Paarden&amp;pony's &lt; 200 kg</t>
  </si>
  <si>
    <t>Fluvius</t>
  </si>
  <si>
    <t xml:space="preserve">Bron: </t>
  </si>
  <si>
    <t>referentietaak LNE (2017); Jaarverslag De Lijn</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</si>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</sst>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11007</v>
      </c>
      <c r="B6" s="394"/>
      <c r="C6" s="395"/>
    </row>
    <row r="7" spans="1:7" s="392" customFormat="1" ht="15.75" customHeight="1">
      <c r="A7" s="396" t="str">
        <f>txtMunicipality</f>
        <v>BORSBEEK</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10301.390958586453</v>
      </c>
      <c r="D10" s="684">
        <f ca="1">tertiair!C16</f>
        <v>0</v>
      </c>
      <c r="E10" s="684">
        <f ca="1">tertiair!D16</f>
        <v>10392.910774153075</v>
      </c>
      <c r="F10" s="684">
        <f>tertiair!E16</f>
        <v>160.98685993019177</v>
      </c>
      <c r="G10" s="684">
        <f ca="1">tertiair!F16</f>
        <v>1701.428941411943</v>
      </c>
      <c r="H10" s="684">
        <f>tertiair!G16</f>
        <v>0</v>
      </c>
      <c r="I10" s="684">
        <f>tertiair!H16</f>
        <v>0</v>
      </c>
      <c r="J10" s="684">
        <f>tertiair!I16</f>
        <v>0</v>
      </c>
      <c r="K10" s="684">
        <f>tertiair!J16</f>
        <v>0</v>
      </c>
      <c r="L10" s="684">
        <f>tertiair!K16</f>
        <v>0</v>
      </c>
      <c r="M10" s="684">
        <f ca="1">tertiair!L16</f>
        <v>0</v>
      </c>
      <c r="N10" s="684">
        <f>tertiair!M16</f>
        <v>0</v>
      </c>
      <c r="O10" s="684">
        <f ca="1">tertiair!N16</f>
        <v>103.59743112943514</v>
      </c>
      <c r="P10" s="684">
        <f>tertiair!O16</f>
        <v>0</v>
      </c>
      <c r="Q10" s="685">
        <f>tertiair!P16</f>
        <v>0</v>
      </c>
      <c r="R10" s="687">
        <f ca="1">SUM(C10:Q10)</f>
        <v>22660.314965211095</v>
      </c>
      <c r="S10" s="67"/>
    </row>
    <row r="11" spans="1:19" s="453" customFormat="1">
      <c r="A11" s="799" t="s">
        <v>224</v>
      </c>
      <c r="B11" s="804"/>
      <c r="C11" s="684">
        <f>huishoudens!B8</f>
        <v>16814.144535500291</v>
      </c>
      <c r="D11" s="684">
        <f>huishoudens!C8</f>
        <v>0</v>
      </c>
      <c r="E11" s="684">
        <f>huishoudens!D8</f>
        <v>51269.863067474951</v>
      </c>
      <c r="F11" s="684">
        <f>huishoudens!E8</f>
        <v>678.36003316624283</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1688.639868179167</v>
      </c>
      <c r="P11" s="684">
        <f>huishoudens!O8</f>
        <v>17.196666666666669</v>
      </c>
      <c r="Q11" s="685">
        <f>huishoudens!P8</f>
        <v>0</v>
      </c>
      <c r="R11" s="687">
        <f>SUM(C11:Q11)</f>
        <v>70468.204170987316</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1677.0141786783861</v>
      </c>
      <c r="D13" s="684">
        <f>industrie!C18</f>
        <v>0</v>
      </c>
      <c r="E13" s="684">
        <f>industrie!D18</f>
        <v>1259.3298137089178</v>
      </c>
      <c r="F13" s="684">
        <f>industrie!E18</f>
        <v>17.070991518240316</v>
      </c>
      <c r="G13" s="684">
        <f>industrie!F18</f>
        <v>461.14307688221191</v>
      </c>
      <c r="H13" s="684">
        <f>industrie!G18</f>
        <v>0</v>
      </c>
      <c r="I13" s="684">
        <f>industrie!H18</f>
        <v>0</v>
      </c>
      <c r="J13" s="684">
        <f>industrie!I18</f>
        <v>0</v>
      </c>
      <c r="K13" s="684">
        <f>industrie!J18</f>
        <v>8.5869172686520887</v>
      </c>
      <c r="L13" s="684">
        <f>industrie!K18</f>
        <v>0</v>
      </c>
      <c r="M13" s="684">
        <f>industrie!L18</f>
        <v>0</v>
      </c>
      <c r="N13" s="684">
        <f>industrie!M18</f>
        <v>0</v>
      </c>
      <c r="O13" s="684">
        <f>industrie!N18</f>
        <v>42.469276336461704</v>
      </c>
      <c r="P13" s="684">
        <f>industrie!O18</f>
        <v>0</v>
      </c>
      <c r="Q13" s="685">
        <f>industrie!P18</f>
        <v>0</v>
      </c>
      <c r="R13" s="687">
        <f>SUM(C13:Q13)</f>
        <v>3465.61425439287</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28792.54967276513</v>
      </c>
      <c r="D16" s="717">
        <f t="shared" ref="D16:R16" ca="1" si="0">SUM(D9:D15)</f>
        <v>0</v>
      </c>
      <c r="E16" s="717">
        <f t="shared" ca="1" si="0"/>
        <v>62922.103655336941</v>
      </c>
      <c r="F16" s="717">
        <f t="shared" si="0"/>
        <v>856.4178846146749</v>
      </c>
      <c r="G16" s="717">
        <f t="shared" ca="1" si="0"/>
        <v>2162.572018294155</v>
      </c>
      <c r="H16" s="717">
        <f t="shared" si="0"/>
        <v>0</v>
      </c>
      <c r="I16" s="717">
        <f t="shared" si="0"/>
        <v>0</v>
      </c>
      <c r="J16" s="717">
        <f t="shared" si="0"/>
        <v>0</v>
      </c>
      <c r="K16" s="717">
        <f t="shared" si="0"/>
        <v>8.5869172686520887</v>
      </c>
      <c r="L16" s="717">
        <f t="shared" si="0"/>
        <v>0</v>
      </c>
      <c r="M16" s="717">
        <f t="shared" ca="1" si="0"/>
        <v>0</v>
      </c>
      <c r="N16" s="717">
        <f t="shared" si="0"/>
        <v>0</v>
      </c>
      <c r="O16" s="717">
        <f t="shared" ca="1" si="0"/>
        <v>1834.7065756450638</v>
      </c>
      <c r="P16" s="717">
        <f t="shared" si="0"/>
        <v>17.196666666666669</v>
      </c>
      <c r="Q16" s="717">
        <f t="shared" si="0"/>
        <v>0</v>
      </c>
      <c r="R16" s="717">
        <f t="shared" ca="1" si="0"/>
        <v>96594.133390591291</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1158.825685857734</v>
      </c>
      <c r="I19" s="684">
        <f>transport!H54</f>
        <v>0</v>
      </c>
      <c r="J19" s="684">
        <f>transport!I54</f>
        <v>0</v>
      </c>
      <c r="K19" s="684">
        <f>transport!J54</f>
        <v>0</v>
      </c>
      <c r="L19" s="684">
        <f>transport!K54</f>
        <v>0</v>
      </c>
      <c r="M19" s="684">
        <f>transport!L54</f>
        <v>0</v>
      </c>
      <c r="N19" s="684">
        <f>transport!M54</f>
        <v>49.277529109476198</v>
      </c>
      <c r="O19" s="684">
        <f>transport!N54</f>
        <v>0</v>
      </c>
      <c r="P19" s="684">
        <f>transport!O54</f>
        <v>0</v>
      </c>
      <c r="Q19" s="685">
        <f>transport!P54</f>
        <v>0</v>
      </c>
      <c r="R19" s="687">
        <f>SUM(C19:Q19)</f>
        <v>1208.1032149672103</v>
      </c>
      <c r="S19" s="67"/>
    </row>
    <row r="20" spans="1:19" s="453" customFormat="1">
      <c r="A20" s="799" t="s">
        <v>306</v>
      </c>
      <c r="B20" s="804"/>
      <c r="C20" s="684">
        <f>transport!B14</f>
        <v>0.25265555362936248</v>
      </c>
      <c r="D20" s="684">
        <f>transport!C14</f>
        <v>0</v>
      </c>
      <c r="E20" s="684">
        <f>transport!D14</f>
        <v>1.3018302190487152</v>
      </c>
      <c r="F20" s="684">
        <f>transport!E14</f>
        <v>133.06231997938681</v>
      </c>
      <c r="G20" s="684">
        <f>transport!F14</f>
        <v>0</v>
      </c>
      <c r="H20" s="684">
        <f>transport!G14</f>
        <v>27188.258068984262</v>
      </c>
      <c r="I20" s="684">
        <f>transport!H14</f>
        <v>4496.9218508346257</v>
      </c>
      <c r="J20" s="684">
        <f>transport!I14</f>
        <v>0</v>
      </c>
      <c r="K20" s="684">
        <f>transport!J14</f>
        <v>0</v>
      </c>
      <c r="L20" s="684">
        <f>transport!K14</f>
        <v>0</v>
      </c>
      <c r="M20" s="684">
        <f>transport!L14</f>
        <v>0</v>
      </c>
      <c r="N20" s="684">
        <f>transport!M14</f>
        <v>1378.2188820193214</v>
      </c>
      <c r="O20" s="684">
        <f>transport!N14</f>
        <v>0</v>
      </c>
      <c r="P20" s="684">
        <f>transport!O14</f>
        <v>0</v>
      </c>
      <c r="Q20" s="685">
        <f>transport!P14</f>
        <v>0</v>
      </c>
      <c r="R20" s="687">
        <f>SUM(C20:Q20)</f>
        <v>33198.015607590271</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0.25265555362936248</v>
      </c>
      <c r="D22" s="802">
        <f t="shared" ref="D22:R22" si="1">SUM(D18:D21)</f>
        <v>0</v>
      </c>
      <c r="E22" s="802">
        <f t="shared" si="1"/>
        <v>1.3018302190487152</v>
      </c>
      <c r="F22" s="802">
        <f t="shared" si="1"/>
        <v>133.06231997938681</v>
      </c>
      <c r="G22" s="802">
        <f t="shared" si="1"/>
        <v>0</v>
      </c>
      <c r="H22" s="802">
        <f t="shared" si="1"/>
        <v>28347.083754841995</v>
      </c>
      <c r="I22" s="802">
        <f t="shared" si="1"/>
        <v>4496.9218508346257</v>
      </c>
      <c r="J22" s="802">
        <f t="shared" si="1"/>
        <v>0</v>
      </c>
      <c r="K22" s="802">
        <f t="shared" si="1"/>
        <v>0</v>
      </c>
      <c r="L22" s="802">
        <f t="shared" si="1"/>
        <v>0</v>
      </c>
      <c r="M22" s="802">
        <f t="shared" si="1"/>
        <v>0</v>
      </c>
      <c r="N22" s="802">
        <f t="shared" si="1"/>
        <v>1427.4964111287977</v>
      </c>
      <c r="O22" s="802">
        <f t="shared" si="1"/>
        <v>0</v>
      </c>
      <c r="P22" s="802">
        <f t="shared" si="1"/>
        <v>0</v>
      </c>
      <c r="Q22" s="802">
        <f t="shared" si="1"/>
        <v>0</v>
      </c>
      <c r="R22" s="802">
        <f t="shared" si="1"/>
        <v>34406.118822557481</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277.1486427789402</v>
      </c>
      <c r="D24" s="684">
        <f>+landbouw!C8</f>
        <v>20031.428571428572</v>
      </c>
      <c r="E24" s="684">
        <f>+landbouw!D8</f>
        <v>557.31993872462044</v>
      </c>
      <c r="F24" s="684">
        <f>+landbouw!E8</f>
        <v>2.9023605874154281</v>
      </c>
      <c r="G24" s="684">
        <f>+landbouw!F8</f>
        <v>1186.4067793377915</v>
      </c>
      <c r="H24" s="684">
        <f>+landbouw!G8</f>
        <v>0</v>
      </c>
      <c r="I24" s="684">
        <f>+landbouw!H8</f>
        <v>0</v>
      </c>
      <c r="J24" s="684">
        <f>+landbouw!I8</f>
        <v>0</v>
      </c>
      <c r="K24" s="684">
        <f>+landbouw!J8</f>
        <v>24.751857925822929</v>
      </c>
      <c r="L24" s="684">
        <f>+landbouw!K8</f>
        <v>0</v>
      </c>
      <c r="M24" s="684">
        <f>+landbouw!L8</f>
        <v>0</v>
      </c>
      <c r="N24" s="684">
        <f>+landbouw!M8</f>
        <v>0</v>
      </c>
      <c r="O24" s="684">
        <f>+landbouw!N8</f>
        <v>0</v>
      </c>
      <c r="P24" s="684">
        <f>+landbouw!O8</f>
        <v>0</v>
      </c>
      <c r="Q24" s="685">
        <f>+landbouw!P8</f>
        <v>0</v>
      </c>
      <c r="R24" s="687">
        <f>SUM(C24:Q24)</f>
        <v>22079.958150783161</v>
      </c>
      <c r="S24" s="67"/>
    </row>
    <row r="25" spans="1:19" s="453" customFormat="1" ht="15" thickBot="1">
      <c r="A25" s="821" t="s">
        <v>912</v>
      </c>
      <c r="B25" s="978"/>
      <c r="C25" s="979">
        <f>IF(Onbekend_ele_kWh="---",0,Onbekend_ele_kWh)/1000+IF(REST_rest_ele_kWh="---",0,REST_rest_ele_kWh)/1000</f>
        <v>723.42595615103698</v>
      </c>
      <c r="D25" s="979"/>
      <c r="E25" s="979">
        <f>IF(onbekend_gas_kWh="---",0,onbekend_gas_kWh)/1000+IF(REST_rest_gas_kWh="---",0,REST_rest_gas_kWh)/1000</f>
        <v>1600.1759412445401</v>
      </c>
      <c r="F25" s="979"/>
      <c r="G25" s="979"/>
      <c r="H25" s="979"/>
      <c r="I25" s="979"/>
      <c r="J25" s="979"/>
      <c r="K25" s="979"/>
      <c r="L25" s="979"/>
      <c r="M25" s="979"/>
      <c r="N25" s="979"/>
      <c r="O25" s="979"/>
      <c r="P25" s="979"/>
      <c r="Q25" s="980"/>
      <c r="R25" s="687">
        <f>SUM(C25:Q25)</f>
        <v>2323.601897395577</v>
      </c>
      <c r="S25" s="67"/>
    </row>
    <row r="26" spans="1:19" s="453" customFormat="1" ht="15.75" thickBot="1">
      <c r="A26" s="690" t="s">
        <v>913</v>
      </c>
      <c r="B26" s="807"/>
      <c r="C26" s="802">
        <f>SUM(C24:C25)</f>
        <v>1000.5745989299771</v>
      </c>
      <c r="D26" s="802">
        <f t="shared" ref="D26:R26" si="2">SUM(D24:D25)</f>
        <v>20031.428571428572</v>
      </c>
      <c r="E26" s="802">
        <f t="shared" si="2"/>
        <v>2157.4958799691603</v>
      </c>
      <c r="F26" s="802">
        <f t="shared" si="2"/>
        <v>2.9023605874154281</v>
      </c>
      <c r="G26" s="802">
        <f t="shared" si="2"/>
        <v>1186.4067793377915</v>
      </c>
      <c r="H26" s="802">
        <f t="shared" si="2"/>
        <v>0</v>
      </c>
      <c r="I26" s="802">
        <f t="shared" si="2"/>
        <v>0</v>
      </c>
      <c r="J26" s="802">
        <f t="shared" si="2"/>
        <v>0</v>
      </c>
      <c r="K26" s="802">
        <f t="shared" si="2"/>
        <v>24.751857925822929</v>
      </c>
      <c r="L26" s="802">
        <f t="shared" si="2"/>
        <v>0</v>
      </c>
      <c r="M26" s="802">
        <f t="shared" si="2"/>
        <v>0</v>
      </c>
      <c r="N26" s="802">
        <f t="shared" si="2"/>
        <v>0</v>
      </c>
      <c r="O26" s="802">
        <f t="shared" si="2"/>
        <v>0</v>
      </c>
      <c r="P26" s="802">
        <f t="shared" si="2"/>
        <v>0</v>
      </c>
      <c r="Q26" s="802">
        <f t="shared" si="2"/>
        <v>0</v>
      </c>
      <c r="R26" s="802">
        <f t="shared" si="2"/>
        <v>24403.560048178737</v>
      </c>
      <c r="S26" s="67"/>
    </row>
    <row r="27" spans="1:19" s="453" customFormat="1" ht="17.25" thickTop="1" thickBot="1">
      <c r="A27" s="691" t="s">
        <v>115</v>
      </c>
      <c r="B27" s="794"/>
      <c r="C27" s="692">
        <f ca="1">C22+C16+C26</f>
        <v>29793.376927248733</v>
      </c>
      <c r="D27" s="692">
        <f t="shared" ref="D27:R27" ca="1" si="3">D22+D16+D26</f>
        <v>20031.428571428572</v>
      </c>
      <c r="E27" s="692">
        <f t="shared" ca="1" si="3"/>
        <v>65080.901365525147</v>
      </c>
      <c r="F27" s="692">
        <f t="shared" si="3"/>
        <v>992.38256518147705</v>
      </c>
      <c r="G27" s="692">
        <f t="shared" ca="1" si="3"/>
        <v>3348.9787976319467</v>
      </c>
      <c r="H27" s="692">
        <f t="shared" si="3"/>
        <v>28347.083754841995</v>
      </c>
      <c r="I27" s="692">
        <f t="shared" si="3"/>
        <v>4496.9218508346257</v>
      </c>
      <c r="J27" s="692">
        <f t="shared" si="3"/>
        <v>0</v>
      </c>
      <c r="K27" s="692">
        <f t="shared" si="3"/>
        <v>33.338775194475019</v>
      </c>
      <c r="L27" s="692">
        <f t="shared" si="3"/>
        <v>0</v>
      </c>
      <c r="M27" s="692">
        <f t="shared" ca="1" si="3"/>
        <v>0</v>
      </c>
      <c r="N27" s="692">
        <f t="shared" si="3"/>
        <v>1427.4964111287977</v>
      </c>
      <c r="O27" s="692">
        <f t="shared" ca="1" si="3"/>
        <v>1834.7065756450638</v>
      </c>
      <c r="P27" s="692">
        <f t="shared" si="3"/>
        <v>17.196666666666669</v>
      </c>
      <c r="Q27" s="692">
        <f t="shared" si="3"/>
        <v>0</v>
      </c>
      <c r="R27" s="692">
        <f t="shared" ca="1" si="3"/>
        <v>155403.81226132752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2331.6331029908192</v>
      </c>
      <c r="D40" s="684">
        <f ca="1">tertiair!C20</f>
        <v>0</v>
      </c>
      <c r="E40" s="684">
        <f ca="1">tertiair!D20</f>
        <v>2099.3679763789214</v>
      </c>
      <c r="F40" s="684">
        <f>tertiair!E20</f>
        <v>36.544017204153533</v>
      </c>
      <c r="G40" s="684">
        <f ca="1">tertiair!F20</f>
        <v>454.28152735698882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4921.8266239308823</v>
      </c>
    </row>
    <row r="41" spans="1:18">
      <c r="A41" s="812" t="s">
        <v>224</v>
      </c>
      <c r="B41" s="819"/>
      <c r="C41" s="684">
        <f ca="1">huishoudens!B12</f>
        <v>3805.740035986777</v>
      </c>
      <c r="D41" s="684">
        <f ca="1">huishoudens!C12</f>
        <v>0</v>
      </c>
      <c r="E41" s="684">
        <f>huishoudens!D12</f>
        <v>10356.51233962994</v>
      </c>
      <c r="F41" s="684">
        <f>huishoudens!E12</f>
        <v>153.98772752873714</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14316.240103145454</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379.57803843298041</v>
      </c>
      <c r="D43" s="684">
        <f ca="1">industrie!C22</f>
        <v>0</v>
      </c>
      <c r="E43" s="684">
        <f>industrie!D22</f>
        <v>254.3846223692014</v>
      </c>
      <c r="F43" s="684">
        <f>industrie!E22</f>
        <v>3.8751150746405516</v>
      </c>
      <c r="G43" s="684">
        <f>industrie!F22</f>
        <v>123.12520152755059</v>
      </c>
      <c r="H43" s="684">
        <f>industrie!G22</f>
        <v>0</v>
      </c>
      <c r="I43" s="684">
        <f>industrie!H22</f>
        <v>0</v>
      </c>
      <c r="J43" s="684">
        <f>industrie!I22</f>
        <v>0</v>
      </c>
      <c r="K43" s="684">
        <f>industrie!J22</f>
        <v>3.039768713102839</v>
      </c>
      <c r="L43" s="684">
        <f>industrie!K22</f>
        <v>0</v>
      </c>
      <c r="M43" s="684">
        <f>industrie!L22</f>
        <v>0</v>
      </c>
      <c r="N43" s="684">
        <f>industrie!M22</f>
        <v>0</v>
      </c>
      <c r="O43" s="684">
        <f>industrie!N22</f>
        <v>0</v>
      </c>
      <c r="P43" s="684">
        <f>industrie!O22</f>
        <v>0</v>
      </c>
      <c r="Q43" s="759">
        <f>industrie!P22</f>
        <v>0</v>
      </c>
      <c r="R43" s="839">
        <f t="shared" ca="1" si="4"/>
        <v>764.00274611747568</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6516.9511774105767</v>
      </c>
      <c r="D46" s="717">
        <f t="shared" ref="D46:Q46" ca="1" si="5">SUM(D39:D45)</f>
        <v>0</v>
      </c>
      <c r="E46" s="717">
        <f t="shared" ca="1" si="5"/>
        <v>12710.264938378063</v>
      </c>
      <c r="F46" s="717">
        <f t="shared" si="5"/>
        <v>194.40685980753122</v>
      </c>
      <c r="G46" s="717">
        <f t="shared" ca="1" si="5"/>
        <v>577.40672888453946</v>
      </c>
      <c r="H46" s="717">
        <f t="shared" si="5"/>
        <v>0</v>
      </c>
      <c r="I46" s="717">
        <f t="shared" si="5"/>
        <v>0</v>
      </c>
      <c r="J46" s="717">
        <f t="shared" si="5"/>
        <v>0</v>
      </c>
      <c r="K46" s="717">
        <f t="shared" si="5"/>
        <v>3.039768713102839</v>
      </c>
      <c r="L46" s="717">
        <f t="shared" si="5"/>
        <v>0</v>
      </c>
      <c r="M46" s="717">
        <f t="shared" ca="1" si="5"/>
        <v>0</v>
      </c>
      <c r="N46" s="717">
        <f t="shared" si="5"/>
        <v>0</v>
      </c>
      <c r="O46" s="717">
        <f t="shared" ca="1" si="5"/>
        <v>0</v>
      </c>
      <c r="P46" s="717">
        <f t="shared" si="5"/>
        <v>0</v>
      </c>
      <c r="Q46" s="717">
        <f t="shared" si="5"/>
        <v>0</v>
      </c>
      <c r="R46" s="717">
        <f ca="1">SUM(R39:R45)</f>
        <v>20002.069473193813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309.40645812401499</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309.40645812401499</v>
      </c>
    </row>
    <row r="50" spans="1:18">
      <c r="A50" s="815" t="s">
        <v>306</v>
      </c>
      <c r="B50" s="825"/>
      <c r="C50" s="985">
        <f ca="1">transport!B18</f>
        <v>5.7186457136224396E-2</v>
      </c>
      <c r="D50" s="985">
        <f>transport!C18</f>
        <v>0</v>
      </c>
      <c r="E50" s="985">
        <f>transport!D18</f>
        <v>0.2629697042478405</v>
      </c>
      <c r="F50" s="985">
        <f>transport!E18</f>
        <v>30.205146635320808</v>
      </c>
      <c r="G50" s="985">
        <f>transport!F18</f>
        <v>0</v>
      </c>
      <c r="H50" s="985">
        <f>transport!G18</f>
        <v>7259.2649044187983</v>
      </c>
      <c r="I50" s="985">
        <f>transport!H18</f>
        <v>1119.7335408578217</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8409.5237480733249</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5.7186457136224396E-2</v>
      </c>
      <c r="D52" s="717">
        <f t="shared" ref="D52:Q52" ca="1" si="6">SUM(D48:D51)</f>
        <v>0</v>
      </c>
      <c r="E52" s="717">
        <f t="shared" si="6"/>
        <v>0.2629697042478405</v>
      </c>
      <c r="F52" s="717">
        <f t="shared" si="6"/>
        <v>30.205146635320808</v>
      </c>
      <c r="G52" s="717">
        <f t="shared" si="6"/>
        <v>0</v>
      </c>
      <c r="H52" s="717">
        <f t="shared" si="6"/>
        <v>7568.6713625428129</v>
      </c>
      <c r="I52" s="717">
        <f t="shared" si="6"/>
        <v>1119.7335408578217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8718.9302061973394</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62.730261626826611</v>
      </c>
      <c r="D54" s="985">
        <f ca="1">+landbouw!C12</f>
        <v>4760.4100840336141</v>
      </c>
      <c r="E54" s="985">
        <f>+landbouw!D12</f>
        <v>112.57862762237333</v>
      </c>
      <c r="F54" s="985">
        <f>+landbouw!E12</f>
        <v>0.65883585334330219</v>
      </c>
      <c r="G54" s="985">
        <f>+landbouw!F12</f>
        <v>316.77061008319032</v>
      </c>
      <c r="H54" s="985">
        <f>+landbouw!G12</f>
        <v>0</v>
      </c>
      <c r="I54" s="985">
        <f>+landbouw!H12</f>
        <v>0</v>
      </c>
      <c r="J54" s="985">
        <f>+landbouw!I12</f>
        <v>0</v>
      </c>
      <c r="K54" s="985">
        <f>+landbouw!J12</f>
        <v>8.7621577057413162</v>
      </c>
      <c r="L54" s="985">
        <f>+landbouw!K12</f>
        <v>0</v>
      </c>
      <c r="M54" s="985">
        <f>+landbouw!L12</f>
        <v>0</v>
      </c>
      <c r="N54" s="985">
        <f>+landbouw!M12</f>
        <v>0</v>
      </c>
      <c r="O54" s="985">
        <f>+landbouw!N12</f>
        <v>0</v>
      </c>
      <c r="P54" s="985">
        <f>+landbouw!O12</f>
        <v>0</v>
      </c>
      <c r="Q54" s="986">
        <f>+landbouw!P12</f>
        <v>0</v>
      </c>
      <c r="R54" s="716">
        <f ca="1">SUM(C54:Q54)</f>
        <v>5261.9105769250891</v>
      </c>
    </row>
    <row r="55" spans="1:18" ht="15" thickBot="1">
      <c r="A55" s="815" t="s">
        <v>912</v>
      </c>
      <c r="B55" s="825"/>
      <c r="C55" s="985">
        <f ca="1">C25*'EF ele_warmte'!B12</f>
        <v>163.7413737334748</v>
      </c>
      <c r="D55" s="985"/>
      <c r="E55" s="985">
        <f>E25*EF_CO2_aardgas</f>
        <v>323.2355401313971</v>
      </c>
      <c r="F55" s="985"/>
      <c r="G55" s="985"/>
      <c r="H55" s="985"/>
      <c r="I55" s="985"/>
      <c r="J55" s="985"/>
      <c r="K55" s="985"/>
      <c r="L55" s="985"/>
      <c r="M55" s="985"/>
      <c r="N55" s="985"/>
      <c r="O55" s="985"/>
      <c r="P55" s="985"/>
      <c r="Q55" s="986"/>
      <c r="R55" s="716">
        <f ca="1">SUM(C55:Q55)</f>
        <v>486.9769138648719</v>
      </c>
    </row>
    <row r="56" spans="1:18" ht="15.75" thickBot="1">
      <c r="A56" s="813" t="s">
        <v>913</v>
      </c>
      <c r="B56" s="826"/>
      <c r="C56" s="717">
        <f ca="1">SUM(C54:C55)</f>
        <v>226.47163536030141</v>
      </c>
      <c r="D56" s="717">
        <f t="shared" ref="D56:Q56" ca="1" si="7">SUM(D54:D55)</f>
        <v>4760.4100840336141</v>
      </c>
      <c r="E56" s="717">
        <f t="shared" si="7"/>
        <v>435.81416775377045</v>
      </c>
      <c r="F56" s="717">
        <f t="shared" si="7"/>
        <v>0.65883585334330219</v>
      </c>
      <c r="G56" s="717">
        <f t="shared" si="7"/>
        <v>316.77061008319032</v>
      </c>
      <c r="H56" s="717">
        <f t="shared" si="7"/>
        <v>0</v>
      </c>
      <c r="I56" s="717">
        <f t="shared" si="7"/>
        <v>0</v>
      </c>
      <c r="J56" s="717">
        <f t="shared" si="7"/>
        <v>0</v>
      </c>
      <c r="K56" s="717">
        <f t="shared" si="7"/>
        <v>8.7621577057413162</v>
      </c>
      <c r="L56" s="717">
        <f t="shared" si="7"/>
        <v>0</v>
      </c>
      <c r="M56" s="717">
        <f t="shared" si="7"/>
        <v>0</v>
      </c>
      <c r="N56" s="717">
        <f t="shared" si="7"/>
        <v>0</v>
      </c>
      <c r="O56" s="717">
        <f t="shared" si="7"/>
        <v>0</v>
      </c>
      <c r="P56" s="717">
        <f t="shared" si="7"/>
        <v>0</v>
      </c>
      <c r="Q56" s="718">
        <f t="shared" si="7"/>
        <v>0</v>
      </c>
      <c r="R56" s="719">
        <f ca="1">SUM(R54:R55)</f>
        <v>5748.8874907899608</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6743.479999228015</v>
      </c>
      <c r="D61" s="725">
        <f t="shared" ref="D61:Q61" ca="1" si="8">D46+D52+D56</f>
        <v>4760.4100840336141</v>
      </c>
      <c r="E61" s="725">
        <f t="shared" ca="1" si="8"/>
        <v>13146.342075836081</v>
      </c>
      <c r="F61" s="725">
        <f t="shared" si="8"/>
        <v>225.27084229619533</v>
      </c>
      <c r="G61" s="725">
        <f t="shared" ca="1" si="8"/>
        <v>894.17733896772984</v>
      </c>
      <c r="H61" s="725">
        <f t="shared" si="8"/>
        <v>7568.6713625428129</v>
      </c>
      <c r="I61" s="725">
        <f t="shared" si="8"/>
        <v>1119.7335408578217</v>
      </c>
      <c r="J61" s="725">
        <f t="shared" si="8"/>
        <v>0</v>
      </c>
      <c r="K61" s="725">
        <f t="shared" si="8"/>
        <v>11.801926418844156</v>
      </c>
      <c r="L61" s="725">
        <f t="shared" si="8"/>
        <v>0</v>
      </c>
      <c r="M61" s="725">
        <f t="shared" ca="1" si="8"/>
        <v>0</v>
      </c>
      <c r="N61" s="725">
        <f t="shared" si="8"/>
        <v>0</v>
      </c>
      <c r="O61" s="725">
        <f t="shared" ca="1" si="8"/>
        <v>0</v>
      </c>
      <c r="P61" s="725">
        <f t="shared" si="8"/>
        <v>0</v>
      </c>
      <c r="Q61" s="725">
        <f t="shared" si="8"/>
        <v>0</v>
      </c>
      <c r="R61" s="725">
        <f ca="1">R46+R52+R56</f>
        <v>34469.887170181115</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0.22634157973077881</v>
      </c>
      <c r="D63" s="769">
        <f t="shared" ca="1" si="9"/>
        <v>0.23764705882352943</v>
      </c>
      <c r="E63" s="987">
        <f t="shared" ca="1" si="9"/>
        <v>0.20200000000000001</v>
      </c>
      <c r="F63" s="769">
        <f t="shared" si="9"/>
        <v>0.22700000000000004</v>
      </c>
      <c r="G63" s="769">
        <f t="shared" ca="1" si="9"/>
        <v>0.26700000000000002</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336.11475347279116</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14022</v>
      </c>
      <c r="D76" s="997">
        <f>'lokale energieproductie'!C8</f>
        <v>16496.470588235294</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3332.2870588235296</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336.11475347279116</v>
      </c>
      <c r="C78" s="740">
        <f>SUM(C72:C77)</f>
        <v>14022</v>
      </c>
      <c r="D78" s="741">
        <f t="shared" ref="D78:H78" si="10">SUM(D76:D77)</f>
        <v>16496.470588235294</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3332.2870588235296</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20031.428571428572</v>
      </c>
      <c r="D87" s="762">
        <f>'lokale energieproductie'!C17</f>
        <v>23566.386554621851</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4760.4100840336141</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20031.428571428572</v>
      </c>
      <c r="D90" s="740">
        <f t="shared" ref="D90:H90" si="12">SUM(D87:D89)</f>
        <v>23566.386554621851</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4760.4100840336141</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16814.144535500291</v>
      </c>
      <c r="C4" s="457">
        <f>huishoudens!C8</f>
        <v>0</v>
      </c>
      <c r="D4" s="457">
        <f>huishoudens!D8</f>
        <v>51269.863067474951</v>
      </c>
      <c r="E4" s="457">
        <f>huishoudens!E8</f>
        <v>678.36003316624283</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1688.639868179167</v>
      </c>
      <c r="O4" s="457">
        <f>huishoudens!O8</f>
        <v>17.196666666666669</v>
      </c>
      <c r="P4" s="458">
        <f>huishoudens!P8</f>
        <v>0</v>
      </c>
      <c r="Q4" s="459">
        <f>SUM(B4:P4)</f>
        <v>70468.204170987316</v>
      </c>
    </row>
    <row r="5" spans="1:17">
      <c r="A5" s="456" t="s">
        <v>155</v>
      </c>
      <c r="B5" s="457">
        <f ca="1">tertiair!B16</f>
        <v>9848.6969585864535</v>
      </c>
      <c r="C5" s="457">
        <f ca="1">tertiair!C16</f>
        <v>0</v>
      </c>
      <c r="D5" s="457">
        <f ca="1">tertiair!D16</f>
        <v>10392.910774153075</v>
      </c>
      <c r="E5" s="457">
        <f>tertiair!E16</f>
        <v>160.98685993019177</v>
      </c>
      <c r="F5" s="457">
        <f ca="1">tertiair!F16</f>
        <v>1701.428941411943</v>
      </c>
      <c r="G5" s="457">
        <f>tertiair!G16</f>
        <v>0</v>
      </c>
      <c r="H5" s="457">
        <f>tertiair!H16</f>
        <v>0</v>
      </c>
      <c r="I5" s="457">
        <f>tertiair!I16</f>
        <v>0</v>
      </c>
      <c r="J5" s="457">
        <f>tertiair!J16</f>
        <v>0</v>
      </c>
      <c r="K5" s="457">
        <f>tertiair!K16</f>
        <v>0</v>
      </c>
      <c r="L5" s="457">
        <f ca="1">tertiair!L16</f>
        <v>0</v>
      </c>
      <c r="M5" s="457">
        <f>tertiair!M16</f>
        <v>0</v>
      </c>
      <c r="N5" s="457">
        <f ca="1">tertiair!N16</f>
        <v>103.59743112943514</v>
      </c>
      <c r="O5" s="457">
        <f>tertiair!O16</f>
        <v>0</v>
      </c>
      <c r="P5" s="458">
        <f>tertiair!P16</f>
        <v>0</v>
      </c>
      <c r="Q5" s="456">
        <f t="shared" ref="Q5:Q14" ca="1" si="0">SUM(B5:P5)</f>
        <v>22207.620965211099</v>
      </c>
    </row>
    <row r="6" spans="1:17">
      <c r="A6" s="456" t="s">
        <v>193</v>
      </c>
      <c r="B6" s="457">
        <f>'openbare verlichting'!B8</f>
        <v>452.69400000000002</v>
      </c>
      <c r="C6" s="457"/>
      <c r="D6" s="457"/>
      <c r="E6" s="457"/>
      <c r="F6" s="457"/>
      <c r="G6" s="457"/>
      <c r="H6" s="457"/>
      <c r="I6" s="457"/>
      <c r="J6" s="457"/>
      <c r="K6" s="457"/>
      <c r="L6" s="457"/>
      <c r="M6" s="457"/>
      <c r="N6" s="457"/>
      <c r="O6" s="457"/>
      <c r="P6" s="458"/>
      <c r="Q6" s="456">
        <f t="shared" si="0"/>
        <v>452.69400000000002</v>
      </c>
    </row>
    <row r="7" spans="1:17">
      <c r="A7" s="456" t="s">
        <v>111</v>
      </c>
      <c r="B7" s="457">
        <f>landbouw!B8</f>
        <v>277.1486427789402</v>
      </c>
      <c r="C7" s="457">
        <f>landbouw!C8</f>
        <v>20031.428571428572</v>
      </c>
      <c r="D7" s="457">
        <f>landbouw!D8</f>
        <v>557.31993872462044</v>
      </c>
      <c r="E7" s="457">
        <f>landbouw!E8</f>
        <v>2.9023605874154281</v>
      </c>
      <c r="F7" s="457">
        <f>landbouw!F8</f>
        <v>1186.4067793377915</v>
      </c>
      <c r="G7" s="457">
        <f>landbouw!G8</f>
        <v>0</v>
      </c>
      <c r="H7" s="457">
        <f>landbouw!H8</f>
        <v>0</v>
      </c>
      <c r="I7" s="457">
        <f>landbouw!I8</f>
        <v>0</v>
      </c>
      <c r="J7" s="457">
        <f>landbouw!J8</f>
        <v>24.751857925822929</v>
      </c>
      <c r="K7" s="457">
        <f>landbouw!K8</f>
        <v>0</v>
      </c>
      <c r="L7" s="457">
        <f>landbouw!L8</f>
        <v>0</v>
      </c>
      <c r="M7" s="457">
        <f>landbouw!M8</f>
        <v>0</v>
      </c>
      <c r="N7" s="457">
        <f>landbouw!N8</f>
        <v>0</v>
      </c>
      <c r="O7" s="457">
        <f>landbouw!O8</f>
        <v>0</v>
      </c>
      <c r="P7" s="458">
        <f>landbouw!P8</f>
        <v>0</v>
      </c>
      <c r="Q7" s="456">
        <f t="shared" si="0"/>
        <v>22079.958150783161</v>
      </c>
    </row>
    <row r="8" spans="1:17">
      <c r="A8" s="456" t="s">
        <v>654</v>
      </c>
      <c r="B8" s="457">
        <f>industrie!B18</f>
        <v>1677.0141786783861</v>
      </c>
      <c r="C8" s="457">
        <f>industrie!C18</f>
        <v>0</v>
      </c>
      <c r="D8" s="457">
        <f>industrie!D18</f>
        <v>1259.3298137089178</v>
      </c>
      <c r="E8" s="457">
        <f>industrie!E18</f>
        <v>17.070991518240316</v>
      </c>
      <c r="F8" s="457">
        <f>industrie!F18</f>
        <v>461.14307688221191</v>
      </c>
      <c r="G8" s="457">
        <f>industrie!G18</f>
        <v>0</v>
      </c>
      <c r="H8" s="457">
        <f>industrie!H18</f>
        <v>0</v>
      </c>
      <c r="I8" s="457">
        <f>industrie!I18</f>
        <v>0</v>
      </c>
      <c r="J8" s="457">
        <f>industrie!J18</f>
        <v>8.5869172686520887</v>
      </c>
      <c r="K8" s="457">
        <f>industrie!K18</f>
        <v>0</v>
      </c>
      <c r="L8" s="457">
        <f>industrie!L18</f>
        <v>0</v>
      </c>
      <c r="M8" s="457">
        <f>industrie!M18</f>
        <v>0</v>
      </c>
      <c r="N8" s="457">
        <f>industrie!N18</f>
        <v>42.469276336461704</v>
      </c>
      <c r="O8" s="457">
        <f>industrie!O18</f>
        <v>0</v>
      </c>
      <c r="P8" s="458">
        <f>industrie!P18</f>
        <v>0</v>
      </c>
      <c r="Q8" s="456">
        <f t="shared" si="0"/>
        <v>3465.61425439287</v>
      </c>
    </row>
    <row r="9" spans="1:17" s="462" customFormat="1">
      <c r="A9" s="460" t="s">
        <v>572</v>
      </c>
      <c r="B9" s="461">
        <f>transport!B14</f>
        <v>0.25265555362936248</v>
      </c>
      <c r="C9" s="461">
        <f>transport!C14</f>
        <v>0</v>
      </c>
      <c r="D9" s="461">
        <f>transport!D14</f>
        <v>1.3018302190487152</v>
      </c>
      <c r="E9" s="461">
        <f>transport!E14</f>
        <v>133.06231997938681</v>
      </c>
      <c r="F9" s="461">
        <f>transport!F14</f>
        <v>0</v>
      </c>
      <c r="G9" s="461">
        <f>transport!G14</f>
        <v>27188.258068984262</v>
      </c>
      <c r="H9" s="461">
        <f>transport!H14</f>
        <v>4496.9218508346257</v>
      </c>
      <c r="I9" s="461">
        <f>transport!I14</f>
        <v>0</v>
      </c>
      <c r="J9" s="461">
        <f>transport!J14</f>
        <v>0</v>
      </c>
      <c r="K9" s="461">
        <f>transport!K14</f>
        <v>0</v>
      </c>
      <c r="L9" s="461">
        <f>transport!L14</f>
        <v>0</v>
      </c>
      <c r="M9" s="461">
        <f>transport!M14</f>
        <v>1378.2188820193214</v>
      </c>
      <c r="N9" s="461">
        <f>transport!N14</f>
        <v>0</v>
      </c>
      <c r="O9" s="461">
        <f>transport!O14</f>
        <v>0</v>
      </c>
      <c r="P9" s="461">
        <f>transport!P14</f>
        <v>0</v>
      </c>
      <c r="Q9" s="460">
        <f>SUM(B9:P9)</f>
        <v>33198.015607590271</v>
      </c>
    </row>
    <row r="10" spans="1:17">
      <c r="A10" s="456" t="s">
        <v>562</v>
      </c>
      <c r="B10" s="457">
        <f>transport!B54</f>
        <v>0</v>
      </c>
      <c r="C10" s="457">
        <f>transport!C54</f>
        <v>0</v>
      </c>
      <c r="D10" s="457">
        <f>transport!D54</f>
        <v>0</v>
      </c>
      <c r="E10" s="457">
        <f>transport!E54</f>
        <v>0</v>
      </c>
      <c r="F10" s="457">
        <f>transport!F54</f>
        <v>0</v>
      </c>
      <c r="G10" s="457">
        <f>transport!G54</f>
        <v>1158.825685857734</v>
      </c>
      <c r="H10" s="457">
        <f>transport!H54</f>
        <v>0</v>
      </c>
      <c r="I10" s="457">
        <f>transport!I54</f>
        <v>0</v>
      </c>
      <c r="J10" s="457">
        <f>transport!J54</f>
        <v>0</v>
      </c>
      <c r="K10" s="457">
        <f>transport!K54</f>
        <v>0</v>
      </c>
      <c r="L10" s="457">
        <f>transport!L54</f>
        <v>0</v>
      </c>
      <c r="M10" s="457">
        <f>transport!M54</f>
        <v>49.277529109476198</v>
      </c>
      <c r="N10" s="457">
        <f>transport!N54</f>
        <v>0</v>
      </c>
      <c r="O10" s="457">
        <f>transport!O54</f>
        <v>0</v>
      </c>
      <c r="P10" s="458">
        <f>transport!P54</f>
        <v>0</v>
      </c>
      <c r="Q10" s="456">
        <f t="shared" si="0"/>
        <v>1208.1032149672103</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723.42595615103698</v>
      </c>
      <c r="C14" s="464"/>
      <c r="D14" s="464">
        <f>'SEAP template'!E25</f>
        <v>1600.1759412445401</v>
      </c>
      <c r="E14" s="464"/>
      <c r="F14" s="464"/>
      <c r="G14" s="464"/>
      <c r="H14" s="464"/>
      <c r="I14" s="464"/>
      <c r="J14" s="464"/>
      <c r="K14" s="464"/>
      <c r="L14" s="464"/>
      <c r="M14" s="464"/>
      <c r="N14" s="464"/>
      <c r="O14" s="464"/>
      <c r="P14" s="465"/>
      <c r="Q14" s="456">
        <f t="shared" si="0"/>
        <v>2323.601897395577</v>
      </c>
    </row>
    <row r="15" spans="1:17" s="469" customFormat="1">
      <c r="A15" s="466" t="s">
        <v>566</v>
      </c>
      <c r="B15" s="467">
        <f ca="1">SUM(B4:B14)</f>
        <v>29793.376927248733</v>
      </c>
      <c r="C15" s="467">
        <f t="shared" ref="C15:Q15" ca="1" si="1">SUM(C4:C14)</f>
        <v>20031.428571428572</v>
      </c>
      <c r="D15" s="467">
        <f t="shared" ca="1" si="1"/>
        <v>65080.901365525147</v>
      </c>
      <c r="E15" s="467">
        <f t="shared" si="1"/>
        <v>992.38256518147705</v>
      </c>
      <c r="F15" s="467">
        <f t="shared" ca="1" si="1"/>
        <v>3348.9787976319467</v>
      </c>
      <c r="G15" s="467">
        <f t="shared" si="1"/>
        <v>28347.083754841995</v>
      </c>
      <c r="H15" s="467">
        <f t="shared" si="1"/>
        <v>4496.9218508346257</v>
      </c>
      <c r="I15" s="467">
        <f t="shared" si="1"/>
        <v>0</v>
      </c>
      <c r="J15" s="467">
        <f t="shared" si="1"/>
        <v>33.338775194475019</v>
      </c>
      <c r="K15" s="467">
        <f t="shared" si="1"/>
        <v>0</v>
      </c>
      <c r="L15" s="467">
        <f t="shared" ca="1" si="1"/>
        <v>0</v>
      </c>
      <c r="M15" s="467">
        <f t="shared" si="1"/>
        <v>1427.4964111287977</v>
      </c>
      <c r="N15" s="467">
        <f t="shared" ca="1" si="1"/>
        <v>1834.7065756450638</v>
      </c>
      <c r="O15" s="467">
        <f t="shared" si="1"/>
        <v>17.196666666666669</v>
      </c>
      <c r="P15" s="467">
        <f t="shared" si="1"/>
        <v>0</v>
      </c>
      <c r="Q15" s="467">
        <f t="shared" ca="1" si="1"/>
        <v>155403.81226132749</v>
      </c>
    </row>
    <row r="17" spans="1:17">
      <c r="A17" s="470" t="s">
        <v>567</v>
      </c>
      <c r="B17" s="774">
        <f ca="1">huishoudens!B10</f>
        <v>0.22634157973077876</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3805.740035986777</v>
      </c>
      <c r="C22" s="457">
        <f t="shared" ref="C22:C32" ca="1" si="3">C4*$C$17</f>
        <v>0</v>
      </c>
      <c r="D22" s="457">
        <f t="shared" ref="D22:D32" si="4">D4*$D$17</f>
        <v>10356.51233962994</v>
      </c>
      <c r="E22" s="457">
        <f t="shared" ref="E22:E32" si="5">E4*$E$17</f>
        <v>153.98772752873714</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14316.240103145454</v>
      </c>
    </row>
    <row r="23" spans="1:17">
      <c r="A23" s="456" t="s">
        <v>155</v>
      </c>
      <c r="B23" s="457">
        <f t="shared" ca="1" si="2"/>
        <v>2229.169627896174</v>
      </c>
      <c r="C23" s="457">
        <f t="shared" ca="1" si="3"/>
        <v>0</v>
      </c>
      <c r="D23" s="457">
        <f t="shared" ca="1" si="4"/>
        <v>2099.3679763789214</v>
      </c>
      <c r="E23" s="457">
        <f t="shared" si="5"/>
        <v>36.544017204153533</v>
      </c>
      <c r="F23" s="457">
        <f t="shared" ca="1" si="6"/>
        <v>454.28152735698882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4819.363148836238</v>
      </c>
    </row>
    <row r="24" spans="1:17">
      <c r="A24" s="456" t="s">
        <v>193</v>
      </c>
      <c r="B24" s="457">
        <f t="shared" ca="1" si="2"/>
        <v>102.46347509464516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102.46347509464516</v>
      </c>
    </row>
    <row r="25" spans="1:17">
      <c r="A25" s="456" t="s">
        <v>111</v>
      </c>
      <c r="B25" s="457">
        <f t="shared" ca="1" si="2"/>
        <v>62.730261626826611</v>
      </c>
      <c r="C25" s="457">
        <f t="shared" ca="1" si="3"/>
        <v>4760.4100840336141</v>
      </c>
      <c r="D25" s="457">
        <f t="shared" si="4"/>
        <v>112.57862762237333</v>
      </c>
      <c r="E25" s="457">
        <f t="shared" si="5"/>
        <v>0.65883585334330219</v>
      </c>
      <c r="F25" s="457">
        <f t="shared" si="6"/>
        <v>316.77061008319032</v>
      </c>
      <c r="G25" s="457">
        <f t="shared" si="7"/>
        <v>0</v>
      </c>
      <c r="H25" s="457">
        <f t="shared" si="8"/>
        <v>0</v>
      </c>
      <c r="I25" s="457">
        <f t="shared" si="9"/>
        <v>0</v>
      </c>
      <c r="J25" s="457">
        <f t="shared" si="10"/>
        <v>8.7621577057413162</v>
      </c>
      <c r="K25" s="457">
        <f t="shared" si="11"/>
        <v>0</v>
      </c>
      <c r="L25" s="457">
        <f t="shared" si="12"/>
        <v>0</v>
      </c>
      <c r="M25" s="457">
        <f t="shared" si="13"/>
        <v>0</v>
      </c>
      <c r="N25" s="457">
        <f t="shared" si="14"/>
        <v>0</v>
      </c>
      <c r="O25" s="457">
        <f t="shared" si="15"/>
        <v>0</v>
      </c>
      <c r="P25" s="458">
        <f t="shared" si="16"/>
        <v>0</v>
      </c>
      <c r="Q25" s="456">
        <f t="shared" ca="1" si="17"/>
        <v>5261.9105769250891</v>
      </c>
    </row>
    <row r="26" spans="1:17">
      <c r="A26" s="456" t="s">
        <v>654</v>
      </c>
      <c r="B26" s="457">
        <f t="shared" ca="1" si="2"/>
        <v>379.57803843298041</v>
      </c>
      <c r="C26" s="457">
        <f t="shared" ca="1" si="3"/>
        <v>0</v>
      </c>
      <c r="D26" s="457">
        <f t="shared" si="4"/>
        <v>254.3846223692014</v>
      </c>
      <c r="E26" s="457">
        <f t="shared" si="5"/>
        <v>3.8751150746405516</v>
      </c>
      <c r="F26" s="457">
        <f t="shared" si="6"/>
        <v>123.12520152755059</v>
      </c>
      <c r="G26" s="457">
        <f t="shared" si="7"/>
        <v>0</v>
      </c>
      <c r="H26" s="457">
        <f t="shared" si="8"/>
        <v>0</v>
      </c>
      <c r="I26" s="457">
        <f t="shared" si="9"/>
        <v>0</v>
      </c>
      <c r="J26" s="457">
        <f t="shared" si="10"/>
        <v>3.039768713102839</v>
      </c>
      <c r="K26" s="457">
        <f t="shared" si="11"/>
        <v>0</v>
      </c>
      <c r="L26" s="457">
        <f t="shared" si="12"/>
        <v>0</v>
      </c>
      <c r="M26" s="457">
        <f t="shared" si="13"/>
        <v>0</v>
      </c>
      <c r="N26" s="457">
        <f t="shared" si="14"/>
        <v>0</v>
      </c>
      <c r="O26" s="457">
        <f t="shared" si="15"/>
        <v>0</v>
      </c>
      <c r="P26" s="458">
        <f t="shared" si="16"/>
        <v>0</v>
      </c>
      <c r="Q26" s="456">
        <f t="shared" ca="1" si="17"/>
        <v>764.00274611747568</v>
      </c>
    </row>
    <row r="27" spans="1:17" s="462" customFormat="1">
      <c r="A27" s="460" t="s">
        <v>572</v>
      </c>
      <c r="B27" s="768">
        <f t="shared" ca="1" si="2"/>
        <v>5.7186457136224396E-2</v>
      </c>
      <c r="C27" s="461">
        <f t="shared" ca="1" si="3"/>
        <v>0</v>
      </c>
      <c r="D27" s="461">
        <f t="shared" si="4"/>
        <v>0.2629697042478405</v>
      </c>
      <c r="E27" s="461">
        <f t="shared" si="5"/>
        <v>30.205146635320808</v>
      </c>
      <c r="F27" s="461">
        <f t="shared" si="6"/>
        <v>0</v>
      </c>
      <c r="G27" s="461">
        <f t="shared" si="7"/>
        <v>7259.2649044187983</v>
      </c>
      <c r="H27" s="461">
        <f t="shared" si="8"/>
        <v>1119.7335408578217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8409.5237480733249</v>
      </c>
    </row>
    <row r="28" spans="1:17">
      <c r="A28" s="456" t="s">
        <v>562</v>
      </c>
      <c r="B28" s="457">
        <f t="shared" ca="1" si="2"/>
        <v>0</v>
      </c>
      <c r="C28" s="457">
        <f t="shared" ca="1" si="3"/>
        <v>0</v>
      </c>
      <c r="D28" s="457">
        <f t="shared" si="4"/>
        <v>0</v>
      </c>
      <c r="E28" s="457">
        <f t="shared" si="5"/>
        <v>0</v>
      </c>
      <c r="F28" s="457">
        <f t="shared" si="6"/>
        <v>0</v>
      </c>
      <c r="G28" s="457">
        <f t="shared" si="7"/>
        <v>309.40645812401499</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309.40645812401499</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163.7413737334748</v>
      </c>
      <c r="C32" s="457">
        <f t="shared" ca="1" si="3"/>
        <v>0</v>
      </c>
      <c r="D32" s="457">
        <f t="shared" si="4"/>
        <v>323.2355401313971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486.9769138648719</v>
      </c>
    </row>
    <row r="33" spans="1:17" s="469" customFormat="1">
      <c r="A33" s="466" t="s">
        <v>566</v>
      </c>
      <c r="B33" s="467">
        <f ca="1">SUM(B22:B32)</f>
        <v>6743.4799992280132</v>
      </c>
      <c r="C33" s="467">
        <f t="shared" ref="C33:Q33" ca="1" si="19">SUM(C22:C32)</f>
        <v>4760.4100840336141</v>
      </c>
      <c r="D33" s="467">
        <f t="shared" ca="1" si="19"/>
        <v>13146.342075836081</v>
      </c>
      <c r="E33" s="467">
        <f t="shared" si="19"/>
        <v>225.27084229619533</v>
      </c>
      <c r="F33" s="467">
        <f t="shared" ca="1" si="19"/>
        <v>894.17733896772984</v>
      </c>
      <c r="G33" s="467">
        <f t="shared" si="19"/>
        <v>7568.6713625428129</v>
      </c>
      <c r="H33" s="467">
        <f t="shared" si="19"/>
        <v>1119.7335408578217</v>
      </c>
      <c r="I33" s="467">
        <f t="shared" si="19"/>
        <v>0</v>
      </c>
      <c r="J33" s="467">
        <f t="shared" si="19"/>
        <v>11.801926418844156</v>
      </c>
      <c r="K33" s="467">
        <f t="shared" si="19"/>
        <v>0</v>
      </c>
      <c r="L33" s="467">
        <f t="shared" ca="1" si="19"/>
        <v>0</v>
      </c>
      <c r="M33" s="467">
        <f t="shared" si="19"/>
        <v>0</v>
      </c>
      <c r="N33" s="467">
        <f t="shared" ca="1" si="19"/>
        <v>0</v>
      </c>
      <c r="O33" s="467">
        <f t="shared" si="19"/>
        <v>0</v>
      </c>
      <c r="P33" s="467">
        <f t="shared" si="19"/>
        <v>0</v>
      </c>
      <c r="Q33" s="467">
        <f t="shared" ca="1" si="19"/>
        <v>34469.887170181115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336.11475347279116</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14022</v>
      </c>
      <c r="D8" s="1018">
        <f>'SEAP template'!D76</f>
        <v>16496.470588235294</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3332.2870588235296</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336.11475347279116</v>
      </c>
      <c r="C10" s="1022">
        <f>SUM(C4:C9)</f>
        <v>14022</v>
      </c>
      <c r="D10" s="1022">
        <f t="shared" ref="D10:H10" si="0">SUM(D8:D9)</f>
        <v>16496.470588235294</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3332.2870588235296</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0.22634157973077876</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20031.428571428572</v>
      </c>
      <c r="D17" s="1019">
        <f>'SEAP template'!D87</f>
        <v>23566.386554621851</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4760.4100840336141</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20031.428571428572</v>
      </c>
      <c r="D20" s="1022">
        <f t="shared" ref="D20:H20" si="2">SUM(D17:D19)</f>
        <v>23566.386554621851</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4760.4100840336141</v>
      </c>
    </row>
    <row r="22" spans="1:16">
      <c r="A22" s="470" t="s">
        <v>933</v>
      </c>
      <c r="B22" s="774" t="s">
        <v>927</v>
      </c>
      <c r="C22" s="77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0.22634157973077876</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0.22634157973077876</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0.22634157973077876</v>
      </c>
      <c r="C29" s="507">
        <f ca="1">'EF ele_warmte'!B22</f>
        <v>0.23764705882352943</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4551</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74</v>
      </c>
      <c r="C14" s="331"/>
      <c r="D14" s="331"/>
      <c r="E14" s="331"/>
      <c r="F14" s="331"/>
    </row>
    <row r="15" spans="1:6">
      <c r="A15" s="1290" t="s">
        <v>183</v>
      </c>
      <c r="B15" s="1291">
        <v>0</v>
      </c>
      <c r="C15" s="331"/>
      <c r="D15" s="331"/>
      <c r="E15" s="331"/>
      <c r="F15" s="331"/>
    </row>
    <row r="16" spans="1:6">
      <c r="A16" s="1290" t="s">
        <v>6</v>
      </c>
      <c r="B16" s="1291">
        <v>0</v>
      </c>
      <c r="C16" s="331"/>
      <c r="D16" s="331"/>
      <c r="E16" s="331"/>
      <c r="F16" s="331"/>
    </row>
    <row r="17" spans="1:6">
      <c r="A17" s="1290" t="s">
        <v>7</v>
      </c>
      <c r="B17" s="1291">
        <v>0</v>
      </c>
      <c r="C17" s="331"/>
      <c r="D17" s="331"/>
      <c r="E17" s="331"/>
      <c r="F17" s="331"/>
    </row>
    <row r="18" spans="1:6">
      <c r="A18" s="1290" t="s">
        <v>8</v>
      </c>
      <c r="B18" s="1291">
        <v>0</v>
      </c>
      <c r="C18" s="331"/>
      <c r="D18" s="331"/>
      <c r="E18" s="331"/>
      <c r="F18" s="331"/>
    </row>
    <row r="19" spans="1:6">
      <c r="A19" s="1290" t="s">
        <v>9</v>
      </c>
      <c r="B19" s="1291">
        <v>2</v>
      </c>
      <c r="C19" s="331"/>
      <c r="D19" s="331"/>
      <c r="E19" s="331"/>
      <c r="F19" s="331"/>
    </row>
    <row r="20" spans="1:6">
      <c r="A20" s="1290" t="s">
        <v>10</v>
      </c>
      <c r="B20" s="1291">
        <v>3</v>
      </c>
      <c r="C20" s="331"/>
      <c r="D20" s="331"/>
      <c r="E20" s="331"/>
      <c r="F20" s="331"/>
    </row>
    <row r="21" spans="1:6">
      <c r="A21" s="1290" t="s">
        <v>11</v>
      </c>
      <c r="B21" s="1291">
        <v>0</v>
      </c>
      <c r="C21" s="331"/>
      <c r="D21" s="331"/>
      <c r="E21" s="331"/>
      <c r="F21" s="331"/>
    </row>
    <row r="22" spans="1:6">
      <c r="A22" s="1290" t="s">
        <v>12</v>
      </c>
      <c r="B22" s="1291">
        <v>0</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0</v>
      </c>
      <c r="C25" s="331"/>
      <c r="D25" s="331"/>
      <c r="E25" s="331"/>
      <c r="F25" s="331"/>
    </row>
    <row r="26" spans="1:6">
      <c r="A26" s="1290" t="s">
        <v>16</v>
      </c>
      <c r="B26" s="1291">
        <v>25</v>
      </c>
      <c r="C26" s="331"/>
      <c r="D26" s="331"/>
      <c r="E26" s="331"/>
      <c r="F26" s="331"/>
    </row>
    <row r="27" spans="1:6">
      <c r="A27" s="1290" t="s">
        <v>17</v>
      </c>
      <c r="B27" s="1291">
        <v>0</v>
      </c>
      <c r="C27" s="331"/>
      <c r="D27" s="331"/>
      <c r="E27" s="331"/>
      <c r="F27" s="331"/>
    </row>
    <row r="28" spans="1:6" s="43" customFormat="1">
      <c r="A28" s="1292" t="s">
        <v>18</v>
      </c>
      <c r="B28" s="1293">
        <v>0</v>
      </c>
      <c r="C28" s="337"/>
      <c r="D28" s="337"/>
      <c r="E28" s="337"/>
      <c r="F28" s="337"/>
    </row>
    <row r="29" spans="1:6">
      <c r="A29" s="1292" t="s">
        <v>966</v>
      </c>
      <c r="B29" s="1293">
        <v>30</v>
      </c>
      <c r="C29" s="337"/>
      <c r="D29" s="337"/>
      <c r="E29" s="337"/>
      <c r="F29" s="337"/>
    </row>
    <row r="30" spans="1:6">
      <c r="A30" s="1285" t="s">
        <v>967</v>
      </c>
      <c r="B30" s="1294">
        <v>2</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0</v>
      </c>
      <c r="F38" s="1291">
        <v>0</v>
      </c>
    </row>
    <row r="39" spans="1:6">
      <c r="A39" s="1290" t="s">
        <v>29</v>
      </c>
      <c r="B39" s="1290" t="s">
        <v>30</v>
      </c>
      <c r="C39" s="1291">
        <v>4003</v>
      </c>
      <c r="D39" s="1291">
        <v>56840202.957289301</v>
      </c>
      <c r="E39" s="1291">
        <v>4963</v>
      </c>
      <c r="F39" s="1291">
        <v>16478029.7820275</v>
      </c>
    </row>
    <row r="40" spans="1:6">
      <c r="A40" s="1290" t="s">
        <v>29</v>
      </c>
      <c r="B40" s="1290" t="s">
        <v>28</v>
      </c>
      <c r="C40" s="1291">
        <v>0</v>
      </c>
      <c r="D40" s="1291">
        <v>0</v>
      </c>
      <c r="E40" s="1291">
        <v>0</v>
      </c>
      <c r="F40" s="1291">
        <v>0</v>
      </c>
    </row>
    <row r="41" spans="1:6">
      <c r="A41" s="1290" t="s">
        <v>31</v>
      </c>
      <c r="B41" s="1290" t="s">
        <v>32</v>
      </c>
      <c r="C41" s="1291">
        <v>13</v>
      </c>
      <c r="D41" s="1291">
        <v>172136.48762483799</v>
      </c>
      <c r="E41" s="1291">
        <v>47</v>
      </c>
      <c r="F41" s="1291">
        <v>243883.83933280001</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23</v>
      </c>
      <c r="D48" s="1291">
        <v>858040.22099818697</v>
      </c>
      <c r="E48" s="1291">
        <v>20</v>
      </c>
      <c r="F48" s="1291">
        <v>1018225.50465102</v>
      </c>
    </row>
    <row r="49" spans="1:6">
      <c r="A49" s="1290" t="s">
        <v>31</v>
      </c>
      <c r="B49" s="1290" t="s">
        <v>39</v>
      </c>
      <c r="C49" s="1291">
        <v>0</v>
      </c>
      <c r="D49" s="1291">
        <v>0</v>
      </c>
      <c r="E49" s="1291">
        <v>0</v>
      </c>
      <c r="F49" s="1291">
        <v>0</v>
      </c>
    </row>
    <row r="50" spans="1:6">
      <c r="A50" s="1290" t="s">
        <v>31</v>
      </c>
      <c r="B50" s="1290" t="s">
        <v>40</v>
      </c>
      <c r="C50" s="1291">
        <v>4</v>
      </c>
      <c r="D50" s="1291">
        <v>365976.07819395699</v>
      </c>
      <c r="E50" s="1291">
        <v>6</v>
      </c>
      <c r="F50" s="1291">
        <v>414904.83469456597</v>
      </c>
    </row>
    <row r="51" spans="1:6">
      <c r="A51" s="1290" t="s">
        <v>41</v>
      </c>
      <c r="B51" s="1290" t="s">
        <v>42</v>
      </c>
      <c r="C51" s="1291">
        <v>3</v>
      </c>
      <c r="D51" s="1291">
        <v>45011445.321087897</v>
      </c>
      <c r="E51" s="1291">
        <v>13</v>
      </c>
      <c r="F51" s="1291">
        <v>223137.51765125201</v>
      </c>
    </row>
    <row r="52" spans="1:6">
      <c r="A52" s="1290" t="s">
        <v>41</v>
      </c>
      <c r="B52" s="1290" t="s">
        <v>28</v>
      </c>
      <c r="C52" s="1291">
        <v>2</v>
      </c>
      <c r="D52" s="1291">
        <v>22010.423459512</v>
      </c>
      <c r="E52" s="1291">
        <v>4</v>
      </c>
      <c r="F52" s="1291">
        <v>54011.125127688203</v>
      </c>
    </row>
    <row r="53" spans="1:6">
      <c r="A53" s="1290" t="s">
        <v>43</v>
      </c>
      <c r="B53" s="1290" t="s">
        <v>44</v>
      </c>
      <c r="C53" s="1291">
        <v>104</v>
      </c>
      <c r="D53" s="1291">
        <v>1600175.94124454</v>
      </c>
      <c r="E53" s="1291">
        <v>166</v>
      </c>
      <c r="F53" s="1291">
        <v>723425.95615103701</v>
      </c>
    </row>
    <row r="54" spans="1:6">
      <c r="A54" s="1290" t="s">
        <v>45</v>
      </c>
      <c r="B54" s="1290" t="s">
        <v>46</v>
      </c>
      <c r="C54" s="1291">
        <v>0</v>
      </c>
      <c r="D54" s="1291">
        <v>0</v>
      </c>
      <c r="E54" s="1291">
        <v>1</v>
      </c>
      <c r="F54" s="1291">
        <v>452694</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19</v>
      </c>
      <c r="D57" s="1291">
        <v>939111.00938562094</v>
      </c>
      <c r="E57" s="1291">
        <v>26</v>
      </c>
      <c r="F57" s="1291">
        <v>171050.089617233</v>
      </c>
    </row>
    <row r="58" spans="1:6">
      <c r="A58" s="1290" t="s">
        <v>48</v>
      </c>
      <c r="B58" s="1290" t="s">
        <v>50</v>
      </c>
      <c r="C58" s="1291">
        <v>11</v>
      </c>
      <c r="D58" s="1291">
        <v>388300.525466158</v>
      </c>
      <c r="E58" s="1291">
        <v>11</v>
      </c>
      <c r="F58" s="1291">
        <v>152447.12389222</v>
      </c>
    </row>
    <row r="59" spans="1:6">
      <c r="A59" s="1290" t="s">
        <v>48</v>
      </c>
      <c r="B59" s="1290" t="s">
        <v>51</v>
      </c>
      <c r="C59" s="1291">
        <v>35</v>
      </c>
      <c r="D59" s="1291">
        <v>1954579.44337857</v>
      </c>
      <c r="E59" s="1291">
        <v>57</v>
      </c>
      <c r="F59" s="1291">
        <v>5470004.4527188297</v>
      </c>
    </row>
    <row r="60" spans="1:6">
      <c r="A60" s="1290" t="s">
        <v>48</v>
      </c>
      <c r="B60" s="1290" t="s">
        <v>52</v>
      </c>
      <c r="C60" s="1291">
        <v>19</v>
      </c>
      <c r="D60" s="1291">
        <v>1412875.6262966599</v>
      </c>
      <c r="E60" s="1291">
        <v>22</v>
      </c>
      <c r="F60" s="1291">
        <v>796938.83561453701</v>
      </c>
    </row>
    <row r="61" spans="1:6">
      <c r="A61" s="1290" t="s">
        <v>48</v>
      </c>
      <c r="B61" s="1290" t="s">
        <v>53</v>
      </c>
      <c r="C61" s="1291">
        <v>60</v>
      </c>
      <c r="D61" s="1291">
        <v>2630098.7044583699</v>
      </c>
      <c r="E61" s="1291">
        <v>174</v>
      </c>
      <c r="F61" s="1291">
        <v>1420052.86441127</v>
      </c>
    </row>
    <row r="62" spans="1:6">
      <c r="A62" s="1290" t="s">
        <v>48</v>
      </c>
      <c r="B62" s="1290" t="s">
        <v>54</v>
      </c>
      <c r="C62" s="1291">
        <v>0</v>
      </c>
      <c r="D62" s="1291">
        <v>0</v>
      </c>
      <c r="E62" s="1291">
        <v>6</v>
      </c>
      <c r="F62" s="1291">
        <v>110753.461798344</v>
      </c>
    </row>
    <row r="63" spans="1:6">
      <c r="A63" s="1290" t="s">
        <v>48</v>
      </c>
      <c r="B63" s="1290" t="s">
        <v>28</v>
      </c>
      <c r="C63" s="1291">
        <v>68</v>
      </c>
      <c r="D63" s="1291">
        <v>4197108.7200091602</v>
      </c>
      <c r="E63" s="1291">
        <v>86</v>
      </c>
      <c r="F63" s="1291">
        <v>1727450.13053402</v>
      </c>
    </row>
    <row r="64" spans="1:6">
      <c r="A64" s="1290" t="s">
        <v>55</v>
      </c>
      <c r="B64" s="1290" t="s">
        <v>56</v>
      </c>
      <c r="C64" s="1291">
        <v>0</v>
      </c>
      <c r="D64" s="1291">
        <v>0</v>
      </c>
      <c r="E64" s="1291">
        <v>0</v>
      </c>
      <c r="F64" s="1291">
        <v>0</v>
      </c>
    </row>
    <row r="65" spans="1:6">
      <c r="A65" s="1290" t="s">
        <v>55</v>
      </c>
      <c r="B65" s="1290" t="s">
        <v>28</v>
      </c>
      <c r="C65" s="1291">
        <v>1</v>
      </c>
      <c r="D65" s="1291">
        <v>104023.051044572</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4</v>
      </c>
      <c r="F68" s="1294">
        <v>10016.245262816001</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31576090</v>
      </c>
      <c r="E73" s="455"/>
      <c r="F73" s="331"/>
    </row>
    <row r="74" spans="1:6">
      <c r="A74" s="1290" t="s">
        <v>63</v>
      </c>
      <c r="B74" s="1290" t="s">
        <v>773</v>
      </c>
      <c r="C74" s="1304" t="s">
        <v>774</v>
      </c>
      <c r="D74" s="1305">
        <v>3543834.3780616815</v>
      </c>
      <c r="E74" s="455"/>
      <c r="F74" s="331"/>
    </row>
    <row r="75" spans="1:6">
      <c r="A75" s="1290" t="s">
        <v>64</v>
      </c>
      <c r="B75" s="1290" t="s">
        <v>771</v>
      </c>
      <c r="C75" s="1304" t="s">
        <v>775</v>
      </c>
      <c r="D75" s="1305">
        <v>4500231</v>
      </c>
      <c r="E75" s="455"/>
      <c r="F75" s="331"/>
    </row>
    <row r="76" spans="1:6">
      <c r="A76" s="1290" t="s">
        <v>64</v>
      </c>
      <c r="B76" s="1290" t="s">
        <v>773</v>
      </c>
      <c r="C76" s="1304" t="s">
        <v>776</v>
      </c>
      <c r="D76" s="1305">
        <v>15417.7</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316231.24387663737</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336.11475347279116</v>
      </c>
      <c r="C91" s="331"/>
      <c r="D91" s="331"/>
      <c r="E91" s="331"/>
      <c r="F91" s="331"/>
    </row>
    <row r="92" spans="1:6">
      <c r="A92" s="1285" t="s">
        <v>68</v>
      </c>
      <c r="B92" s="1286">
        <v>0</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3365</v>
      </c>
      <c r="C97" s="331"/>
      <c r="D97" s="331"/>
      <c r="E97" s="331"/>
      <c r="F97" s="331"/>
    </row>
    <row r="98" spans="1:6">
      <c r="A98" s="1290" t="s">
        <v>71</v>
      </c>
      <c r="B98" s="1291">
        <v>3</v>
      </c>
      <c r="C98" s="331"/>
      <c r="D98" s="331"/>
      <c r="E98" s="331"/>
      <c r="F98" s="331"/>
    </row>
    <row r="99" spans="1:6">
      <c r="A99" s="1290" t="s">
        <v>72</v>
      </c>
      <c r="B99" s="1291">
        <v>5</v>
      </c>
      <c r="C99" s="331"/>
      <c r="D99" s="331"/>
      <c r="E99" s="331"/>
      <c r="F99" s="331"/>
    </row>
    <row r="100" spans="1:6">
      <c r="A100" s="1290" t="s">
        <v>73</v>
      </c>
      <c r="B100" s="1291">
        <v>256</v>
      </c>
      <c r="C100" s="331"/>
      <c r="D100" s="331"/>
      <c r="E100" s="331"/>
      <c r="F100" s="331"/>
    </row>
    <row r="101" spans="1:6">
      <c r="A101" s="1290" t="s">
        <v>74</v>
      </c>
      <c r="B101" s="1291">
        <v>14</v>
      </c>
      <c r="C101" s="331"/>
      <c r="D101" s="331"/>
      <c r="E101" s="331"/>
      <c r="F101" s="331"/>
    </row>
    <row r="102" spans="1:6">
      <c r="A102" s="1290" t="s">
        <v>75</v>
      </c>
      <c r="B102" s="1291">
        <v>57</v>
      </c>
      <c r="C102" s="331"/>
      <c r="D102" s="331"/>
      <c r="E102" s="331"/>
      <c r="F102" s="331"/>
    </row>
    <row r="103" spans="1:6">
      <c r="A103" s="1290" t="s">
        <v>76</v>
      </c>
      <c r="B103" s="1291">
        <v>40</v>
      </c>
      <c r="C103" s="331"/>
      <c r="D103" s="331"/>
      <c r="E103" s="331"/>
      <c r="F103" s="331"/>
    </row>
    <row r="104" spans="1:6">
      <c r="A104" s="1290" t="s">
        <v>77</v>
      </c>
      <c r="B104" s="1291">
        <v>517</v>
      </c>
      <c r="C104" s="331"/>
      <c r="D104" s="331"/>
      <c r="E104" s="331"/>
      <c r="F104" s="331"/>
    </row>
    <row r="105" spans="1:6">
      <c r="A105" s="1285" t="s">
        <v>78</v>
      </c>
      <c r="B105" s="1294">
        <v>1</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0</v>
      </c>
      <c r="C123" s="1291">
        <v>1</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10</v>
      </c>
      <c r="C129" s="331"/>
      <c r="D129" s="331"/>
      <c r="E129" s="331"/>
      <c r="F129" s="331"/>
    </row>
    <row r="130" spans="1:6">
      <c r="A130" s="1290" t="s">
        <v>294</v>
      </c>
      <c r="B130" s="1291">
        <v>0</v>
      </c>
      <c r="C130" s="331"/>
      <c r="D130" s="331"/>
      <c r="E130" s="331"/>
      <c r="F130" s="331"/>
    </row>
    <row r="131" spans="1:6">
      <c r="A131" s="1290" t="s">
        <v>295</v>
      </c>
      <c r="B131" s="1291">
        <v>0</v>
      </c>
      <c r="C131" s="331"/>
      <c r="D131" s="331"/>
      <c r="E131" s="331"/>
      <c r="F131" s="331"/>
    </row>
    <row r="132" spans="1:6">
      <c r="A132" s="1285" t="s">
        <v>296</v>
      </c>
      <c r="B132" s="1286">
        <v>0</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29793.376927248733</v>
      </c>
      <c r="C3" s="43" t="s">
        <v>169</v>
      </c>
      <c r="D3" s="43"/>
      <c r="E3" s="156"/>
      <c r="F3" s="43"/>
      <c r="G3" s="43"/>
      <c r="H3" s="43"/>
      <c r="I3" s="43"/>
      <c r="J3" s="43"/>
      <c r="K3" s="96"/>
    </row>
    <row r="4" spans="1:11">
      <c r="A4" s="362" t="s">
        <v>170</v>
      </c>
      <c r="B4" s="49">
        <f>IF(ISERROR('SEAP template'!B78+'SEAP template'!C78),0,'SEAP template'!B78+'SEAP template'!C78)</f>
        <v>14358.114753472792</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3332.2870588235296</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0.22634157973077876</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4760.4100840336141</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20031.428571428572</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0.23764705882352943</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452.69400000000002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452.69400000000002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0.22634157973077876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102.46347509464516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16478.029782027501</v>
      </c>
      <c r="C5" s="17">
        <f>IF(ISERROR('Eigen informatie GS &amp; warmtenet'!B57),0,'Eigen informatie GS &amp; warmtenet'!B57)</f>
        <v>0</v>
      </c>
      <c r="D5" s="30">
        <f>(SUM(HH_hh_gas_kWh,HH_rest_gas_kWh)/1000)*0.902</f>
        <v>51269.863067474951</v>
      </c>
      <c r="E5" s="17">
        <f>B46*B57</f>
        <v>678.36003316624283</v>
      </c>
      <c r="F5" s="17">
        <f>B51*B62</f>
        <v>0</v>
      </c>
      <c r="G5" s="18"/>
      <c r="H5" s="17"/>
      <c r="I5" s="17"/>
      <c r="J5" s="17">
        <f>B50*B61+C50*C61</f>
        <v>0</v>
      </c>
      <c r="K5" s="17"/>
      <c r="L5" s="17"/>
      <c r="M5" s="17"/>
      <c r="N5" s="17">
        <f>B48*B59+C48*C59</f>
        <v>1688.639868179167</v>
      </c>
      <c r="O5" s="17">
        <f>B69*B70*B71</f>
        <v>17.196666666666669</v>
      </c>
      <c r="P5" s="17">
        <f>B77*B78*B79/1000-B77*B78*B79/1000/B80</f>
        <v>0</v>
      </c>
    </row>
    <row r="6" spans="1:16">
      <c r="A6" s="16" t="s">
        <v>631</v>
      </c>
      <c r="B6" s="776">
        <f>kWh_PV_kleiner_dan_10kW</f>
        <v>336.11475347279116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16814.144535500291</v>
      </c>
      <c r="C8" s="21">
        <f>C5</f>
        <v>0</v>
      </c>
      <c r="D8" s="21">
        <f>D5</f>
        <v>51269.863067474951</v>
      </c>
      <c r="E8" s="21">
        <f>E5</f>
        <v>678.36003316624283</v>
      </c>
      <c r="F8" s="21">
        <f>F5</f>
        <v>0</v>
      </c>
      <c r="G8" s="21"/>
      <c r="H8" s="21"/>
      <c r="I8" s="21"/>
      <c r="J8" s="21">
        <f>J5</f>
        <v>0</v>
      </c>
      <c r="K8" s="21"/>
      <c r="L8" s="21">
        <f>L5</f>
        <v>0</v>
      </c>
      <c r="M8" s="21">
        <f>M5</f>
        <v>0</v>
      </c>
      <c r="N8" s="21">
        <f>N5</f>
        <v>1688.639868179167</v>
      </c>
      <c r="O8" s="21">
        <f>O5</f>
        <v>17.196666666666669</v>
      </c>
      <c r="P8" s="21">
        <f>P5</f>
        <v>0</v>
      </c>
    </row>
    <row r="9" spans="1:16">
      <c r="B9" s="19"/>
      <c r="C9" s="19"/>
      <c r="D9" s="260"/>
      <c r="E9" s="19"/>
      <c r="F9" s="19"/>
      <c r="G9" s="19"/>
      <c r="H9" s="19"/>
      <c r="I9" s="19"/>
      <c r="J9" s="19"/>
      <c r="K9" s="19"/>
      <c r="L9" s="19"/>
      <c r="M9" s="19"/>
      <c r="N9" s="19"/>
      <c r="O9" s="19"/>
      <c r="P9" s="19"/>
    </row>
    <row r="10" spans="1:16">
      <c r="A10" s="24" t="s">
        <v>213</v>
      </c>
      <c r="B10" s="25">
        <f ca="1">'EF ele_warmte'!B12</f>
        <v>0.22634157973077876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3805.740035986777</v>
      </c>
      <c r="C12" s="23">
        <f ca="1">C10*C8</f>
        <v>0</v>
      </c>
      <c r="D12" s="23">
        <f>D8*D10</f>
        <v>10356.51233962994</v>
      </c>
      <c r="E12" s="23">
        <f>E10*E8</f>
        <v>153.98772752873714</v>
      </c>
      <c r="F12" s="23">
        <f>F10*F8</f>
        <v>0</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3365</v>
      </c>
      <c r="C18" s="167" t="s">
        <v>110</v>
      </c>
      <c r="D18" s="229"/>
      <c r="E18" s="15"/>
    </row>
    <row r="19" spans="1:7">
      <c r="A19" s="172" t="s">
        <v>71</v>
      </c>
      <c r="B19" s="37">
        <f>aantalw2001_ander</f>
        <v>3</v>
      </c>
      <c r="C19" s="167" t="s">
        <v>110</v>
      </c>
      <c r="D19" s="230"/>
      <c r="E19" s="15"/>
    </row>
    <row r="20" spans="1:7">
      <c r="A20" s="172" t="s">
        <v>72</v>
      </c>
      <c r="B20" s="37">
        <f>aantalw2001_propaan</f>
        <v>5</v>
      </c>
      <c r="C20" s="168">
        <f>IF(ISERROR(B20/SUM($B$20,$B$21,$B$22)*100),0,B20/SUM($B$20,$B$21,$B$22)*100)</f>
        <v>1.8181818181818181</v>
      </c>
      <c r="D20" s="230"/>
      <c r="E20" s="15"/>
    </row>
    <row r="21" spans="1:7">
      <c r="A21" s="172" t="s">
        <v>73</v>
      </c>
      <c r="B21" s="37">
        <f>aantalw2001_elektriciteit</f>
        <v>256</v>
      </c>
      <c r="C21" s="168">
        <f>IF(ISERROR(B21/SUM($B$20,$B$21,$B$22)*100),0,B21/SUM($B$20,$B$21,$B$22)*100)</f>
        <v>93.090909090909093</v>
      </c>
      <c r="D21" s="230"/>
      <c r="E21" s="15"/>
    </row>
    <row r="22" spans="1:7">
      <c r="A22" s="172" t="s">
        <v>74</v>
      </c>
      <c r="B22" s="37">
        <f>aantalw2001_hout</f>
        <v>14</v>
      </c>
      <c r="C22" s="168">
        <f>IF(ISERROR(B22/SUM($B$20,$B$21,$B$22)*100),0,B22/SUM($B$20,$B$21,$B$22)*100)</f>
        <v>5.0909090909090908</v>
      </c>
      <c r="D22" s="230"/>
      <c r="E22" s="15"/>
    </row>
    <row r="23" spans="1:7">
      <c r="A23" s="172" t="s">
        <v>75</v>
      </c>
      <c r="B23" s="37">
        <f>aantalw2001_niet_gespec</f>
        <v>57</v>
      </c>
      <c r="C23" s="167" t="s">
        <v>110</v>
      </c>
      <c r="D23" s="229"/>
      <c r="E23" s="15"/>
    </row>
    <row r="24" spans="1:7">
      <c r="A24" s="172" t="s">
        <v>76</v>
      </c>
      <c r="B24" s="37">
        <f>aantalw2001_steenkool</f>
        <v>40</v>
      </c>
      <c r="C24" s="167" t="s">
        <v>110</v>
      </c>
      <c r="D24" s="230"/>
      <c r="E24" s="15"/>
    </row>
    <row r="25" spans="1:7">
      <c r="A25" s="172" t="s">
        <v>77</v>
      </c>
      <c r="B25" s="37">
        <f>aantalw2001_stookolie</f>
        <v>517</v>
      </c>
      <c r="C25" s="167" t="s">
        <v>110</v>
      </c>
      <c r="D25" s="229"/>
      <c r="E25" s="52"/>
    </row>
    <row r="26" spans="1:7">
      <c r="A26" s="172" t="s">
        <v>78</v>
      </c>
      <c r="B26" s="37">
        <f>aantalw2001_WP</f>
        <v>1</v>
      </c>
      <c r="C26" s="167" t="s">
        <v>110</v>
      </c>
      <c r="D26" s="229"/>
      <c r="E26" s="15"/>
    </row>
    <row r="27" spans="1:7" s="15" customFormat="1">
      <c r="A27" s="172"/>
      <c r="B27" s="29"/>
      <c r="C27" s="36"/>
      <c r="D27" s="229"/>
    </row>
    <row r="28" spans="1:7" s="15" customFormat="1">
      <c r="A28" s="231" t="s">
        <v>711</v>
      </c>
      <c r="B28" s="37">
        <f>aantalHuishoudens</f>
        <v>4551</v>
      </c>
      <c r="C28" s="36"/>
      <c r="D28" s="229"/>
    </row>
    <row r="29" spans="1:7" s="15" customFormat="1">
      <c r="A29" s="231" t="s">
        <v>712</v>
      </c>
      <c r="B29" s="37">
        <f>SUM(HH_hh_gas_aantal,HH_rest_gas_aantal)</f>
        <v>4003</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4003</v>
      </c>
      <c r="C32" s="168">
        <f>IF(ISERROR(B32/SUM($B$32,$B$34,$B$35,$B$36,$B$38,$B$39)*100),0,B32/SUM($B$32,$B$34,$B$35,$B$36,$B$38,$B$39)*100)</f>
        <v>87.95869039771479</v>
      </c>
      <c r="D32" s="234"/>
      <c r="G32" s="15"/>
    </row>
    <row r="33" spans="1:7">
      <c r="A33" s="172" t="s">
        <v>71</v>
      </c>
      <c r="B33" s="34" t="s">
        <v>110</v>
      </c>
      <c r="C33" s="168"/>
      <c r="D33" s="234"/>
      <c r="G33" s="15"/>
    </row>
    <row r="34" spans="1:7">
      <c r="A34" s="172" t="s">
        <v>72</v>
      </c>
      <c r="B34" s="33">
        <f>IF((($B$28-$B$32-$B$39-$B$77-$B$38)*C20/100)&lt;0,0,($B$28-$B$32-$B$39-$B$77-$B$38)*C20/100)</f>
        <v>9.963636363636363</v>
      </c>
      <c r="C34" s="168">
        <f>IF(ISERROR(B34/SUM($B$32,$B$34,$B$35,$B$36,$B$38,$B$39)*100),0,B34/SUM($B$32,$B$34,$B$35,$B$36,$B$38,$B$39)*100)</f>
        <v>0.2189329018597311</v>
      </c>
      <c r="D34" s="234"/>
      <c r="G34" s="15"/>
    </row>
    <row r="35" spans="1:7">
      <c r="A35" s="172" t="s">
        <v>73</v>
      </c>
      <c r="B35" s="33">
        <f>IF((($B$28-$B$32-$B$39-$B$77-$B$38)*C21/100)&lt;0,0,($B$28-$B$32-$B$39-$B$77-$B$38)*C21/100)</f>
        <v>510.13818181818186</v>
      </c>
      <c r="C35" s="168">
        <f>IF(ISERROR(B35/SUM($B$32,$B$34,$B$35,$B$36,$B$38,$B$39)*100),0,B35/SUM($B$32,$B$34,$B$35,$B$36,$B$38,$B$39)*100)</f>
        <v>11.209364575218235</v>
      </c>
      <c r="D35" s="234"/>
      <c r="G35" s="15"/>
    </row>
    <row r="36" spans="1:7">
      <c r="A36" s="172" t="s">
        <v>74</v>
      </c>
      <c r="B36" s="33">
        <f>IF((($B$28-$B$32-$B$39-$B$77-$B$38)*C22/100)&lt;0,0,($B$28-$B$32-$B$39-$B$77-$B$38)*C22/100)</f>
        <v>27.898181818181818</v>
      </c>
      <c r="C36" s="168">
        <f>IF(ISERROR(B36/SUM($B$32,$B$34,$B$35,$B$36,$B$38,$B$39)*100),0,B36/SUM($B$32,$B$34,$B$35,$B$36,$B$38,$B$39)*100)</f>
        <v>0.61301212520724724</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0</v>
      </c>
      <c r="C39" s="168">
        <f>IF(ISERROR(B39/SUM($B$32,$B$34,$B$35,$B$36,$B$38,$B$39)*100),0,B39/SUM($B$32,$B$34,$B$35,$B$36,$B$38,$B$39)*100)</f>
        <v>0</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4003</v>
      </c>
      <c r="C44" s="34" t="s">
        <v>110</v>
      </c>
      <c r="D44" s="175"/>
    </row>
    <row r="45" spans="1:7">
      <c r="A45" s="172" t="s">
        <v>71</v>
      </c>
      <c r="B45" s="33" t="str">
        <f t="shared" si="0"/>
        <v>-</v>
      </c>
      <c r="C45" s="34" t="s">
        <v>110</v>
      </c>
      <c r="D45" s="175"/>
    </row>
    <row r="46" spans="1:7">
      <c r="A46" s="172" t="s">
        <v>72</v>
      </c>
      <c r="B46" s="33">
        <f t="shared" si="0"/>
        <v>9.963636363636363</v>
      </c>
      <c r="C46" s="34" t="s">
        <v>110</v>
      </c>
      <c r="D46" s="175"/>
    </row>
    <row r="47" spans="1:7">
      <c r="A47" s="172" t="s">
        <v>73</v>
      </c>
      <c r="B47" s="33">
        <f t="shared" si="0"/>
        <v>510.13818181818186</v>
      </c>
      <c r="C47" s="34" t="s">
        <v>110</v>
      </c>
      <c r="D47" s="175"/>
    </row>
    <row r="48" spans="1:7">
      <c r="A48" s="172" t="s">
        <v>74</v>
      </c>
      <c r="B48" s="33">
        <f t="shared" si="0"/>
        <v>27.898181818181818</v>
      </c>
      <c r="C48" s="33">
        <f>B48*10</f>
        <v>278.9818181818182</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0</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11</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0</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9848.6969585864535</v>
      </c>
      <c r="C5" s="17">
        <f>IF(ISERROR('Eigen informatie GS &amp; warmtenet'!B58),0,'Eigen informatie GS &amp; warmtenet'!B58)</f>
        <v>0</v>
      </c>
      <c r="D5" s="30">
        <f>SUM(D6:D12)</f>
        <v>10392.910774153075</v>
      </c>
      <c r="E5" s="17">
        <f>SUM(E6:E12)</f>
        <v>160.98685993019177</v>
      </c>
      <c r="F5" s="17">
        <f>SUM(F6:F12)</f>
        <v>1701.428941411943</v>
      </c>
      <c r="G5" s="18"/>
      <c r="H5" s="17"/>
      <c r="I5" s="17"/>
      <c r="J5" s="17">
        <f>SUM(J6:J12)</f>
        <v>0</v>
      </c>
      <c r="K5" s="17"/>
      <c r="L5" s="17"/>
      <c r="M5" s="17"/>
      <c r="N5" s="17">
        <f>SUM(N6:N12)</f>
        <v>103.59743112943514</v>
      </c>
      <c r="O5" s="17">
        <f>B38*B39*B40</f>
        <v>0</v>
      </c>
      <c r="P5" s="17">
        <f>B46*B47*B48/1000-B46*B47*B48/1000/B49</f>
        <v>0</v>
      </c>
      <c r="R5" s="32"/>
    </row>
    <row r="6" spans="1:18">
      <c r="A6" s="32" t="s">
        <v>53</v>
      </c>
      <c r="B6" s="37">
        <f>B26</f>
        <v>1420.0528644112701</v>
      </c>
      <c r="C6" s="33"/>
      <c r="D6" s="37">
        <f>IF(ISERROR(TER_kantoor_gas_kWh/1000),0,TER_kantoor_gas_kWh/1000)*0.902</f>
        <v>2372.3490314214496</v>
      </c>
      <c r="E6" s="33">
        <f>$C$26*'E Balans VL '!I12/100/3.6*1000000</f>
        <v>49.7074363825717</v>
      </c>
      <c r="F6" s="33">
        <f>$C$26*('E Balans VL '!L12+'E Balans VL '!N12)/100/3.6*1000000</f>
        <v>215.31050248099012</v>
      </c>
      <c r="G6" s="34"/>
      <c r="H6" s="33"/>
      <c r="I6" s="33"/>
      <c r="J6" s="33">
        <f>$C$26*('E Balans VL '!D12+'E Balans VL '!E12)/100/3.6*1000000</f>
        <v>0</v>
      </c>
      <c r="K6" s="33"/>
      <c r="L6" s="33"/>
      <c r="M6" s="33"/>
      <c r="N6" s="33">
        <f>$C$26*'E Balans VL '!Y12/100/3.6*1000000</f>
        <v>10.976564177584764</v>
      </c>
      <c r="O6" s="33"/>
      <c r="P6" s="33"/>
      <c r="R6" s="32"/>
    </row>
    <row r="7" spans="1:18">
      <c r="A7" s="32" t="s">
        <v>52</v>
      </c>
      <c r="B7" s="37">
        <f t="shared" ref="B7:B12" si="0">B27</f>
        <v>796.93883561453697</v>
      </c>
      <c r="C7" s="33"/>
      <c r="D7" s="37">
        <f>IF(ISERROR(TER_horeca_gas_kWh/1000),0,TER_horeca_gas_kWh/1000)*0.902</f>
        <v>1274.4138149195874</v>
      </c>
      <c r="E7" s="33">
        <f>$C$27*'E Balans VL '!I9/100/3.6*1000000</f>
        <v>44.957947034438419</v>
      </c>
      <c r="F7" s="33">
        <f>$C$27*('E Balans VL '!L9+'E Balans VL '!N9)/100/3.6*1000000</f>
        <v>138.83115548019444</v>
      </c>
      <c r="G7" s="34"/>
      <c r="H7" s="33"/>
      <c r="I7" s="33"/>
      <c r="J7" s="33">
        <f>$C$27*('E Balans VL '!D9+'E Balans VL '!E9)/100/3.6*1000000</f>
        <v>0</v>
      </c>
      <c r="K7" s="33"/>
      <c r="L7" s="33"/>
      <c r="M7" s="33"/>
      <c r="N7" s="33">
        <f>$C$27*'E Balans VL '!Y9/100/3.6*1000000</f>
        <v>0</v>
      </c>
      <c r="O7" s="33"/>
      <c r="P7" s="33"/>
      <c r="R7" s="32"/>
    </row>
    <row r="8" spans="1:18">
      <c r="A8" s="6" t="s">
        <v>51</v>
      </c>
      <c r="B8" s="37">
        <f t="shared" si="0"/>
        <v>5470.0044527188302</v>
      </c>
      <c r="C8" s="33"/>
      <c r="D8" s="37">
        <f>IF(ISERROR(TER_handel_gas_kWh/1000),0,TER_handel_gas_kWh/1000)*0.902</f>
        <v>1763.0306579274702</v>
      </c>
      <c r="E8" s="33">
        <f>$C$28*'E Balans VL '!I13/100/3.6*1000000</f>
        <v>28.082447115866245</v>
      </c>
      <c r="F8" s="33">
        <f>$C$28*('E Balans VL '!L13+'E Balans VL '!N13)/100/3.6*1000000</f>
        <v>843.39016636406711</v>
      </c>
      <c r="G8" s="34"/>
      <c r="H8" s="33"/>
      <c r="I8" s="33"/>
      <c r="J8" s="33">
        <f>$C$28*('E Balans VL '!D13+'E Balans VL '!E13)/100/3.6*1000000</f>
        <v>0</v>
      </c>
      <c r="K8" s="33"/>
      <c r="L8" s="33"/>
      <c r="M8" s="33"/>
      <c r="N8" s="33">
        <f>$C$28*'E Balans VL '!Y13/100/3.6*1000000</f>
        <v>2.5583878529284871</v>
      </c>
      <c r="O8" s="33"/>
      <c r="P8" s="33"/>
      <c r="R8" s="32"/>
    </row>
    <row r="9" spans="1:18">
      <c r="A9" s="32" t="s">
        <v>50</v>
      </c>
      <c r="B9" s="37">
        <f t="shared" si="0"/>
        <v>152.44712389221999</v>
      </c>
      <c r="C9" s="33"/>
      <c r="D9" s="37">
        <f>IF(ISERROR(TER_gezond_gas_kWh/1000),0,TER_gezond_gas_kWh/1000)*0.902</f>
        <v>350.2470739704745</v>
      </c>
      <c r="E9" s="33">
        <f>$C$29*'E Balans VL '!I10/100/3.6*1000000</f>
        <v>6.3188247163819711E-2</v>
      </c>
      <c r="F9" s="33">
        <f>$C$29*('E Balans VL '!L10+'E Balans VL '!N10)/100/3.6*1000000</f>
        <v>37.545540231249966</v>
      </c>
      <c r="G9" s="34"/>
      <c r="H9" s="33"/>
      <c r="I9" s="33"/>
      <c r="J9" s="33">
        <f>$C$29*('E Balans VL '!D10+'E Balans VL '!E10)/100/3.6*1000000</f>
        <v>0</v>
      </c>
      <c r="K9" s="33"/>
      <c r="L9" s="33"/>
      <c r="M9" s="33"/>
      <c r="N9" s="33">
        <f>$C$29*'E Balans VL '!Y10/100/3.6*1000000</f>
        <v>1.3175204761342696</v>
      </c>
      <c r="O9" s="33"/>
      <c r="P9" s="33"/>
      <c r="R9" s="32"/>
    </row>
    <row r="10" spans="1:18">
      <c r="A10" s="32" t="s">
        <v>49</v>
      </c>
      <c r="B10" s="37">
        <f t="shared" si="0"/>
        <v>171.050089617233</v>
      </c>
      <c r="C10" s="33"/>
      <c r="D10" s="37">
        <f>IF(ISERROR(TER_ander_gas_kWh/1000),0,TER_ander_gas_kWh/1000)*0.902</f>
        <v>847.0781304658301</v>
      </c>
      <c r="E10" s="33">
        <f>$C$30*'E Balans VL '!I14/100/3.6*1000000</f>
        <v>1.0427255665737627</v>
      </c>
      <c r="F10" s="33">
        <f>$C$30*('E Balans VL '!L14+'E Balans VL '!N14)/100/3.6*1000000</f>
        <v>45.347721877964531</v>
      </c>
      <c r="G10" s="34"/>
      <c r="H10" s="33"/>
      <c r="I10" s="33"/>
      <c r="J10" s="33">
        <f>$C$30*('E Balans VL '!D14+'E Balans VL '!E14)/100/3.6*1000000</f>
        <v>0</v>
      </c>
      <c r="K10" s="33"/>
      <c r="L10" s="33"/>
      <c r="M10" s="33"/>
      <c r="N10" s="33">
        <f>$C$30*'E Balans VL '!Y14/100/3.6*1000000</f>
        <v>39.423349536385629</v>
      </c>
      <c r="O10" s="33"/>
      <c r="P10" s="33"/>
      <c r="R10" s="32"/>
    </row>
    <row r="11" spans="1:18">
      <c r="A11" s="32" t="s">
        <v>54</v>
      </c>
      <c r="B11" s="37">
        <f t="shared" si="0"/>
        <v>110.75346179834399</v>
      </c>
      <c r="C11" s="33"/>
      <c r="D11" s="37">
        <f>IF(ISERROR(TER_onderwijs_gas_kWh/1000),0,TER_onderwijs_gas_kWh/1000)*0.902</f>
        <v>0</v>
      </c>
      <c r="E11" s="33">
        <f>$C$31*'E Balans VL '!I11/100/3.6*1000000</f>
        <v>8.4399904884018398E-2</v>
      </c>
      <c r="F11" s="33">
        <f>$C$31*('E Balans VL '!L11+'E Balans VL '!N11)/100/3.6*1000000</f>
        <v>80.147274499528706</v>
      </c>
      <c r="G11" s="34"/>
      <c r="H11" s="33"/>
      <c r="I11" s="33"/>
      <c r="J11" s="33">
        <f>$C$31*('E Balans VL '!D11+'E Balans VL '!E11)/100/3.6*1000000</f>
        <v>0</v>
      </c>
      <c r="K11" s="33"/>
      <c r="L11" s="33"/>
      <c r="M11" s="33"/>
      <c r="N11" s="33">
        <f>$C$31*'E Balans VL '!Y11/100/3.6*1000000</f>
        <v>0.32641692151476143</v>
      </c>
      <c r="O11" s="33"/>
      <c r="P11" s="33"/>
      <c r="R11" s="32"/>
    </row>
    <row r="12" spans="1:18">
      <c r="A12" s="32" t="s">
        <v>259</v>
      </c>
      <c r="B12" s="37">
        <f t="shared" si="0"/>
        <v>1727.45013053402</v>
      </c>
      <c r="C12" s="33"/>
      <c r="D12" s="37">
        <f>IF(ISERROR(TER_rest_gas_kWh/1000),0,TER_rest_gas_kWh/1000)*0.902</f>
        <v>3785.7920654482627</v>
      </c>
      <c r="E12" s="33">
        <f>$C$32*'E Balans VL '!I8/100/3.6*1000000</f>
        <v>37.048715678693803</v>
      </c>
      <c r="F12" s="33">
        <f>$C$32*('E Balans VL '!L8+'E Balans VL '!N8)/100/3.6*1000000</f>
        <v>340.85658047794794</v>
      </c>
      <c r="G12" s="34"/>
      <c r="H12" s="33"/>
      <c r="I12" s="33"/>
      <c r="J12" s="33">
        <f>$C$32*('E Balans VL '!D8+'E Balans VL '!E8)/100/3.6*1000000</f>
        <v>0</v>
      </c>
      <c r="K12" s="33"/>
      <c r="L12" s="33"/>
      <c r="M12" s="33"/>
      <c r="N12" s="33">
        <f>$C$32*'E Balans VL '!Y8/100/3.6*1000000</f>
        <v>48.995192164887229</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9848.6969585864535</v>
      </c>
      <c r="C16" s="21">
        <f ca="1">C5+C13+C14</f>
        <v>0</v>
      </c>
      <c r="D16" s="21">
        <f t="shared" ref="D16:N16" ca="1" si="1">MAX((D5+D13+D14),0)</f>
        <v>10392.910774153075</v>
      </c>
      <c r="E16" s="21">
        <f t="shared" si="1"/>
        <v>160.98685993019177</v>
      </c>
      <c r="F16" s="21">
        <f t="shared" ca="1" si="1"/>
        <v>1701.428941411943</v>
      </c>
      <c r="G16" s="21">
        <f t="shared" si="1"/>
        <v>0</v>
      </c>
      <c r="H16" s="21">
        <f t="shared" si="1"/>
        <v>0</v>
      </c>
      <c r="I16" s="21">
        <f t="shared" si="1"/>
        <v>0</v>
      </c>
      <c r="J16" s="21">
        <f t="shared" si="1"/>
        <v>0</v>
      </c>
      <c r="K16" s="21">
        <f t="shared" si="1"/>
        <v>0</v>
      </c>
      <c r="L16" s="21">
        <f t="shared" ca="1" si="1"/>
        <v>0</v>
      </c>
      <c r="M16" s="21">
        <f t="shared" si="1"/>
        <v>0</v>
      </c>
      <c r="N16" s="21">
        <f t="shared" ca="1" si="1"/>
        <v>103.59743112943514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0.22634157973077876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2229.169627896174</v>
      </c>
      <c r="C20" s="23">
        <f t="shared" ref="C20:P20" ca="1" si="2">C16*C18</f>
        <v>0</v>
      </c>
      <c r="D20" s="23">
        <f t="shared" ca="1" si="2"/>
        <v>2099.3679763789214</v>
      </c>
      <c r="E20" s="23">
        <f t="shared" si="2"/>
        <v>36.544017204153533</v>
      </c>
      <c r="F20" s="23">
        <f t="shared" ca="1" si="2"/>
        <v>454.28152735698882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1420.0528644112701</v>
      </c>
      <c r="C26" s="39">
        <f>IF(ISERROR(B26*3.6/1000000/'E Balans VL '!Z12*100),0,B26*3.6/1000000/'E Balans VL '!Z12*100)</f>
        <v>2.9882657551124618E-2</v>
      </c>
      <c r="D26" s="238" t="s">
        <v>718</v>
      </c>
      <c r="F26" s="6"/>
    </row>
    <row r="27" spans="1:18">
      <c r="A27" s="232" t="s">
        <v>52</v>
      </c>
      <c r="B27" s="33">
        <f>IF(ISERROR(TER_horeca_ele_kWh/1000),0,TER_horeca_ele_kWh/1000)</f>
        <v>796.93883561453697</v>
      </c>
      <c r="C27" s="39">
        <f>IF(ISERROR(B27*3.6/1000000/'E Balans VL '!Z9*100),0,B27*3.6/1000000/'E Balans VL '!Z9*100)</f>
        <v>6.7474571834092806E-2</v>
      </c>
      <c r="D27" s="238" t="s">
        <v>718</v>
      </c>
      <c r="F27" s="6"/>
    </row>
    <row r="28" spans="1:18">
      <c r="A28" s="172" t="s">
        <v>51</v>
      </c>
      <c r="B28" s="33">
        <f>IF(ISERROR(TER_handel_ele_kWh/1000),0,TER_handel_ele_kWh/1000)</f>
        <v>5470.0044527188302</v>
      </c>
      <c r="C28" s="39">
        <f>IF(ISERROR(B28*3.6/1000000/'E Balans VL '!Z13*100),0,B28*3.6/1000000/'E Balans VL '!Z13*100)</f>
        <v>0.15143631688652506</v>
      </c>
      <c r="D28" s="238" t="s">
        <v>718</v>
      </c>
      <c r="F28" s="6"/>
    </row>
    <row r="29" spans="1:18">
      <c r="A29" s="232" t="s">
        <v>50</v>
      </c>
      <c r="B29" s="33">
        <f>IF(ISERROR(TER_gezond_ele_kWh/1000),0,TER_gezond_ele_kWh/1000)</f>
        <v>152.44712389221999</v>
      </c>
      <c r="C29" s="39">
        <f>IF(ISERROR(B29*3.6/1000000/'E Balans VL '!Z10*100),0,B29*3.6/1000000/'E Balans VL '!Z10*100)</f>
        <v>1.9816436032575067E-2</v>
      </c>
      <c r="D29" s="238" t="s">
        <v>718</v>
      </c>
      <c r="F29" s="6"/>
    </row>
    <row r="30" spans="1:18">
      <c r="A30" s="232" t="s">
        <v>49</v>
      </c>
      <c r="B30" s="33">
        <f>IF(ISERROR(TER_ander_ele_kWh/1000),0,TER_ander_ele_kWh/1000)</f>
        <v>171.050089617233</v>
      </c>
      <c r="C30" s="39">
        <f>IF(ISERROR(B30*3.6/1000000/'E Balans VL '!Z14*100),0,B30*3.6/1000000/'E Balans VL '!Z14*100)</f>
        <v>1.3257950594488055E-2</v>
      </c>
      <c r="D30" s="238" t="s">
        <v>718</v>
      </c>
      <c r="F30" s="6"/>
    </row>
    <row r="31" spans="1:18">
      <c r="A31" s="232" t="s">
        <v>54</v>
      </c>
      <c r="B31" s="33">
        <f>IF(ISERROR(TER_onderwijs_ele_kWh/1000),0,TER_onderwijs_ele_kWh/1000)</f>
        <v>110.75346179834399</v>
      </c>
      <c r="C31" s="39">
        <f>IF(ISERROR(B31*3.6/1000000/'E Balans VL '!Z11*100),0,B31*3.6/1000000/'E Balans VL '!Z11*100)</f>
        <v>2.118902444107507E-2</v>
      </c>
      <c r="D31" s="238" t="s">
        <v>718</v>
      </c>
    </row>
    <row r="32" spans="1:18">
      <c r="A32" s="232" t="s">
        <v>259</v>
      </c>
      <c r="B32" s="33">
        <f>IF(ISERROR(TER_rest_ele_kWh/1000),0,TER_rest_ele_kWh/1000)</f>
        <v>1727.45013053402</v>
      </c>
      <c r="C32" s="39">
        <f>IF(ISERROR(B32*3.6/1000000/'E Balans VL '!Z8*100),0,B32*3.6/1000000/'E Balans VL '!Z8*100)</f>
        <v>1.4244152862092959E-2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1677.0141786783861</v>
      </c>
      <c r="C5" s="17">
        <f>IF(ISERROR('Eigen informatie GS &amp; warmtenet'!B59),0,'Eigen informatie GS &amp; warmtenet'!B59)</f>
        <v>0</v>
      </c>
      <c r="D5" s="30">
        <f>SUM(D6:D15)</f>
        <v>1259.3298137089178</v>
      </c>
      <c r="E5" s="17">
        <f>SUM(E6:E15)</f>
        <v>17.070991518240316</v>
      </c>
      <c r="F5" s="17">
        <f>SUM(F6:F15)</f>
        <v>461.14307688221191</v>
      </c>
      <c r="G5" s="18"/>
      <c r="H5" s="17"/>
      <c r="I5" s="17"/>
      <c r="J5" s="17">
        <f>SUM(J6:J15)</f>
        <v>8.5869172686520887</v>
      </c>
      <c r="K5" s="17"/>
      <c r="L5" s="17"/>
      <c r="M5" s="17"/>
      <c r="N5" s="17">
        <f>SUM(N6:N15)</f>
        <v>42.469276336461704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243.88383933280002</v>
      </c>
      <c r="C9" s="33"/>
      <c r="D9" s="37">
        <f>IF( ISERROR(IND_andere_gas_kWh/1000),0,IND_andere_gas_kWh/1000)*0.902</f>
        <v>155.26711183760386</v>
      </c>
      <c r="E9" s="33">
        <f>C31*'E Balans VL '!I19/100/3.6*1000000</f>
        <v>4.0963278488366663</v>
      </c>
      <c r="F9" s="33">
        <f>C31*'E Balans VL '!L19/100/3.6*1000000+C31*'E Balans VL '!N19/100/3.6*1000000</f>
        <v>190.65449500407109</v>
      </c>
      <c r="G9" s="34"/>
      <c r="H9" s="33"/>
      <c r="I9" s="33"/>
      <c r="J9" s="40">
        <f>C31*'E Balans VL '!D19/100/3.6*1000000+C31*'E Balans VL '!E19/100/3.6*1000000</f>
        <v>2.1996169451294536E-2</v>
      </c>
      <c r="K9" s="33"/>
      <c r="L9" s="33"/>
      <c r="M9" s="33"/>
      <c r="N9" s="33">
        <f>C31*'E Balans VL '!Y19/100/3.6*1000000</f>
        <v>18.075705266292843</v>
      </c>
      <c r="O9" s="33"/>
      <c r="P9" s="33"/>
      <c r="R9" s="32"/>
    </row>
    <row r="10" spans="1:18">
      <c r="A10" s="6" t="s">
        <v>40</v>
      </c>
      <c r="B10" s="37">
        <f t="shared" si="0"/>
        <v>414.90483469456598</v>
      </c>
      <c r="C10" s="33"/>
      <c r="D10" s="37">
        <f>IF( ISERROR(IND_voed_gas_kWh/1000),0,IND_voed_gas_kWh/1000)*0.902</f>
        <v>330.11042253094922</v>
      </c>
      <c r="E10" s="33">
        <f>C32*'E Balans VL '!I20/100/3.6*1000000</f>
        <v>3.7854192980574517</v>
      </c>
      <c r="F10" s="33">
        <f>C32*'E Balans VL '!L20/100/3.6*1000000+C32*'E Balans VL '!N20/100/3.6*1000000</f>
        <v>66.937127299995126</v>
      </c>
      <c r="G10" s="34"/>
      <c r="H10" s="33"/>
      <c r="I10" s="33"/>
      <c r="J10" s="40">
        <f>C32*'E Balans VL '!D20/100/3.6*1000000+C32*'E Balans VL '!E20/100/3.6*1000000</f>
        <v>1.7088501340492297</v>
      </c>
      <c r="K10" s="33"/>
      <c r="L10" s="33"/>
      <c r="M10" s="33"/>
      <c r="N10" s="33">
        <f>C32*'E Balans VL '!Y20/100/3.6*1000000</f>
        <v>6.0697305699372031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1018.2255046510201</v>
      </c>
      <c r="C15" s="33"/>
      <c r="D15" s="37">
        <f>IF( ISERROR(IND_rest_gas_kWh/1000),0,IND_rest_gas_kWh/1000)*0.902</f>
        <v>773.95227934036473</v>
      </c>
      <c r="E15" s="33">
        <f>C37*'E Balans VL '!I15/100/3.6*1000000</f>
        <v>9.1892443713461969</v>
      </c>
      <c r="F15" s="33">
        <f>C37*'E Balans VL '!L15/100/3.6*1000000+C37*'E Balans VL '!N15/100/3.6*1000000</f>
        <v>203.55145457814569</v>
      </c>
      <c r="G15" s="34"/>
      <c r="H15" s="33"/>
      <c r="I15" s="33"/>
      <c r="J15" s="40">
        <f>C37*'E Balans VL '!D15/100/3.6*1000000+C37*'E Balans VL '!E15/100/3.6*1000000</f>
        <v>6.8560709651515648</v>
      </c>
      <c r="K15" s="33"/>
      <c r="L15" s="33"/>
      <c r="M15" s="33"/>
      <c r="N15" s="33">
        <f>C37*'E Balans VL '!Y15/100/3.6*1000000</f>
        <v>18.323840500231661</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1677.0141786783861</v>
      </c>
      <c r="C18" s="21">
        <f>C5+C16</f>
        <v>0</v>
      </c>
      <c r="D18" s="21">
        <f>MAX((D5+D16),0)</f>
        <v>1259.3298137089178</v>
      </c>
      <c r="E18" s="21">
        <f>MAX((E5+E16),0)</f>
        <v>17.070991518240316</v>
      </c>
      <c r="F18" s="21">
        <f>MAX((F5+F16),0)</f>
        <v>461.14307688221191</v>
      </c>
      <c r="G18" s="21"/>
      <c r="H18" s="21"/>
      <c r="I18" s="21"/>
      <c r="J18" s="21">
        <f>MAX((J5+J16),0)</f>
        <v>8.5869172686520887</v>
      </c>
      <c r="K18" s="21"/>
      <c r="L18" s="21">
        <f>MAX((L5+L16),0)</f>
        <v>0</v>
      </c>
      <c r="M18" s="21"/>
      <c r="N18" s="21">
        <f>MAX((N5+N16),0)</f>
        <v>42.469276336461704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0.22634157973077876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379.57803843298041</v>
      </c>
      <c r="C22" s="23">
        <f ca="1">C18*C20</f>
        <v>0</v>
      </c>
      <c r="D22" s="23">
        <f>D18*D20</f>
        <v>254.3846223692014</v>
      </c>
      <c r="E22" s="23">
        <f>E18*E20</f>
        <v>3.8751150746405516</v>
      </c>
      <c r="F22" s="23">
        <f>F18*F20</f>
        <v>123.12520152755059</v>
      </c>
      <c r="G22" s="23"/>
      <c r="H22" s="23"/>
      <c r="I22" s="23"/>
      <c r="J22" s="23">
        <f>J18*J20</f>
        <v>3.039768713102839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243.88383933280002</v>
      </c>
      <c r="C31" s="39">
        <f>IF(ISERROR(B31*3.6/1000000/'E Balans VL '!Z19*100),0,B31*3.6/1000000/'E Balans VL '!Z19*100)</f>
        <v>1.0810404098929739E-2</v>
      </c>
      <c r="D31" s="238" t="s">
        <v>718</v>
      </c>
    </row>
    <row r="32" spans="1:18">
      <c r="A32" s="172" t="s">
        <v>40</v>
      </c>
      <c r="B32" s="37">
        <f>IF( ISERROR(IND_voed_ele_kWh/1000),0,IND_voed_ele_kWh/1000)</f>
        <v>414.90483469456598</v>
      </c>
      <c r="C32" s="39">
        <f>IF(ISERROR(B32*3.6/1000000/'E Balans VL '!Z20*100),0,B32*3.6/1000000/'E Balans VL '!Z20*100)</f>
        <v>1.3859011686726232E-2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1018.2255046510201</v>
      </c>
      <c r="C37" s="39">
        <f>IF(ISERROR(B37*3.6/1000000/'E Balans VL '!Z15*100),0,B37*3.6/1000000/'E Balans VL '!Z15*100)</f>
        <v>7.5739389233613411E-3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277.1486427789402</v>
      </c>
      <c r="C5" s="17">
        <f>'Eigen informatie GS &amp; warmtenet'!B60</f>
        <v>0</v>
      </c>
      <c r="D5" s="30">
        <f>IF(ISERROR(SUM(LB_lb_gas_kWh,LB_rest_gas_kWh)/1000),0,SUM(LB_lb_gas_kWh,LB_rest_gas_kWh)/1000)*0.902</f>
        <v>40620.177081581765</v>
      </c>
      <c r="E5" s="17">
        <f>B17*'E Balans VL '!I25/3.6*1000000/100</f>
        <v>2.9023605874154281</v>
      </c>
      <c r="F5" s="17">
        <f>B17*('E Balans VL '!L25/3.6*1000000+'E Balans VL '!N25/3.6*1000000)/100</f>
        <v>1186.4067793377915</v>
      </c>
      <c r="G5" s="18"/>
      <c r="H5" s="17"/>
      <c r="I5" s="17"/>
      <c r="J5" s="17">
        <f>('E Balans VL '!D25+'E Balans VL '!E25)/3.6*1000000*landbouw!B17/100</f>
        <v>24.751857925822929</v>
      </c>
      <c r="K5" s="17"/>
      <c r="L5" s="17">
        <f>L6*(-1)</f>
        <v>0</v>
      </c>
      <c r="M5" s="17"/>
      <c r="N5" s="17">
        <f>N6*(-1)</f>
        <v>0</v>
      </c>
      <c r="O5" s="17"/>
      <c r="P5" s="17"/>
      <c r="R5" s="32"/>
    </row>
    <row r="6" spans="1:18">
      <c r="A6" s="16" t="s">
        <v>495</v>
      </c>
      <c r="B6" s="17" t="s">
        <v>210</v>
      </c>
      <c r="C6" s="17">
        <f>'lokale energieproductie'!O39+'lokale energieproductie'!O32</f>
        <v>20031.428571428572</v>
      </c>
      <c r="D6" s="309">
        <f>('lokale energieproductie'!P32+'lokale energieproductie'!P39)*(-1)</f>
        <v>-40062.857142857145</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277.1486427789402</v>
      </c>
      <c r="C8" s="21">
        <f>C5+C6</f>
        <v>20031.428571428572</v>
      </c>
      <c r="D8" s="21">
        <f>MAX((D5+D6),0)</f>
        <v>557.31993872462044</v>
      </c>
      <c r="E8" s="21">
        <f>MAX((E5+E6),0)</f>
        <v>2.9023605874154281</v>
      </c>
      <c r="F8" s="21">
        <f>MAX((F5+F6),0)</f>
        <v>1186.4067793377915</v>
      </c>
      <c r="G8" s="21"/>
      <c r="H8" s="21"/>
      <c r="I8" s="21"/>
      <c r="J8" s="21">
        <f>MAX((J5+J6),0)</f>
        <v>24.751857925822929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0.22634157973077876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62.730261626826611</v>
      </c>
      <c r="C12" s="23">
        <f ca="1">C8*C10</f>
        <v>4760.4100840336141</v>
      </c>
      <c r="D12" s="23">
        <f>D8*D10</f>
        <v>112.57862762237333</v>
      </c>
      <c r="E12" s="23">
        <f>E8*E10</f>
        <v>0.65883585334330219</v>
      </c>
      <c r="F12" s="23">
        <f>F8*F10</f>
        <v>316.77061008319032</v>
      </c>
      <c r="G12" s="23"/>
      <c r="H12" s="23"/>
      <c r="I12" s="23"/>
      <c r="J12" s="23">
        <f>J8*J10</f>
        <v>8.7621577057413162</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4.2658526081148312E-2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0.99758548540491143</v>
      </c>
      <c r="C26" s="248">
        <f>B26*'GWP N2O_CH4'!B5</f>
        <v>20.94929519350314</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8.3471026069394202E-2</v>
      </c>
      <c r="C27" s="248">
        <f>B27*'GWP N2O_CH4'!B5</f>
        <v>1.7528915474572782</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8.0453948380325956E-3</v>
      </c>
      <c r="C28" s="248">
        <f>B28*'GWP N2O_CH4'!B4</f>
        <v>2.4940723997901046</v>
      </c>
      <c r="D28" s="50"/>
    </row>
    <row r="29" spans="1:4">
      <c r="A29" s="41" t="s">
        <v>276</v>
      </c>
      <c r="B29" s="248">
        <f>B34*'ha_N2O bodem landbouw'!B4</f>
        <v>0.6657826150698537</v>
      </c>
      <c r="C29" s="248">
        <f>B29*'GWP N2O_CH4'!B4</f>
        <v>206.39261067165464</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1.1002932132725099E-4</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9.0955999306570496E-7</v>
      </c>
      <c r="C5" s="443" t="s">
        <v>210</v>
      </c>
      <c r="D5" s="428">
        <f>SUM(D6:D11)</f>
        <v>4.6865887885753748E-6</v>
      </c>
      <c r="E5" s="428">
        <f>SUM(E6:E11)</f>
        <v>4.7902435192579258E-4</v>
      </c>
      <c r="F5" s="441" t="s">
        <v>210</v>
      </c>
      <c r="G5" s="428">
        <f>SUM(G6:G11)</f>
        <v>9.787772904834334E-2</v>
      </c>
      <c r="H5" s="428">
        <f>SUM(H6:H11)</f>
        <v>1.6188918663004651E-2</v>
      </c>
      <c r="I5" s="443" t="s">
        <v>210</v>
      </c>
      <c r="J5" s="443" t="s">
        <v>210</v>
      </c>
      <c r="K5" s="443" t="s">
        <v>210</v>
      </c>
      <c r="L5" s="443" t="s">
        <v>210</v>
      </c>
      <c r="M5" s="428">
        <f>SUM(M6:M11)</f>
        <v>4.9615879752695569E-3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7.9609969656944992E-7</v>
      </c>
      <c r="C6" s="429"/>
      <c r="D6" s="429">
        <f>vkm_GW_PW*SUMIFS(TableVerdeelsleutelVkm[CNG],TableVerdeelsleutelVkm[Voertuigtype],"Lichte voertuigen")*SUMIFS(TableECFTransport[EnergieConsumptieFactor (PJ per km)],TableECFTransport[Index],CONCATENATE($A6,"_CNG_CNG"))</f>
        <v>3.7761040603884328E-6</v>
      </c>
      <c r="E6" s="431">
        <f>vkm_GW_PW*SUMIFS(TableVerdeelsleutelVkm[LPG],TableVerdeelsleutelVkm[Voertuigtype],"Lichte voertuigen")*SUMIFS(TableECFTransport[EnergieConsumptieFactor (PJ per km)],TableECFTransport[Index],CONCATENATE($A6,"_LPG_LPG"))</f>
        <v>3.9074799986872806E-4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5.2925864424255453E-2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1.3177948158430673E-2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2.8865187379652482E-3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3.3291033385913826E-2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9.2456905830053078E-7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1.4341926304067517E-3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1.1346029649625499E-7</v>
      </c>
      <c r="C8" s="429"/>
      <c r="D8" s="431">
        <f>vkm_NGW_PW*SUMIFS(TableVerdeelsleutelVkm[CNG],TableVerdeelsleutelVkm[Voertuigtype],"Lichte voertuigen")*SUMIFS(TableECFTransport[EnergieConsumptieFactor (PJ per km)],TableECFTransport[Index],CONCATENATE($A8,"_CNG_CNG"))</f>
        <v>9.1048472818694174E-7</v>
      </c>
      <c r="E8" s="431">
        <f>vkm_NGW_PW*SUMIFS(TableVerdeelsleutelVkm[LPG],TableVerdeelsleutelVkm[Voertuigtype],"Lichte voertuigen")*SUMIFS(TableECFTransport[EnergieConsumptieFactor (PJ per km)],TableECFTransport[Index],CONCATENATE($A8,"_LPG_LPG"))</f>
        <v>8.8276352057064524E-5</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1.1460361175543705E-2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3.0100392319120611E-3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6.3224021451387612E-4</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2.0047006263034951E-4</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6.7036036160960143E-9</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8.6363923836805063E-6</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0.25265555362936248</v>
      </c>
      <c r="C14" s="21"/>
      <c r="D14" s="21">
        <f t="shared" ref="D14:M14" si="0">((D5)*10^9/3600)+D12</f>
        <v>1.3018302190487152</v>
      </c>
      <c r="E14" s="21">
        <f t="shared" si="0"/>
        <v>133.06231997938681</v>
      </c>
      <c r="F14" s="21"/>
      <c r="G14" s="21">
        <f t="shared" si="0"/>
        <v>27188.258068984262</v>
      </c>
      <c r="H14" s="21">
        <f t="shared" si="0"/>
        <v>4496.9218508346257</v>
      </c>
      <c r="I14" s="21"/>
      <c r="J14" s="21"/>
      <c r="K14" s="21"/>
      <c r="L14" s="21"/>
      <c r="M14" s="21">
        <f t="shared" si="0"/>
        <v>1378.2188820193214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0.22634157973077876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5.7186457136224396E-2</v>
      </c>
      <c r="C18" s="23"/>
      <c r="D18" s="23">
        <f t="shared" ref="D18:M18" si="1">D14*D16</f>
        <v>0.2629697042478405</v>
      </c>
      <c r="E18" s="23">
        <f t="shared" si="1"/>
        <v>30.205146635320808</v>
      </c>
      <c r="F18" s="23"/>
      <c r="G18" s="23">
        <f t="shared" si="1"/>
        <v>7259.2649044187983</v>
      </c>
      <c r="H18" s="23">
        <f t="shared" si="1"/>
        <v>1119.7335408578217</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4.171772469087843E-3</v>
      </c>
      <c r="H50" s="320">
        <f t="shared" si="2"/>
        <v>0</v>
      </c>
      <c r="I50" s="320">
        <f t="shared" si="2"/>
        <v>0</v>
      </c>
      <c r="J50" s="320">
        <f t="shared" si="2"/>
        <v>0</v>
      </c>
      <c r="K50" s="320">
        <f t="shared" si="2"/>
        <v>0</v>
      </c>
      <c r="L50" s="320">
        <f t="shared" si="2"/>
        <v>0</v>
      </c>
      <c r="M50" s="320">
        <f t="shared" si="2"/>
        <v>1.7739910479411432E-4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4.171772469087843E-3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1.7739910479411432E-4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1158.825685857734</v>
      </c>
      <c r="H54" s="21">
        <f t="shared" si="3"/>
        <v>0</v>
      </c>
      <c r="I54" s="21">
        <f t="shared" si="3"/>
        <v>0</v>
      </c>
      <c r="J54" s="21">
        <f t="shared" si="3"/>
        <v>0</v>
      </c>
      <c r="K54" s="21">
        <f t="shared" si="3"/>
        <v>0</v>
      </c>
      <c r="L54" s="21">
        <f t="shared" si="3"/>
        <v>0</v>
      </c>
      <c r="M54" s="21">
        <f t="shared" si="3"/>
        <v>49.277529109476198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0.22634157973077876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309.40645812401499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336.11475347279116</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14022</v>
      </c>
      <c r="C8" s="554">
        <f>B48</f>
        <v>16496.470588235294</v>
      </c>
      <c r="D8" s="975"/>
      <c r="E8" s="975">
        <f>E48</f>
        <v>0</v>
      </c>
      <c r="F8" s="976"/>
      <c r="G8" s="555"/>
      <c r="H8" s="975">
        <f>I48</f>
        <v>0</v>
      </c>
      <c r="I8" s="975">
        <f>G48+F48</f>
        <v>0</v>
      </c>
      <c r="J8" s="975">
        <f>H48+D48+C48</f>
        <v>0</v>
      </c>
      <c r="K8" s="975"/>
      <c r="L8" s="975"/>
      <c r="M8" s="975"/>
      <c r="N8" s="556"/>
      <c r="O8" s="557">
        <f>C8*$C$12+D8*$D$12+E8*$E$12+F8*$F$12+G8*$G$12+H8*$H$12+I8*$I$12+J8*$J$12</f>
        <v>3332.2870588235296</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14358.114753472792</v>
      </c>
      <c r="C10" s="566">
        <f t="shared" ref="C10:L10" si="0">SUM(C8:C9)</f>
        <v>16496.470588235294</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3332.2870588235296</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20031.428571428572</v>
      </c>
      <c r="C17" s="578">
        <f>B49</f>
        <v>23566.386554621851</v>
      </c>
      <c r="D17" s="579"/>
      <c r="E17" s="579">
        <f>E49</f>
        <v>0</v>
      </c>
      <c r="F17" s="580"/>
      <c r="G17" s="581"/>
      <c r="H17" s="578">
        <f>I49</f>
        <v>0</v>
      </c>
      <c r="I17" s="579">
        <f>G49+F49</f>
        <v>0</v>
      </c>
      <c r="J17" s="579">
        <f>H49+D49+C49</f>
        <v>0</v>
      </c>
      <c r="K17" s="579"/>
      <c r="L17" s="579"/>
      <c r="M17" s="579"/>
      <c r="N17" s="971"/>
      <c r="O17" s="582">
        <f>C17*$C$22+E17*$E$22+H17*$H$22+I17*$I$22+J17*$J$22+D17*$D$22+F17*$F$22+G17*$G$22+K17*$K$22+L17*$L$22</f>
        <v>4760.4100840336141</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20031.428571428572</v>
      </c>
      <c r="C20" s="565">
        <f>SUM(C17:C19)</f>
        <v>23566.386554621851</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4760.4100840336141</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11007</v>
      </c>
      <c r="C28" s="785">
        <v>2150</v>
      </c>
      <c r="D28" s="638" t="s">
        <v>971</v>
      </c>
      <c r="E28" s="637" t="s">
        <v>972</v>
      </c>
      <c r="F28" s="637" t="s">
        <v>973</v>
      </c>
      <c r="G28" s="637" t="s">
        <v>974</v>
      </c>
      <c r="H28" s="637" t="s">
        <v>975</v>
      </c>
      <c r="I28" s="637" t="s">
        <v>972</v>
      </c>
      <c r="J28" s="784">
        <v>40101</v>
      </c>
      <c r="K28" s="784">
        <v>40114</v>
      </c>
      <c r="L28" s="637" t="s">
        <v>976</v>
      </c>
      <c r="M28" s="637">
        <v>3116</v>
      </c>
      <c r="N28" s="637">
        <v>14022</v>
      </c>
      <c r="O28" s="637">
        <v>20031.428571428572</v>
      </c>
      <c r="P28" s="637">
        <v>40062.857142857145</v>
      </c>
      <c r="Q28" s="637">
        <v>0</v>
      </c>
      <c r="R28" s="637">
        <v>0</v>
      </c>
      <c r="S28" s="637">
        <v>0</v>
      </c>
      <c r="T28" s="637">
        <v>0</v>
      </c>
      <c r="U28" s="637">
        <v>0</v>
      </c>
      <c r="V28" s="637">
        <v>0</v>
      </c>
      <c r="W28" s="637">
        <v>0</v>
      </c>
      <c r="X28" s="637">
        <v>10</v>
      </c>
      <c r="Y28" s="637" t="s">
        <v>111</v>
      </c>
      <c r="Z28" s="639" t="s">
        <v>111</v>
      </c>
    </row>
    <row r="29" spans="1:26" s="573" customFormat="1">
      <c r="A29" s="593" t="s">
        <v>279</v>
      </c>
      <c r="B29" s="594"/>
      <c r="C29" s="594"/>
      <c r="D29" s="594"/>
      <c r="E29" s="594"/>
      <c r="F29" s="594"/>
      <c r="G29" s="594"/>
      <c r="H29" s="594"/>
      <c r="I29" s="594"/>
      <c r="J29" s="594"/>
      <c r="K29" s="594"/>
      <c r="L29" s="595"/>
      <c r="M29" s="595">
        <f>SUM(M28:M28)</f>
        <v>3116</v>
      </c>
      <c r="N29" s="595">
        <f>SUM(N28:N28)</f>
        <v>14022</v>
      </c>
      <c r="O29" s="595">
        <f>SUM(O28:O28)</f>
        <v>20031.428571428572</v>
      </c>
      <c r="P29" s="595">
        <f>SUM(P28:P28)</f>
        <v>40062.857142857145</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3116</v>
      </c>
      <c r="N32" s="600">
        <f>SUMIF($Z$28:$Z$28,"landbouw",N28:N28)</f>
        <v>14022</v>
      </c>
      <c r="O32" s="600">
        <f>SUMIF($Z$28:$Z$28,"landbouw",O28:O28)</f>
        <v>20031.428571428572</v>
      </c>
      <c r="P32" s="600">
        <f>SUMIF($Z$28:$Z$28,"landbouw",P28:P28)</f>
        <v>40062.857142857145</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0.41176470588235292</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16496.470588235294</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23566.386554621851</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2020-06-20T16:35:24Z</dcterms:modified>
</cp:coreProperties>
</file>