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J30"/>
  <c r="J32"/>
  <c r="D6" i="17"/>
  <c r="O20" i="59"/>
  <c r="N30" i="48"/>
  <c r="N32"/>
  <c r="N20" i="59"/>
  <c r="F16" i="16"/>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I33" i="48"/>
  <c r="J27" i="14"/>
  <c r="K33" i="48"/>
  <c r="K15"/>
  <c r="I15"/>
  <c r="G78" i="14"/>
  <c r="G9" i="59"/>
  <c r="G10" s="1"/>
  <c r="M24" i="48"/>
  <c r="M32"/>
  <c r="E78" i="14"/>
  <c r="E9" i="59"/>
  <c r="E10" s="1"/>
  <c r="O78" i="14"/>
  <c r="O9" i="59"/>
  <c r="O10" s="1"/>
  <c r="N46" i="14"/>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D90" i="14" l="1"/>
  <c r="D17" i="59"/>
  <c r="D20" s="1"/>
  <c r="I90" i="14"/>
  <c r="I17" i="59"/>
  <c r="I20" s="1"/>
  <c r="E27" i="14"/>
  <c r="B15" i="48"/>
  <c r="D15"/>
  <c r="O33"/>
  <c r="J78" i="14"/>
  <c r="J8" i="59"/>
  <c r="J10" s="1"/>
  <c r="O15" i="48"/>
  <c r="C10" i="18"/>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8" i="15" l="1"/>
  <c r="C20" s="1"/>
  <c r="D40" i="14" s="1"/>
  <c r="C10" i="13"/>
  <c r="C12" s="1"/>
  <c r="D41" i="14" s="1"/>
  <c r="D46" s="1"/>
  <c r="D61" s="1"/>
  <c r="D63" s="1"/>
  <c r="C17" i="49"/>
  <c r="C56" i="22"/>
  <c r="C58" s="1"/>
  <c r="D49" i="14" s="1"/>
  <c r="D52" s="1"/>
  <c r="C22" i="59"/>
  <c r="C29" i="20"/>
  <c r="C10" i="17"/>
  <c r="C12" s="1"/>
  <c r="D54" i="14" s="1"/>
  <c r="D56" s="1"/>
  <c r="C20" i="16"/>
  <c r="C22" s="1"/>
  <c r="D43" i="14" s="1"/>
  <c r="C16" i="22"/>
  <c r="C17" i="19"/>
  <c r="C19" s="1"/>
  <c r="D39" i="14" s="1"/>
  <c r="B90"/>
  <c r="B17" i="59"/>
  <c r="B20" s="1"/>
  <c r="C90" i="14"/>
  <c r="C17" i="59"/>
  <c r="C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12" i="6" l="1"/>
  <c r="B10" i="17" s="1"/>
  <c r="B12" s="1"/>
  <c r="B4" i="6"/>
  <c r="C33" i="48"/>
  <c r="B16" i="22" l="1"/>
  <c r="B18" s="1"/>
  <c r="C50" i="14" s="1"/>
  <c r="R50" s="1"/>
  <c r="B18" i="15"/>
  <c r="B20" s="1"/>
  <c r="C40" i="14" s="1"/>
  <c r="R40" s="1"/>
  <c r="B17" i="19"/>
  <c r="B19" s="1"/>
  <c r="C39" i="14" s="1"/>
  <c r="R39" s="1"/>
  <c r="C12" i="59"/>
  <c r="B29" i="20"/>
  <c r="B31" s="1"/>
  <c r="B10" i="9"/>
  <c r="B12" s="1"/>
  <c r="C55" i="14"/>
  <c r="R55" s="1"/>
  <c r="B20" i="16"/>
  <c r="B22" s="1"/>
  <c r="C43" i="14" s="1"/>
  <c r="R43" s="1"/>
  <c r="B10" i="13"/>
  <c r="B12" s="1"/>
  <c r="B56" i="22"/>
  <c r="B58" s="1"/>
  <c r="C49" i="14" s="1"/>
  <c r="R49" s="1"/>
  <c r="B17" i="49"/>
  <c r="B19" s="1"/>
  <c r="C54" i="14"/>
  <c r="R54" s="1"/>
  <c r="R56" s="1"/>
  <c r="C42"/>
  <c r="R42" s="1"/>
  <c r="C48"/>
  <c r="R48" s="1"/>
  <c r="B17" i="48" l="1"/>
  <c r="B32" s="1"/>
  <c r="Q32" s="1"/>
  <c r="R52" i="14"/>
  <c r="C52"/>
  <c r="C41"/>
  <c r="R41" s="1"/>
  <c r="R46" s="1"/>
  <c r="B23" i="48"/>
  <c r="Q23" s="1"/>
  <c r="B31"/>
  <c r="Q31" s="1"/>
  <c r="B29" l="1"/>
  <c r="Q29" s="1"/>
  <c r="B30"/>
  <c r="Q30" s="1"/>
  <c r="B28"/>
  <c r="Q28" s="1"/>
  <c r="B27"/>
  <c r="Q27" s="1"/>
  <c r="B25"/>
  <c r="Q25" s="1"/>
  <c r="B22"/>
  <c r="Q22" s="1"/>
  <c r="Q33" s="1"/>
  <c r="B26"/>
  <c r="Q26" s="1"/>
  <c r="B24"/>
  <c r="Q24" s="1"/>
  <c r="R61" i="14"/>
  <c r="C46"/>
  <c r="C56"/>
  <c r="E56"/>
  <c r="E61" s="1"/>
  <c r="E63" s="1"/>
  <c r="B33" i="48" l="1"/>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<sst xmlns="http://schemas.openxmlformats.org/spreadsheetml/2006/main" count="2409" uniqueCount="900">
  <si>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</si>
  <si>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</si>
  <si>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</si>
  <si>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</si>
  <si>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</si>
  <si>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</si>
  <si>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</si>
  <si>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</si>
  <si>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</si>
  <si>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</si>
  <si>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</si>
  <si>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</si>
  <si>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</si>
  <si>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</si>
  <si>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</si>
  <si>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</si>
  <si>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</si>
  <si>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</si>
  <si>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</si>
  <si>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</si>
  <si>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</si>
  <si>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</si>
  <si>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</si>
  <si>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</si>
  <si>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</si>
  <si>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</si>
  <si>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</si>
  <si>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</si>
  <si>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</si>
  <si>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</si>
  <si>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</si>
  <si>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</si>
  <si>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</si>
  <si>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</si>
  <si>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</si>
  <si>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</si>
  <si>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</si>
  <si>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</si>
  <si>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</si>
  <si>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</si>
  <si>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</si>
  <si>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</si>
  <si>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</si>
  <si>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</si>
  <si>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</si>
  <si>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</si>
  <si>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</si>
  <si>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</si>
  <si>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</si>
  <si>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</si>
  <si>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</si>
  <si>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</si>
  <si>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</si>
  <si>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</si>
  <si>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</si>
  <si>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</si>
  <si>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</si>
  <si>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</si>
  <si>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</si>
  <si>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</si>
  <si>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</si>
  <si>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</si>
  <si>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</si>
  <si>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</si>
  <si>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</si>
  <si>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</si>
  <si>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</si>
  <si>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</si>
  <si>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</si>
  <si>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</si>
  <si>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</si>
  <si>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</si>
  <si>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</si>
  <si>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</si>
  <si>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</si>
  <si>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</si>
  <si>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</si>
  <si>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</si>
  <si>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</si>
  <si>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</si>
  <si>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</si>
  <si>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</si>
  <si>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</si>
  <si>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</si>
  <si>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</si>
  <si>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</si>
  <si>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</si>
  <si>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</si>
  <si>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</si>
  <si>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</si>
  <si>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</si>
  <si>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</si>
  <si>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</si>
  <si>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</si>
  <si>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</si>
  <si>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</si>
  <si>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</si>
  <si>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</si>
  <si>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</si>
  <si>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</si>
  <si>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</si>
  <si>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</si>
  <si>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</si>
  <si>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</si>
  <si>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</si>
  <si>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</si>
  <si>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</si>
  <si>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</si>
  <si>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</si>
  <si>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</si>
  <si>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</si>
  <si>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</si>
  <si>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</si>
  <si>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</si>
  <si>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</si>
  <si>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</si>
  <si>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</si>
  <si>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</si>
  <si>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</si>
  <si>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</si>
  <si>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</si>
  <si>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</si>
  <si>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</si>
  <si>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</si>
  <si>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</si>
  <si>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</si>
  <si>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</si>
  <si>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</si>
  <si>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</si>
  <si>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</si>
  <si>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</si>
  <si>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</si>
  <si>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</si>
  <si>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</si>
  <si>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</si>
  <si>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</si>
  <si>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</si>
  <si>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</si>
  <si>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</si>
  <si>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</si>
  <si>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</si>
  <si>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</si>
  <si>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</si>
  <si>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</si>
  <si>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</si>
  <si>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</si>
  <si>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</si>
  <si>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</si>
  <si>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</si>
  <si>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</si>
  <si>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</si>
  <si>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</si>
  <si>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</si>
  <si>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</si>
  <si>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</si>
  <si>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</si>
  <si>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</si>
  <si>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</si>
  <si>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</si>
  <si>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</si>
  <si>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</si>
  <si>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</si>
  <si>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</si>
  <si>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</si>
  <si>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</si>
  <si>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</si>
  <si>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</si>
  <si>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</si>
  <si>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</si>
  <si>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</si>
  <si>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</si>
  <si>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</si>
  <si>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</si>
  <si>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</si>
  <si>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</si>
  <si>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</si>
  <si>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</si>
  <si>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</si>
  <si>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</si>
  <si>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</si>
  <si>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</si>
  <si>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</si>
  <si>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</si>
  <si>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</si>
  <si>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</si>
  <si>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</si>
  <si>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</si>
  <si>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</si>
  <si>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</si>
  <si>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</si>
  <si>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</si>
  <si>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</si>
  <si>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</si>
  <si>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</si>
  <si>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</si>
  <si>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</si>
  <si>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</si>
  <si>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</si>
  <si>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</si>
  <si>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</si>
  <si>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</si>
  <si>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</si>
  <si>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</si>
  <si>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</si>
  <si>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</si>
  <si>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</si>
  <si>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</si>
  <si>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</si>
  <si>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</si>
  <si>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</si>
  <si>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</si>
  <si>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</si>
  <si>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</si>
  <si>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</si>
  <si>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</si>
  <si>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</si>
  <si>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</si>
  <si>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</si>
  <si>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</si>
  <si>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</si>
  <si>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</si>
  <si>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</si>
  <si>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</si>
  <si>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</si>
  <si>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</si>
  <si>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</si>
  <si>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</si>
  <si>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</si>
  <si>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</si>
  <si>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</si>
  <si>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</si>
  <si>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</si>
  <si>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</si>
  <si>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</si>
  <si>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</si>
  <si>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</si>
  <si>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</si>
  <si>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</si>
  <si>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</si>
  <si>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</si>
  <si>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</si>
  <si>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</si>
  <si>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</si>
  <si>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</si>
  <si>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</si>
  <si>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</si>
  <si>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</si>
  <si>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</si>
  <si>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</si>
  <si>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</si>
  <si>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</si>
  <si>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</si>
  <si>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</si>
  <si>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</si>
  <si>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</si>
  <si>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</si>
  <si>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</si>
  <si>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</si>
  <si>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</si>
  <si>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</si>
  <si>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</si>
  <si>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</si>
  <si>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</si>
  <si>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</si>
  <si>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</si>
  <si>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</si>
  <si>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</si>
  <si>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</si>
  <si>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</si>
  <si>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</si>
  <si>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</si>
  <si>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</si>
  <si>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</si>
  <si>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</si>
  <si>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</si>
  <si>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</si>
  <si>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</si>
  <si>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</si>
  <si>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</si>
  <si>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</si>
  <si>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</si>
  <si>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</si>
  <si>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</si>
  <si>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</si>
  <si>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</si>
  <si>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</si>
  <si>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</si>
  <si>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</si>
  <si>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</si>
  <si>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</si>
  <si>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</si>
  <si>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</si>
  <si>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</si>
  <si>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</si>
  <si>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</si>
  <si>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</si>
  <si>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</si>
  <si>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</si>
  <si>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</si>
  <si>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</si>
  <si>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</si>
  <si>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</si>
  <si>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</si>
  <si>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</si>
  <si>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</si>
  <si>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</si>
  <si>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</si>
  <si>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</si>
  <si>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</si>
  <si>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</si>
  <si>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</si>
  <si>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</si>
  <si>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</si>
  <si>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</si>
  <si>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</si>
  <si>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</si>
  <si>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</si>
  <si>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</si>
  <si>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</si>
  <si>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</si>
  <si>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</si>
  <si>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</si>
  <si>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</si>
  <si>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</si>
  <si>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</si>
  <si>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</si>
  <si>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</si>
  <si>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</si>
  <si>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</si>
  <si>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</si>
  <si>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</si>
  <si>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</si>
  <si>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</si>
  <si>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</si>
  <si>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</si>
  <si>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</si>
  <si>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</si>
  <si>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</si>
  <si>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</si>
  <si>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</si>
  <si>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</si>
  <si>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</si>
  <si>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</si>
  <si>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</si>
  <si>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</si>
  <si>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</si>
  <si>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</si>
  <si>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</si>
  <si>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</si>
  <si>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</si>
  <si>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</si>
  <si>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</si>
  <si>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</si>
  <si>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</si>
  <si>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</si>
  <si>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</si>
  <si>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</si>
  <si>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</si>
  <si>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</si>
  <si>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</si>
  <si>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</si>
  <si>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</si>
  <si>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</si>
  <si>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</si>
  <si>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</si>
  <si>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</si>
  <si>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</si>
  <si>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</si>
  <si>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</si>
  <si>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</si>
  <si>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</si>
  <si>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</si>
  <si>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</si>
  <si>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</si>
  <si>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</si>
  <si>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</si>
  <si>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</si>
  <si>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</si>
  <si>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</si>
  <si>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</si>
  <si>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</si>
  <si>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</si>
  <si>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</si>
  <si>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</si>
  <si>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</si>
  <si>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</si>
  <si>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</si>
  <si>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</si>
  <si>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</si>
  <si>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</si>
  <si>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</si>
  <si>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</si>
  <si>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</si>
  <si>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</si>
  <si>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</si>
  <si>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</si>
  <si>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</si>
  <si>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</si>
  <si>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</si>
  <si>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</si>
  <si>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</si>
  <si>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</si>
  <si>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</si>
  <si>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</si>
  <si>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</si>
  <si>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</si>
  <si>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</si>
  <si>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</si>
  <si>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</si>
  <si>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</si>
  <si>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</si>
  <si>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</si>
  <si>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</si>
  <si>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</si>
  <si>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</si>
  <si>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</si>
  <si>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</si>
  <si>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</si>
  <si>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</si>
  <si>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</si>
  <si>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</si>
  <si>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</si>
  <si>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</si>
  <si>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</si>
  <si>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</si>
  <si>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</si>
  <si>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</si>
  <si>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</si>
  <si>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</si>
  <si>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</si>
  <si>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</si>
  <si>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</si>
  <si>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</si>
  <si>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</si>
  <si>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</si>
  <si>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</si>
  <si>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</si>
  <si>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</si>
  <si>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</si>
  <si>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</si>
  <si>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</si>
  <si>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</si>
  <si>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</si>
  <si>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</si>
  <si>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</si>
  <si>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</si>
  <si>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</si>
  <si>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</si>
  <si>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</si>
  <si>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</si>
  <si>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</si>
  <si>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</si>
  <si>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</si>
  <si>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</si>
  <si>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</si>
  <si>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</si>
  <si>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</si>
  <si>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</si>
  <si>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</si>
  <si>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</si>
  <si>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</si>
  <si>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</si>
  <si>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</si>
  <si>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</si>
  <si>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</si>
  <si>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</si>
  <si>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</si>
  <si>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</si>
  <si>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</si>
  <si>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</si>
  <si>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</si>
  <si>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</si>
  <si>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</si>
  <si>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</si>
  <si>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</si>
  <si>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</si>
  <si>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</si>
  <si>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</si>
  <si>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</si>
  <si>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</si>
  <si>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</si>
  <si>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</si>
  <si>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</si>
  <si>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</si>
  <si>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</si>
  <si>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</si>
  <si>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</si>
  <si>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</si>
  <si>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</si>
  <si>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</si>
  <si>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</si>
  <si>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</si>
  <si>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</si>
  <si>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</si>
  <si>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</si>
  <si>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</si>
  <si>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</si>
  <si>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</si>
  <si>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</si>
  <si>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</si>
  <si>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</si>
  <si>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</si>
  <si>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</si>
  <si>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</si>
  <si>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</si>
  <si>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</si>
  <si>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</si>
  <si>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</si>
  <si>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</si>
  <si>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</si>
  <si>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</si>
  <si>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</si>
  <si>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</si>
  <si>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</si>
  <si>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</si>
  <si>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</si>
  <si>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</si>
  <si>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</si>
  <si>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</si>
  <si>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</si>
  <si>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</si>
  <si>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</si>
  <si>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</si>
  <si>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</si>
  <si>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</si>
  <si>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</si>
  <si>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</si>
  <si>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</si>
  <si>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</si>
  <si>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</si>
  <si>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</si>
  <si>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</si>
  <si>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</si>
  <si>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</si>
  <si>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</si>
  <si>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</si>
  <si>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</si>
  <si>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</si>
  <si>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</si>
  <si>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</si>
  <si>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</si>
  <si>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</si>
  <si>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</si>
  <si>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</si>
  <si>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</si>
  <si>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</si>
  <si>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</si>
  <si>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</si>
  <si>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</si>
  <si>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</si>
  <si>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</si>
  <si>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</si>
  <si>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</si>
  <si>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</si>
  <si>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</si>
  <si>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</si>
  <si>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</si>
  <si>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</si>
  <si>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</si>
  <si>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</si>
  <si>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</si>
  <si>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</si>
  <si>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</si>
  <si>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</si>
  <si>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</si>
  <si>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</si>
  <si>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</si>
  <si>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</si>
  <si>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</si>
  <si>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</si>
  <si>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</si>
  <si>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</si>
  <si>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</si>
  <si>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</si>
  <si>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</si>
  <si>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</si>
  <si>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</si>
  <si>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</si>
  <si>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</si>
  <si>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</si>
  <si>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</si>
  <si>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</si>
  <si>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</si>
  <si>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</si>
  <si>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</si>
  <si>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</si>
  <si>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</si>
  <si>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</si>
  <si>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</si>
  <si>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</si>
  <si>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</si>
  <si>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</si>
  <si>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</si>
  <si>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</si>
  <si>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</si>
  <si>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</si>
  <si>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</si>
  <si>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</si>
  <si>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</si>
  <si>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</si>
  <si>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</si>
  <si>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</si>
  <si>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</si>
  <si>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</si>
  <si>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</si>
  <si>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</si>
  <si>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</si>
  <si>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</si>
  <si>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</si>
  <si>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</si>
  <si>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</si>
  <si>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</si>
  <si>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</si>
  <si>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</si>
  <si>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</si>
  <si>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</si>
  <si>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</si>
  <si>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</si>
  <si>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</si>
  <si>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</si>
  <si>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</si>
  <si>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</si>
  <si>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</si>
  <si>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</si>
  <si>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</si>
  <si>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</si>
  <si>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</si>
  <si>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</si>
  <si>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</si>
  <si>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</si>
  <si>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</si>
  <si>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</si>
  <si>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</si>
  <si>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</si>
  <si>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</si>
  <si>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</si>
  <si>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</si>
  <si>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</si>
  <si>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</si>
  <si>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</si>
  <si>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</si>
  <si>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</si>
  <si>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</si>
  <si>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</si>
  <si>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</si>
  <si>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</si>
  <si>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</si>
  <si>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</si>
  <si>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</si>
  <si>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</si>
  <si>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</si>
  <si>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</si>
  <si>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</si>
  <si>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</si>
  <si>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</si>
  <si>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</si>
  <si>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</si>
  <si>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</si>
  <si>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</si>
  <si>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</si>
  <si>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</si>
  <si>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</si>
  <si>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</si>
  <si>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</si>
  <si>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</si>
  <si>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</si>
  <si>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</si>
  <si>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</si>
  <si>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</si>
  <si>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</si>
  <si>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</si>
  <si>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</si>
  <si>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</si>
  <si>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</si>
  <si>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</si>
  <si>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</si>
  <si>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</si>
  <si>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</si>
  <si>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</si>
  <si>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</si>
  <si>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</si>
  <si>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</si>
  <si>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</si>
  <si>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</si>
  <si>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</si>
  <si>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</si>
  <si>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</si>
  <si>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</si>
  <si>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</si>
  <si>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</si>
  <si>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</si>
  <si>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</si>
  <si>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</si>
  <si>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</si>
  <si>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</si>
  <si>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</si>
  <si>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</si>
  <si>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</si>
  <si>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</si>
  <si>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</si>
  <si>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</si>
  <si>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</si>
  <si>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</si>
  <si>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</si>
  <si>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</si>
  <si>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</si>
  <si>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</si>
  <si>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</si>
  <si>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</si>
  <si>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</si>
  <si>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</si>
  <si>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</si>
  <si>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</si>
  <si>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</si>
  <si>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</si>
  <si>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</si>
  <si>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</si>
  <si>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</si>
  <si>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</si>
  <si>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</si>
  <si>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</si>
  <si>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</si>
  <si>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</si>
  <si>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</si>
  <si>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</si>
  <si>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</si>
  <si>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</si>
  <si>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</si>
  <si>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</si>
  <si>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</si>
  <si>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</si>
  <si>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</si>
  <si>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</si>
  <si>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</si>
  <si>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</si>
  <si>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</si>
  <si>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</si>
  <si>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</si>
  <si>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</si>
  <si>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</si>
  <si>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</si>
  <si>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</si>
  <si>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</si>
  <si>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</si>
  <si>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</si>
  <si>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</si>
  <si>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</si>
  <si>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</si>
  <si>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</si>
  <si>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</si>
  <si>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</si>
  <si>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</si>
  <si>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</si>
  <si>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</si>
  <si>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</si>
  <si>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</si>
  <si>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</si>
  <si>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</si>
  <si>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</si>
  <si>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</si>
  <si>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</si>
  <si>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</si>
  <si>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</si>
  <si>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</si>
  <si>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</si>
  <si>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</si>
  <si>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</si>
  <si>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</si>
  <si>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</si>
  <si>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</si>
  <si>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</si>
  <si>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</si>
  <si>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</si>
  <si>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</si>
  <si>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</si>
  <si>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</si>
  <si>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</si>
  <si>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</si>
  <si>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</si>
  <si>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</si>
  <si>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</si>
  <si>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</si>
  <si>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</si>
  <si>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</si>
  <si>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</si>
  <si>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</si>
  <si>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</si>
  <si>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</si>
  <si>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</si>
  <si>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</si>
  <si>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</si>
  <si>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</si>
  <si>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</si>
  <si>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</si>
  <si>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</si>
  <si>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</si>
  <si>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</si>
  <si>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</si>
  <si>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</si>
  <si>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</si>
  <si>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</si>
  <si>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</si>
  <si>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</si>
  <si>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</si>
  <si>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</si>
  <si>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</si>
  <si>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</si>
  <si>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</si>
  <si>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</si>
  <si>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</si>
  <si>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</si>
  <si>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</si>
  <si>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</si>
  <si>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</si>
  <si>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</si>
  <si>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</si>
  <si>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</si>
  <si>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</si>
  <si>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</si>
  <si>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</si>
  <si>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</si>
  <si>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</si>
  <si>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</si>
  <si>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</si>
  <si>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</si>
  <si>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</si>
  <si>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</si>
  <si>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</si>
  <si>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</si>
  <si>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</si>
  <si>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</si>
  <si>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</si>
  <si>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</si>
  <si>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</si>
  <si>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</si>
  <si>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</si>
  <si>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</si>
  <si>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</si>
  <si>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</si>
  <si>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</si>
  <si>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</si>
  <si>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</si>
  <si>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</si>
  <si>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</si>
  <si>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</si>
  <si>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</si>
  <si>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</si>
  <si>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</si>
  <si>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</si>
  <si>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</si>
  <si>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</si>
  <si>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</si>
  <si>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</si>
  <si>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</si>
  <si>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</si>
  <si>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</si>
  <si>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</si>
  <si>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</si>
  <si>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</si>
  <si>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</si>
  <si>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</si>
  <si>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</si>
  <si>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</si>
  <si>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</si>
  <si>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</si>
  <si>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</si>
  <si>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</si>
  <si>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</si>
  <si>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</si>
  <si>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</si>
  <si>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</si>
  <si>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</si>
  <si>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</si>
  <si>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</si>
  <si>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</si>
  <si>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</si>
  <si>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</si>
  <si>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</si>
  <si>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73083</t>
  </si>
  <si>
    <t>TONGEREN</t>
  </si>
  <si>
    <t>Mestbank (maart 2019)</t>
  </si>
  <si>
    <t>Fluvius (februari 2019)</t>
  </si>
  <si>
    <t>referentietaak LNE (2017); Jaarverslag De Lijn (2018)</t>
  </si>
  <si>
    <t>VEA (30 april 2019)</t>
  </si>
  <si>
    <t>VEA (mei 2018)</t>
  </si>
  <si>
    <t>VEA (mei 2019)</t>
  </si>
  <si>
    <t>Biopower Tongeren NV</t>
  </si>
  <si>
    <t>Michielenweg 1 a, 3700 Tongeren</t>
  </si>
  <si>
    <t>WKK-0460 Biopower Tongeren</t>
  </si>
  <si>
    <t>interne verbrandingsmotor</t>
  </si>
  <si>
    <t>WKK interne verbrandinsgmotor (gas)</t>
  </si>
  <si>
    <t>Inter-Energa</t>
  </si>
  <si>
    <t>AZ Vesalius</t>
  </si>
  <si>
    <t>WKK-0637 AZ Vesalius</t>
  </si>
  <si>
    <t>Hazelereik 51, 3700 Tongeren, BE</t>
  </si>
  <si>
    <t>Inter-energa (via INFRAX)</t>
  </si>
  <si>
    <t>Max Food Service</t>
  </si>
  <si>
    <t>WKK-0902</t>
  </si>
  <si>
    <t>brandstofcel</t>
  </si>
  <si>
    <t>Klein-Malstraat 36 / 2</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</si>
</sst>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268219.62163618888</c:v>
                </c:pt>
                <c:pt idx="1">
                  <c:v>125609.57010987376</c:v>
                </c:pt>
                <c:pt idx="2">
                  <c:v>2227.34</c:v>
                </c:pt>
                <c:pt idx="3">
                  <c:v>30427.220863239818</c:v>
                </c:pt>
                <c:pt idx="4">
                  <c:v>53108.07581222328</c:v>
                </c:pt>
                <c:pt idx="5">
                  <c:v>188129.05364413885</c:v>
                </c:pt>
                <c:pt idx="6">
                  <c:v>4890.5237963186373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268219.62163618888</c:v>
                </c:pt>
                <c:pt idx="1">
                  <c:v>125609.57010987376</c:v>
                </c:pt>
                <c:pt idx="2">
                  <c:v>2227.34</c:v>
                </c:pt>
                <c:pt idx="3">
                  <c:v>30427.220863239818</c:v>
                </c:pt>
                <c:pt idx="4">
                  <c:v>53108.07581222328</c:v>
                </c:pt>
                <c:pt idx="5">
                  <c:v>188129.05364413885</c:v>
                </c:pt>
                <c:pt idx="6">
                  <c:v>4890.5237963186373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51800.017729123814</c:v>
                </c:pt>
                <c:pt idx="1">
                  <c:v>22865.599519124324</c:v>
                </c:pt>
                <c:pt idx="2">
                  <c:v>385.76481843587959</c:v>
                </c:pt>
                <c:pt idx="3">
                  <c:v>3553.0822679984544</c:v>
                </c:pt>
                <c:pt idx="4">
                  <c:v>10639.461981931936</c:v>
                </c:pt>
                <c:pt idx="5">
                  <c:v>46744.227435949724</c:v>
                </c:pt>
                <c:pt idx="6">
                  <c:v>1237.0163481202146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301248"/>
        <c:axId val="181302784"/>
      </c:barChart>
      <c:catAx>
        <c:axId val="181301248"/>
        <c:scaling>
          <c:orientation val="minMax"/>
        </c:scaling>
        <c:axPos val="b"/>
        <c:numFmt formatCode="General" sourceLinked="0"/>
        <c:tickLblPos val="nextTo"/>
        <c:crossAx val="181302784"/>
        <c:crosses val="autoZero"/>
        <c:auto val="1"/>
        <c:lblAlgn val="ctr"/>
        <c:lblOffset val="100"/>
      </c:catAx>
      <c:valAx>
        <c:axId val="181302784"/>
        <c:scaling>
          <c:orientation val="minMax"/>
        </c:scaling>
        <c:axPos val="l"/>
        <c:majorGridlines/>
        <c:numFmt formatCode="#,##0" sourceLinked="1"/>
        <c:tickLblPos val="nextTo"/>
        <c:crossAx val="1813012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51800.017729123814</c:v>
                </c:pt>
                <c:pt idx="1">
                  <c:v>22865.599519124324</c:v>
                </c:pt>
                <c:pt idx="2">
                  <c:v>385.76481843587959</c:v>
                </c:pt>
                <c:pt idx="3">
                  <c:v>3553.0822679984544</c:v>
                </c:pt>
                <c:pt idx="4">
                  <c:v>10639.461981931936</c:v>
                </c:pt>
                <c:pt idx="5">
                  <c:v>46744.227435949724</c:v>
                </c:pt>
                <c:pt idx="6">
                  <c:v>1237.0163481202146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73083</v>
      </c>
      <c r="B6" s="415"/>
      <c r="C6" s="416"/>
    </row>
    <row r="7" spans="1:7" s="413" customFormat="1" ht="15.75" customHeight="1">
      <c r="A7" s="417" t="str">
        <f>txtMunicipality</f>
        <v>TONGEREN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55991.913830999998</v>
      </c>
      <c r="D10" s="712">
        <f ca="1">tertiair!C16</f>
        <v>2442.5164092664095</v>
      </c>
      <c r="E10" s="712">
        <f ca="1">tertiair!D16</f>
        <v>58162.989671225238</v>
      </c>
      <c r="F10" s="712">
        <f>tertiair!E16</f>
        <v>746.73376074564646</v>
      </c>
      <c r="G10" s="712">
        <f ca="1">tertiair!F16</f>
        <v>5867.7743642780542</v>
      </c>
      <c r="H10" s="712">
        <f>tertiair!G16</f>
        <v>0</v>
      </c>
      <c r="I10" s="712">
        <f>tertiair!H16</f>
        <v>0</v>
      </c>
      <c r="J10" s="712">
        <f>tertiair!I16</f>
        <v>0</v>
      </c>
      <c r="K10" s="712">
        <f>tertiair!J16</f>
        <v>0.1102446505672062</v>
      </c>
      <c r="L10" s="712">
        <f>tertiair!K16</f>
        <v>0</v>
      </c>
      <c r="M10" s="712">
        <f ca="1">tertiair!L16</f>
        <v>0</v>
      </c>
      <c r="N10" s="712">
        <f>tertiair!M16</f>
        <v>0</v>
      </c>
      <c r="O10" s="712">
        <f ca="1">tertiair!N16</f>
        <v>4357.2788764095358</v>
      </c>
      <c r="P10" s="712">
        <f>tertiair!O16</f>
        <v>4.8972607658411542</v>
      </c>
      <c r="Q10" s="713">
        <f>tertiair!P16</f>
        <v>262.69569153247511</v>
      </c>
      <c r="R10" s="715">
        <f ca="1">SUM(C10:Q10)</f>
        <v>127836.91010987376</v>
      </c>
      <c r="S10" s="67"/>
    </row>
    <row r="11" spans="1:19" s="474" customFormat="1">
      <c r="A11" s="834" t="s">
        <v>224</v>
      </c>
      <c r="B11" s="839"/>
      <c r="C11" s="712">
        <f>huishoudens!B8</f>
        <v>48253.1056406063</v>
      </c>
      <c r="D11" s="712">
        <f>huishoudens!C8</f>
        <v>0</v>
      </c>
      <c r="E11" s="712">
        <f>huishoudens!D8</f>
        <v>105709.770826858</v>
      </c>
      <c r="F11" s="712">
        <f>huishoudens!E8</f>
        <v>17952.246014935525</v>
      </c>
      <c r="G11" s="712">
        <f>huishoudens!F8</f>
        <v>63631.889681509056</v>
      </c>
      <c r="H11" s="712">
        <f>huishoudens!G8</f>
        <v>0</v>
      </c>
      <c r="I11" s="712">
        <f>huishoudens!H8</f>
        <v>0</v>
      </c>
      <c r="J11" s="712">
        <f>huishoudens!I8</f>
        <v>0</v>
      </c>
      <c r="K11" s="712">
        <f>huishoudens!J8</f>
        <v>2894.233184986294</v>
      </c>
      <c r="L11" s="712">
        <f>huishoudens!K8</f>
        <v>0</v>
      </c>
      <c r="M11" s="712">
        <f>huishoudens!L8</f>
        <v>0</v>
      </c>
      <c r="N11" s="712">
        <f>huishoudens!M8</f>
        <v>0</v>
      </c>
      <c r="O11" s="712">
        <f>huishoudens!N8</f>
        <v>28656.632309680492</v>
      </c>
      <c r="P11" s="712">
        <f>huishoudens!O8</f>
        <v>563.44413430591703</v>
      </c>
      <c r="Q11" s="713">
        <f>huishoudens!P8</f>
        <v>558.29984330730622</v>
      </c>
      <c r="R11" s="715">
        <f>SUM(C11:Q11)</f>
        <v>268219.62163618888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21211.827031000004</v>
      </c>
      <c r="D13" s="712">
        <f>industrie!C18</f>
        <v>0</v>
      </c>
      <c r="E13" s="712">
        <f>industrie!D18</f>
        <v>17114.682681228001</v>
      </c>
      <c r="F13" s="712">
        <f>industrie!E18</f>
        <v>3224.937604921955</v>
      </c>
      <c r="G13" s="712">
        <f>industrie!F18</f>
        <v>10378.957415555078</v>
      </c>
      <c r="H13" s="712">
        <f>industrie!G18</f>
        <v>0</v>
      </c>
      <c r="I13" s="712">
        <f>industrie!H18</f>
        <v>0</v>
      </c>
      <c r="J13" s="712">
        <f>industrie!I18</f>
        <v>0</v>
      </c>
      <c r="K13" s="712">
        <f>industrie!J18</f>
        <v>14.872536791848667</v>
      </c>
      <c r="L13" s="712">
        <f>industrie!K18</f>
        <v>0</v>
      </c>
      <c r="M13" s="712">
        <f>industrie!L18</f>
        <v>0</v>
      </c>
      <c r="N13" s="712">
        <f>industrie!M18</f>
        <v>0</v>
      </c>
      <c r="O13" s="712">
        <f>industrie!N18</f>
        <v>1162.798542726395</v>
      </c>
      <c r="P13" s="712">
        <f>industrie!O18</f>
        <v>0</v>
      </c>
      <c r="Q13" s="713">
        <f>industrie!P18</f>
        <v>0</v>
      </c>
      <c r="R13" s="715">
        <f>SUM(C13:Q13)</f>
        <v>53108.07581222328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125456.84650260631</v>
      </c>
      <c r="D16" s="748">
        <f t="shared" ref="D16:R16" ca="1" si="0">SUM(D9:D15)</f>
        <v>2442.5164092664095</v>
      </c>
      <c r="E16" s="748">
        <f t="shared" ca="1" si="0"/>
        <v>180987.44317931126</v>
      </c>
      <c r="F16" s="748">
        <f t="shared" si="0"/>
        <v>21923.917380603125</v>
      </c>
      <c r="G16" s="748">
        <f t="shared" ca="1" si="0"/>
        <v>79878.621461342191</v>
      </c>
      <c r="H16" s="748">
        <f t="shared" si="0"/>
        <v>0</v>
      </c>
      <c r="I16" s="748">
        <f t="shared" si="0"/>
        <v>0</v>
      </c>
      <c r="J16" s="748">
        <f t="shared" si="0"/>
        <v>0</v>
      </c>
      <c r="K16" s="748">
        <f t="shared" si="0"/>
        <v>2909.2159664287096</v>
      </c>
      <c r="L16" s="748">
        <f t="shared" si="0"/>
        <v>0</v>
      </c>
      <c r="M16" s="748">
        <f t="shared" ca="1" si="0"/>
        <v>0</v>
      </c>
      <c r="N16" s="748">
        <f t="shared" si="0"/>
        <v>0</v>
      </c>
      <c r="O16" s="748">
        <f t="shared" ca="1" si="0"/>
        <v>34176.709728816422</v>
      </c>
      <c r="P16" s="748">
        <f t="shared" si="0"/>
        <v>568.34139507175814</v>
      </c>
      <c r="Q16" s="748">
        <f t="shared" si="0"/>
        <v>820.99553483978139</v>
      </c>
      <c r="R16" s="748">
        <f t="shared" ca="1" si="0"/>
        <v>449164.60755828593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4633.0200304127884</v>
      </c>
      <c r="I19" s="712">
        <f>transport!H54</f>
        <v>0</v>
      </c>
      <c r="J19" s="712">
        <f>transport!I54</f>
        <v>0</v>
      </c>
      <c r="K19" s="712">
        <f>transport!J54</f>
        <v>0</v>
      </c>
      <c r="L19" s="712">
        <f>transport!K54</f>
        <v>0</v>
      </c>
      <c r="M19" s="712">
        <f>transport!L54</f>
        <v>0</v>
      </c>
      <c r="N19" s="712">
        <f>transport!M54</f>
        <v>257.50376590584864</v>
      </c>
      <c r="O19" s="712">
        <f>transport!N54</f>
        <v>0</v>
      </c>
      <c r="P19" s="712">
        <f>transport!O54</f>
        <v>0</v>
      </c>
      <c r="Q19" s="713">
        <f>transport!P54</f>
        <v>0</v>
      </c>
      <c r="R19" s="715">
        <f>SUM(C19:Q19)</f>
        <v>4890.5237963186373</v>
      </c>
      <c r="S19" s="67"/>
    </row>
    <row r="20" spans="1:19" s="474" customFormat="1">
      <c r="A20" s="834" t="s">
        <v>306</v>
      </c>
      <c r="B20" s="839"/>
      <c r="C20" s="712">
        <f>transport!B14</f>
        <v>118.73962995972222</v>
      </c>
      <c r="D20" s="712">
        <f>transport!C14</f>
        <v>0</v>
      </c>
      <c r="E20" s="712">
        <f>transport!D14</f>
        <v>471.84773069259779</v>
      </c>
      <c r="F20" s="712">
        <f>transport!E14</f>
        <v>366.23669964850001</v>
      </c>
      <c r="G20" s="712">
        <f>transport!F14</f>
        <v>0</v>
      </c>
      <c r="H20" s="712">
        <f>transport!G14</f>
        <v>141500.31538193196</v>
      </c>
      <c r="I20" s="712">
        <f>transport!H14</f>
        <v>35199.313697902988</v>
      </c>
      <c r="J20" s="712">
        <f>transport!I14</f>
        <v>0</v>
      </c>
      <c r="K20" s="712">
        <f>transport!J14</f>
        <v>0</v>
      </c>
      <c r="L20" s="712">
        <f>transport!K14</f>
        <v>0</v>
      </c>
      <c r="M20" s="712">
        <f>transport!L14</f>
        <v>0</v>
      </c>
      <c r="N20" s="712">
        <f>transport!M14</f>
        <v>10472.600504003078</v>
      </c>
      <c r="O20" s="712">
        <f>transport!N14</f>
        <v>0</v>
      </c>
      <c r="P20" s="712">
        <f>transport!O14</f>
        <v>0</v>
      </c>
      <c r="Q20" s="713">
        <f>transport!P14</f>
        <v>0</v>
      </c>
      <c r="R20" s="715">
        <f>SUM(C20:Q20)</f>
        <v>188129.05364413885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118.73962995972222</v>
      </c>
      <c r="D22" s="837">
        <f t="shared" ref="D22:R22" si="1">SUM(D18:D21)</f>
        <v>0</v>
      </c>
      <c r="E22" s="837">
        <f t="shared" si="1"/>
        <v>471.84773069259779</v>
      </c>
      <c r="F22" s="837">
        <f t="shared" si="1"/>
        <v>366.23669964850001</v>
      </c>
      <c r="G22" s="837">
        <f t="shared" si="1"/>
        <v>0</v>
      </c>
      <c r="H22" s="837">
        <f t="shared" si="1"/>
        <v>146133.33541234475</v>
      </c>
      <c r="I22" s="837">
        <f t="shared" si="1"/>
        <v>35199.313697902988</v>
      </c>
      <c r="J22" s="837">
        <f t="shared" si="1"/>
        <v>0</v>
      </c>
      <c r="K22" s="837">
        <f t="shared" si="1"/>
        <v>0</v>
      </c>
      <c r="L22" s="837">
        <f t="shared" si="1"/>
        <v>0</v>
      </c>
      <c r="M22" s="837">
        <f t="shared" si="1"/>
        <v>0</v>
      </c>
      <c r="N22" s="837">
        <f t="shared" si="1"/>
        <v>10730.104269908927</v>
      </c>
      <c r="O22" s="837">
        <f t="shared" si="1"/>
        <v>0</v>
      </c>
      <c r="P22" s="837">
        <f t="shared" si="1"/>
        <v>0</v>
      </c>
      <c r="Q22" s="837">
        <f t="shared" si="1"/>
        <v>0</v>
      </c>
      <c r="R22" s="837">
        <f t="shared" si="1"/>
        <v>193019.57744045748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2323.1772650000003</v>
      </c>
      <c r="D24" s="712">
        <f>+landbouw!C8</f>
        <v>18167.142857142859</v>
      </c>
      <c r="E24" s="712">
        <f>+landbouw!D8</f>
        <v>1013.977888</v>
      </c>
      <c r="F24" s="712">
        <f>+landbouw!E8</f>
        <v>72.505596351298834</v>
      </c>
      <c r="G24" s="712">
        <f>+landbouw!F8</f>
        <v>8210.3658091450197</v>
      </c>
      <c r="H24" s="712">
        <f>+landbouw!G8</f>
        <v>0</v>
      </c>
      <c r="I24" s="712">
        <f>+landbouw!H8</f>
        <v>0</v>
      </c>
      <c r="J24" s="712">
        <f>+landbouw!I8</f>
        <v>0</v>
      </c>
      <c r="K24" s="712">
        <f>+landbouw!J8</f>
        <v>640.05144760063627</v>
      </c>
      <c r="L24" s="712">
        <f>+landbouw!K8</f>
        <v>0</v>
      </c>
      <c r="M24" s="712">
        <f>+landbouw!L8</f>
        <v>0</v>
      </c>
      <c r="N24" s="712">
        <f>+landbouw!M8</f>
        <v>0</v>
      </c>
      <c r="O24" s="712">
        <f>+landbouw!N8</f>
        <v>0</v>
      </c>
      <c r="P24" s="712">
        <f>+landbouw!O8</f>
        <v>0</v>
      </c>
      <c r="Q24" s="713">
        <f>+landbouw!P8</f>
        <v>0</v>
      </c>
      <c r="R24" s="715">
        <f>SUM(C24:Q24)</f>
        <v>30427.220863239818</v>
      </c>
      <c r="S24" s="67"/>
    </row>
    <row r="25" spans="1:19" s="474" customFormat="1" ht="15" thickBot="1">
      <c r="A25" s="856" t="s">
        <v>734</v>
      </c>
      <c r="B25" s="982"/>
      <c r="C25" s="983">
        <f>IF(Onbekend_ele_kWh="---",0,Onbekend_ele_kWh)/1000+IF(REST_rest_ele_kWh="---",0,REST_rest_ele_kWh)/1000</f>
        <v>1435.3334</v>
      </c>
      <c r="D25" s="983"/>
      <c r="E25" s="983">
        <f>IF(onbekend_gas_kWh="---",0,onbekend_gas_kWh)/1000+IF(REST_rest_gas_kWh="---",0,REST_rest_gas_kWh)/1000</f>
        <v>11673.669666</v>
      </c>
      <c r="F25" s="983"/>
      <c r="G25" s="983"/>
      <c r="H25" s="983"/>
      <c r="I25" s="983"/>
      <c r="J25" s="983"/>
      <c r="K25" s="983"/>
      <c r="L25" s="983"/>
      <c r="M25" s="983"/>
      <c r="N25" s="983"/>
      <c r="O25" s="983"/>
      <c r="P25" s="983"/>
      <c r="Q25" s="984"/>
      <c r="R25" s="715">
        <f>SUM(C25:Q25)</f>
        <v>13109.003065999999</v>
      </c>
      <c r="S25" s="67"/>
    </row>
    <row r="26" spans="1:19" s="474" customFormat="1" ht="15.75" thickBot="1">
      <c r="A26" s="720" t="s">
        <v>735</v>
      </c>
      <c r="B26" s="842"/>
      <c r="C26" s="837">
        <f>SUM(C24:C25)</f>
        <v>3758.5106650000002</v>
      </c>
      <c r="D26" s="837">
        <f t="shared" ref="D26:R26" si="2">SUM(D24:D25)</f>
        <v>18167.142857142859</v>
      </c>
      <c r="E26" s="837">
        <f t="shared" si="2"/>
        <v>12687.647553999999</v>
      </c>
      <c r="F26" s="837">
        <f t="shared" si="2"/>
        <v>72.505596351298834</v>
      </c>
      <c r="G26" s="837">
        <f t="shared" si="2"/>
        <v>8210.3658091450197</v>
      </c>
      <c r="H26" s="837">
        <f t="shared" si="2"/>
        <v>0</v>
      </c>
      <c r="I26" s="837">
        <f t="shared" si="2"/>
        <v>0</v>
      </c>
      <c r="J26" s="837">
        <f t="shared" si="2"/>
        <v>0</v>
      </c>
      <c r="K26" s="837">
        <f t="shared" si="2"/>
        <v>640.05144760063627</v>
      </c>
      <c r="L26" s="837">
        <f t="shared" si="2"/>
        <v>0</v>
      </c>
      <c r="M26" s="837">
        <f t="shared" si="2"/>
        <v>0</v>
      </c>
      <c r="N26" s="837">
        <f t="shared" si="2"/>
        <v>0</v>
      </c>
      <c r="O26" s="837">
        <f t="shared" si="2"/>
        <v>0</v>
      </c>
      <c r="P26" s="837">
        <f t="shared" si="2"/>
        <v>0</v>
      </c>
      <c r="Q26" s="837">
        <f t="shared" si="2"/>
        <v>0</v>
      </c>
      <c r="R26" s="837">
        <f t="shared" si="2"/>
        <v>43536.223929239815</v>
      </c>
      <c r="S26" s="67"/>
    </row>
    <row r="27" spans="1:19" s="474" customFormat="1" ht="17.25" thickTop="1" thickBot="1">
      <c r="A27" s="721" t="s">
        <v>115</v>
      </c>
      <c r="B27" s="829"/>
      <c r="C27" s="722">
        <f ca="1">C22+C16+C26</f>
        <v>129334.09679756602</v>
      </c>
      <c r="D27" s="722">
        <f t="shared" ref="D27:R27" ca="1" si="3">D22+D16+D26</f>
        <v>20609.659266409268</v>
      </c>
      <c r="E27" s="722">
        <f t="shared" ca="1" si="3"/>
        <v>194146.93846400385</v>
      </c>
      <c r="F27" s="722">
        <f t="shared" si="3"/>
        <v>22362.659676602925</v>
      </c>
      <c r="G27" s="722">
        <f t="shared" ca="1" si="3"/>
        <v>88088.98727048721</v>
      </c>
      <c r="H27" s="722">
        <f t="shared" si="3"/>
        <v>146133.33541234475</v>
      </c>
      <c r="I27" s="722">
        <f t="shared" si="3"/>
        <v>35199.313697902988</v>
      </c>
      <c r="J27" s="722">
        <f t="shared" si="3"/>
        <v>0</v>
      </c>
      <c r="K27" s="722">
        <f t="shared" si="3"/>
        <v>3549.2674140293457</v>
      </c>
      <c r="L27" s="722">
        <f t="shared" si="3"/>
        <v>0</v>
      </c>
      <c r="M27" s="722">
        <f t="shared" ca="1" si="3"/>
        <v>0</v>
      </c>
      <c r="N27" s="722">
        <f t="shared" si="3"/>
        <v>10730.104269908927</v>
      </c>
      <c r="O27" s="722">
        <f t="shared" ca="1" si="3"/>
        <v>34176.709728816422</v>
      </c>
      <c r="P27" s="722">
        <f t="shared" si="3"/>
        <v>568.34139507175814</v>
      </c>
      <c r="Q27" s="722">
        <f t="shared" si="3"/>
        <v>820.99553483978139</v>
      </c>
      <c r="R27" s="722">
        <f t="shared" ca="1" si="3"/>
        <v>685720.40892798326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9697.5362867335607</v>
      </c>
      <c r="D40" s="712">
        <f ca="1">tertiair!C20</f>
        <v>68.660791681339134</v>
      </c>
      <c r="E40" s="712">
        <f ca="1">tertiair!D20</f>
        <v>11748.9239135875</v>
      </c>
      <c r="F40" s="712">
        <f>tertiair!E20</f>
        <v>169.50856368926176</v>
      </c>
      <c r="G40" s="712">
        <f ca="1">tertiair!F20</f>
        <v>1566.6957552622405</v>
      </c>
      <c r="H40" s="712">
        <f>tertiair!G20</f>
        <v>0</v>
      </c>
      <c r="I40" s="712">
        <f>tertiair!H20</f>
        <v>0</v>
      </c>
      <c r="J40" s="712">
        <f>tertiair!I20</f>
        <v>0</v>
      </c>
      <c r="K40" s="712">
        <f>tertiair!J20</f>
        <v>3.9026606300790995E-2</v>
      </c>
      <c r="L40" s="712">
        <f>tertiair!K20</f>
        <v>0</v>
      </c>
      <c r="M40" s="712">
        <f ca="1">tertiair!L20</f>
        <v>0</v>
      </c>
      <c r="N40" s="712">
        <f>tertiair!M20</f>
        <v>0</v>
      </c>
      <c r="O40" s="712">
        <f ca="1">tertiair!N20</f>
        <v>0</v>
      </c>
      <c r="P40" s="712">
        <f>tertiair!O20</f>
        <v>0</v>
      </c>
      <c r="Q40" s="795">
        <f>tertiair!P20</f>
        <v>0</v>
      </c>
      <c r="R40" s="875">
        <f t="shared" ca="1" si="4"/>
        <v>23251.364337560201</v>
      </c>
    </row>
    <row r="41" spans="1:18">
      <c r="A41" s="847" t="s">
        <v>224</v>
      </c>
      <c r="B41" s="854"/>
      <c r="C41" s="712">
        <f ca="1">huishoudens!B12</f>
        <v>8357.2110842600614</v>
      </c>
      <c r="D41" s="712">
        <f ca="1">huishoudens!C12</f>
        <v>0</v>
      </c>
      <c r="E41" s="712">
        <f>huishoudens!D12</f>
        <v>21353.373707025319</v>
      </c>
      <c r="F41" s="712">
        <f>huishoudens!E12</f>
        <v>4075.1598453903644</v>
      </c>
      <c r="G41" s="712">
        <f>huishoudens!F12</f>
        <v>16989.714544962921</v>
      </c>
      <c r="H41" s="712">
        <f>huishoudens!G12</f>
        <v>0</v>
      </c>
      <c r="I41" s="712">
        <f>huishoudens!H12</f>
        <v>0</v>
      </c>
      <c r="J41" s="712">
        <f>huishoudens!I12</f>
        <v>0</v>
      </c>
      <c r="K41" s="712">
        <f>huishoudens!J12</f>
        <v>1024.558547485148</v>
      </c>
      <c r="L41" s="712">
        <f>huishoudens!K12</f>
        <v>0</v>
      </c>
      <c r="M41" s="712">
        <f>huishoudens!L12</f>
        <v>0</v>
      </c>
      <c r="N41" s="712">
        <f>huishoudens!M12</f>
        <v>0</v>
      </c>
      <c r="O41" s="712">
        <f>huishoudens!N12</f>
        <v>0</v>
      </c>
      <c r="P41" s="712">
        <f>huishoudens!O12</f>
        <v>0</v>
      </c>
      <c r="Q41" s="795">
        <f>huishoudens!P12</f>
        <v>0</v>
      </c>
      <c r="R41" s="875">
        <f t="shared" ca="1" si="4"/>
        <v>51800.017729123814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3673.7887360290742</v>
      </c>
      <c r="D43" s="712">
        <f ca="1">industrie!C22</f>
        <v>0</v>
      </c>
      <c r="E43" s="712">
        <f>industrie!D22</f>
        <v>3457.1659016080566</v>
      </c>
      <c r="F43" s="712">
        <f>industrie!E22</f>
        <v>732.06083631728382</v>
      </c>
      <c r="G43" s="712">
        <f>industrie!F22</f>
        <v>2771.1816299532061</v>
      </c>
      <c r="H43" s="712">
        <f>industrie!G22</f>
        <v>0</v>
      </c>
      <c r="I43" s="712">
        <f>industrie!H22</f>
        <v>0</v>
      </c>
      <c r="J43" s="712">
        <f>industrie!I22</f>
        <v>0</v>
      </c>
      <c r="K43" s="712">
        <f>industrie!J22</f>
        <v>5.2648780243144282</v>
      </c>
      <c r="L43" s="712">
        <f>industrie!K22</f>
        <v>0</v>
      </c>
      <c r="M43" s="712">
        <f>industrie!L22</f>
        <v>0</v>
      </c>
      <c r="N43" s="712">
        <f>industrie!M22</f>
        <v>0</v>
      </c>
      <c r="O43" s="712">
        <f>industrie!N22</f>
        <v>0</v>
      </c>
      <c r="P43" s="712">
        <f>industrie!O22</f>
        <v>0</v>
      </c>
      <c r="Q43" s="795">
        <f>industrie!P22</f>
        <v>0</v>
      </c>
      <c r="R43" s="874">
        <f t="shared" ca="1" si="4"/>
        <v>10639.461981931936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21728.536107022697</v>
      </c>
      <c r="D46" s="748">
        <f t="shared" ref="D46:Q46" ca="1" si="5">SUM(D39:D45)</f>
        <v>68.660791681339134</v>
      </c>
      <c r="E46" s="748">
        <f t="shared" ca="1" si="5"/>
        <v>36559.463522220882</v>
      </c>
      <c r="F46" s="748">
        <f t="shared" si="5"/>
        <v>4976.7292453969103</v>
      </c>
      <c r="G46" s="748">
        <f t="shared" ca="1" si="5"/>
        <v>21327.591930178369</v>
      </c>
      <c r="H46" s="748">
        <f t="shared" si="5"/>
        <v>0</v>
      </c>
      <c r="I46" s="748">
        <f t="shared" si="5"/>
        <v>0</v>
      </c>
      <c r="J46" s="748">
        <f t="shared" si="5"/>
        <v>0</v>
      </c>
      <c r="K46" s="748">
        <f t="shared" si="5"/>
        <v>1029.8624521157631</v>
      </c>
      <c r="L46" s="748">
        <f t="shared" si="5"/>
        <v>0</v>
      </c>
      <c r="M46" s="748">
        <f t="shared" ca="1" si="5"/>
        <v>0</v>
      </c>
      <c r="N46" s="748">
        <f t="shared" si="5"/>
        <v>0</v>
      </c>
      <c r="O46" s="748">
        <f t="shared" ca="1" si="5"/>
        <v>0</v>
      </c>
      <c r="P46" s="748">
        <f t="shared" si="5"/>
        <v>0</v>
      </c>
      <c r="Q46" s="748">
        <f t="shared" si="5"/>
        <v>0</v>
      </c>
      <c r="R46" s="748">
        <f ca="1">SUM(R39:R45)</f>
        <v>85690.844048615952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1237.0163481202146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1237.0163481202146</v>
      </c>
    </row>
    <row r="50" spans="1:18">
      <c r="A50" s="850" t="s">
        <v>306</v>
      </c>
      <c r="B50" s="860"/>
      <c r="C50" s="718">
        <f ca="1">transport!B18</f>
        <v>20.565145775928134</v>
      </c>
      <c r="D50" s="718">
        <f>transport!C18</f>
        <v>0</v>
      </c>
      <c r="E50" s="718">
        <f>transport!D18</f>
        <v>95.313241599904757</v>
      </c>
      <c r="F50" s="718">
        <f>transport!E18</f>
        <v>83.135730820209503</v>
      </c>
      <c r="G50" s="718">
        <f>transport!F18</f>
        <v>0</v>
      </c>
      <c r="H50" s="718">
        <f>transport!G18</f>
        <v>37780.584206975836</v>
      </c>
      <c r="I50" s="718">
        <f>transport!H18</f>
        <v>8764.6291107778434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46744.227435949724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20.565145775928134</v>
      </c>
      <c r="D52" s="748">
        <f t="shared" ref="D52:Q52" ca="1" si="6">SUM(D48:D51)</f>
        <v>0</v>
      </c>
      <c r="E52" s="748">
        <f t="shared" si="6"/>
        <v>95.313241599904757</v>
      </c>
      <c r="F52" s="748">
        <f t="shared" si="6"/>
        <v>83.135730820209503</v>
      </c>
      <c r="G52" s="748">
        <f t="shared" si="6"/>
        <v>0</v>
      </c>
      <c r="H52" s="748">
        <f t="shared" si="6"/>
        <v>39017.600555096054</v>
      </c>
      <c r="I52" s="748">
        <f t="shared" si="6"/>
        <v>8764.6291107778434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47981.243784069942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402.36338225286141</v>
      </c>
      <c r="D54" s="718">
        <f ca="1">+landbouw!C12</f>
        <v>510.69069850550238</v>
      </c>
      <c r="E54" s="718">
        <f>+landbouw!D12</f>
        <v>204.823533376</v>
      </c>
      <c r="F54" s="718">
        <f>+landbouw!E12</f>
        <v>16.458770371744837</v>
      </c>
      <c r="G54" s="718">
        <f>+landbouw!F12</f>
        <v>2192.1676710417205</v>
      </c>
      <c r="H54" s="718">
        <f>+landbouw!G12</f>
        <v>0</v>
      </c>
      <c r="I54" s="718">
        <f>+landbouw!H12</f>
        <v>0</v>
      </c>
      <c r="J54" s="718">
        <f>+landbouw!I12</f>
        <v>0</v>
      </c>
      <c r="K54" s="718">
        <f>+landbouw!J12</f>
        <v>226.57821245062522</v>
      </c>
      <c r="L54" s="718">
        <f>+landbouw!K12</f>
        <v>0</v>
      </c>
      <c r="M54" s="718">
        <f>+landbouw!L12</f>
        <v>0</v>
      </c>
      <c r="N54" s="718">
        <f>+landbouw!M12</f>
        <v>0</v>
      </c>
      <c r="O54" s="718">
        <f>+landbouw!N12</f>
        <v>0</v>
      </c>
      <c r="P54" s="718">
        <f>+landbouw!O12</f>
        <v>0</v>
      </c>
      <c r="Q54" s="719">
        <f>+landbouw!P12</f>
        <v>0</v>
      </c>
      <c r="R54" s="747">
        <f ca="1">SUM(C54:Q54)</f>
        <v>3553.0822679984544</v>
      </c>
    </row>
    <row r="55" spans="1:18" ht="15" thickBot="1">
      <c r="A55" s="850" t="s">
        <v>734</v>
      </c>
      <c r="B55" s="860"/>
      <c r="C55" s="718">
        <f ca="1">C25*'EF ele_warmte'!B12</f>
        <v>248.59299812599497</v>
      </c>
      <c r="D55" s="718"/>
      <c r="E55" s="718">
        <f>E25*EF_CO2_aardgas</f>
        <v>2358.0812725320002</v>
      </c>
      <c r="F55" s="718"/>
      <c r="G55" s="718"/>
      <c r="H55" s="718"/>
      <c r="I55" s="718"/>
      <c r="J55" s="718"/>
      <c r="K55" s="718"/>
      <c r="L55" s="718"/>
      <c r="M55" s="718"/>
      <c r="N55" s="718"/>
      <c r="O55" s="718"/>
      <c r="P55" s="718"/>
      <c r="Q55" s="719"/>
      <c r="R55" s="747">
        <f ca="1">SUM(C55:Q55)</f>
        <v>2606.6742706579953</v>
      </c>
    </row>
    <row r="56" spans="1:18" ht="15.75" thickBot="1">
      <c r="A56" s="848" t="s">
        <v>735</v>
      </c>
      <c r="B56" s="861"/>
      <c r="C56" s="748">
        <f ca="1">SUM(C54:C55)</f>
        <v>650.95638037885635</v>
      </c>
      <c r="D56" s="748">
        <f t="shared" ref="D56:Q56" ca="1" si="7">SUM(D54:D55)</f>
        <v>510.69069850550238</v>
      </c>
      <c r="E56" s="748">
        <f t="shared" si="7"/>
        <v>2562.9048059080001</v>
      </c>
      <c r="F56" s="748">
        <f t="shared" si="7"/>
        <v>16.458770371744837</v>
      </c>
      <c r="G56" s="748">
        <f t="shared" si="7"/>
        <v>2192.1676710417205</v>
      </c>
      <c r="H56" s="748">
        <f t="shared" si="7"/>
        <v>0</v>
      </c>
      <c r="I56" s="748">
        <f t="shared" si="7"/>
        <v>0</v>
      </c>
      <c r="J56" s="748">
        <f t="shared" si="7"/>
        <v>0</v>
      </c>
      <c r="K56" s="748">
        <f t="shared" si="7"/>
        <v>226.57821245062522</v>
      </c>
      <c r="L56" s="748">
        <f t="shared" si="7"/>
        <v>0</v>
      </c>
      <c r="M56" s="748">
        <f t="shared" si="7"/>
        <v>0</v>
      </c>
      <c r="N56" s="748">
        <f t="shared" si="7"/>
        <v>0</v>
      </c>
      <c r="O56" s="748">
        <f t="shared" si="7"/>
        <v>0</v>
      </c>
      <c r="P56" s="748">
        <f t="shared" si="7"/>
        <v>0</v>
      </c>
      <c r="Q56" s="749">
        <f t="shared" si="7"/>
        <v>0</v>
      </c>
      <c r="R56" s="750">
        <f ca="1">SUM(R54:R55)</f>
        <v>6159.7565386564493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22400.057633177479</v>
      </c>
      <c r="D61" s="756">
        <f t="shared" ref="D61:Q61" ca="1" si="8">D46+D52+D56</f>
        <v>579.35149018684149</v>
      </c>
      <c r="E61" s="756">
        <f t="shared" ca="1" si="8"/>
        <v>39217.681569728789</v>
      </c>
      <c r="F61" s="756">
        <f t="shared" si="8"/>
        <v>5076.3237465888651</v>
      </c>
      <c r="G61" s="756">
        <f t="shared" ca="1" si="8"/>
        <v>23519.759601220088</v>
      </c>
      <c r="H61" s="756">
        <f t="shared" si="8"/>
        <v>39017.600555096054</v>
      </c>
      <c r="I61" s="756">
        <f t="shared" si="8"/>
        <v>8764.6291107778434</v>
      </c>
      <c r="J61" s="756">
        <f t="shared" si="8"/>
        <v>0</v>
      </c>
      <c r="K61" s="756">
        <f t="shared" si="8"/>
        <v>1256.4406645663883</v>
      </c>
      <c r="L61" s="756">
        <f t="shared" si="8"/>
        <v>0</v>
      </c>
      <c r="M61" s="756">
        <f t="shared" ca="1" si="8"/>
        <v>0</v>
      </c>
      <c r="N61" s="756">
        <f t="shared" si="8"/>
        <v>0</v>
      </c>
      <c r="O61" s="756">
        <f t="shared" ca="1" si="8"/>
        <v>0</v>
      </c>
      <c r="P61" s="756">
        <f t="shared" si="8"/>
        <v>0</v>
      </c>
      <c r="Q61" s="756">
        <f t="shared" si="8"/>
        <v>0</v>
      </c>
      <c r="R61" s="756">
        <f ca="1">R46+R52+R56</f>
        <v>139831.84437134236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0.17319529952134813</v>
      </c>
      <c r="D63" s="802">
        <f t="shared" ca="1" si="9"/>
        <v>2.8110677750558435E-2</v>
      </c>
      <c r="E63" s="1008">
        <f t="shared" ca="1" si="9"/>
        <v>0.20200000000000007</v>
      </c>
      <c r="F63" s="802">
        <f t="shared" si="9"/>
        <v>0.22700000000000004</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12.739126840757807</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15371.929331631993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12719.861010936656</v>
      </c>
      <c r="C76" s="769">
        <f>'lokale energieproductie'!B8*IFERROR(SUM(D76:H76)/SUM(D76:O76),0)</f>
        <v>1706.8889890633427</v>
      </c>
      <c r="D76" s="991">
        <f>'lokale energieproductie'!C8</f>
        <v>2007.6520803854899</v>
      </c>
      <c r="E76" s="992">
        <f>'lokale energieproductie'!D8</f>
        <v>0</v>
      </c>
      <c r="F76" s="992">
        <f>'lokale energieproductie'!E8</f>
        <v>0</v>
      </c>
      <c r="G76" s="992">
        <f>'lokale energieproductie'!F8</f>
        <v>0</v>
      </c>
      <c r="H76" s="992">
        <f>'lokale energieproductie'!G8</f>
        <v>0</v>
      </c>
      <c r="I76" s="992">
        <f>'lokale energieproductie'!I8</f>
        <v>0</v>
      </c>
      <c r="J76" s="992">
        <f>'lokale energieproductie'!J8</f>
        <v>14961.169463536553</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405.54572023786898</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28104.529469409405</v>
      </c>
      <c r="C78" s="774">
        <f>SUM(C72:C77)</f>
        <v>1706.8889890633427</v>
      </c>
      <c r="D78" s="775">
        <f t="shared" ref="D78:H78" si="10">SUM(D76:D77)</f>
        <v>2007.6520803854899</v>
      </c>
      <c r="E78" s="775">
        <f t="shared" si="10"/>
        <v>0</v>
      </c>
      <c r="F78" s="775">
        <f t="shared" si="10"/>
        <v>0</v>
      </c>
      <c r="G78" s="775">
        <f t="shared" si="10"/>
        <v>0</v>
      </c>
      <c r="H78" s="775">
        <f t="shared" si="10"/>
        <v>0</v>
      </c>
      <c r="I78" s="775">
        <f>SUM(I76:I77)</f>
        <v>0</v>
      </c>
      <c r="J78" s="775">
        <f>SUM(J76:J77)</f>
        <v>14961.169463536553</v>
      </c>
      <c r="K78" s="775">
        <f t="shared" ref="K78:L78" si="11">SUM(K76:K77)</f>
        <v>0</v>
      </c>
      <c r="L78" s="775">
        <f t="shared" si="11"/>
        <v>0</v>
      </c>
      <c r="M78" s="775">
        <f>SUM(M76:M77)</f>
        <v>0</v>
      </c>
      <c r="N78" s="775">
        <f>SUM(N76:N77)</f>
        <v>0</v>
      </c>
      <c r="O78" s="885">
        <f>SUM(O76:O77)</f>
        <v>0</v>
      </c>
      <c r="P78" s="776">
        <v>0</v>
      </c>
      <c r="Q78" s="776">
        <f>SUM(Q76:Q77)</f>
        <v>405.54572023786898</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18171.244483441431</v>
      </c>
      <c r="C87" s="787">
        <f>'lokale energieproductie'!B17*IFERROR(SUM(D87:H87)/SUM(D87:O87),0)</f>
        <v>2438.4147829678386</v>
      </c>
      <c r="D87" s="798">
        <f>'lokale energieproductie'!C17</f>
        <v>2868.0766840932747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21373.116250749164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579.35149018684149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18171.244483441431</v>
      </c>
      <c r="C90" s="774">
        <f>SUM(C87:C89)</f>
        <v>2438.4147829678386</v>
      </c>
      <c r="D90" s="774">
        <f t="shared" ref="D90:H90" si="12">SUM(D87:D89)</f>
        <v>2868.0766840932747</v>
      </c>
      <c r="E90" s="774">
        <f t="shared" si="12"/>
        <v>0</v>
      </c>
      <c r="F90" s="774">
        <f t="shared" si="12"/>
        <v>0</v>
      </c>
      <c r="G90" s="774">
        <f t="shared" si="12"/>
        <v>0</v>
      </c>
      <c r="H90" s="774">
        <f t="shared" si="12"/>
        <v>0</v>
      </c>
      <c r="I90" s="774">
        <f>SUM(I87:I89)</f>
        <v>0</v>
      </c>
      <c r="J90" s="774">
        <f>SUM(J87:J89)</f>
        <v>21373.116250749164</v>
      </c>
      <c r="K90" s="774">
        <f t="shared" ref="K90:L90" si="13">SUM(K87:K89)</f>
        <v>0</v>
      </c>
      <c r="L90" s="774">
        <f t="shared" si="13"/>
        <v>0</v>
      </c>
      <c r="M90" s="774">
        <f>SUM(M87:M89)</f>
        <v>0</v>
      </c>
      <c r="N90" s="774">
        <f>SUM(N87:N89)</f>
        <v>0</v>
      </c>
      <c r="O90" s="774">
        <f>SUM(O87:O89)</f>
        <v>0</v>
      </c>
      <c r="P90" s="774">
        <v>0</v>
      </c>
      <c r="Q90" s="774">
        <f>SUM(Q87:Q89)</f>
        <v>579.35149018684149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48253.1056406063</v>
      </c>
      <c r="C4" s="478">
        <f>huishoudens!C8</f>
        <v>0</v>
      </c>
      <c r="D4" s="478">
        <f>huishoudens!D8</f>
        <v>105709.770826858</v>
      </c>
      <c r="E4" s="478">
        <f>huishoudens!E8</f>
        <v>17952.246014935525</v>
      </c>
      <c r="F4" s="478">
        <f>huishoudens!F8</f>
        <v>63631.889681509056</v>
      </c>
      <c r="G4" s="478">
        <f>huishoudens!G8</f>
        <v>0</v>
      </c>
      <c r="H4" s="478">
        <f>huishoudens!H8</f>
        <v>0</v>
      </c>
      <c r="I4" s="478">
        <f>huishoudens!I8</f>
        <v>0</v>
      </c>
      <c r="J4" s="478">
        <f>huishoudens!J8</f>
        <v>2894.233184986294</v>
      </c>
      <c r="K4" s="478">
        <f>huishoudens!K8</f>
        <v>0</v>
      </c>
      <c r="L4" s="478">
        <f>huishoudens!L8</f>
        <v>0</v>
      </c>
      <c r="M4" s="478">
        <f>huishoudens!M8</f>
        <v>0</v>
      </c>
      <c r="N4" s="478">
        <f>huishoudens!N8</f>
        <v>28656.632309680492</v>
      </c>
      <c r="O4" s="478">
        <f>huishoudens!O8</f>
        <v>563.44413430591703</v>
      </c>
      <c r="P4" s="479">
        <f>huishoudens!P8</f>
        <v>558.29984330730622</v>
      </c>
      <c r="Q4" s="480">
        <f>SUM(B4:P4)</f>
        <v>268219.62163618888</v>
      </c>
    </row>
    <row r="5" spans="1:17">
      <c r="A5" s="477" t="s">
        <v>155</v>
      </c>
      <c r="B5" s="478">
        <f ca="1">tertiair!B16</f>
        <v>53764.573831000002</v>
      </c>
      <c r="C5" s="478">
        <f ca="1">tertiair!C16</f>
        <v>2442.5164092664095</v>
      </c>
      <c r="D5" s="478">
        <f ca="1">tertiair!D16</f>
        <v>58162.989671225238</v>
      </c>
      <c r="E5" s="478">
        <f>tertiair!E16</f>
        <v>746.73376074564646</v>
      </c>
      <c r="F5" s="478">
        <f ca="1">tertiair!F16</f>
        <v>5867.7743642780542</v>
      </c>
      <c r="G5" s="478">
        <f>tertiair!G16</f>
        <v>0</v>
      </c>
      <c r="H5" s="478">
        <f>tertiair!H16</f>
        <v>0</v>
      </c>
      <c r="I5" s="478">
        <f>tertiair!I16</f>
        <v>0</v>
      </c>
      <c r="J5" s="478">
        <f>tertiair!J16</f>
        <v>0.1102446505672062</v>
      </c>
      <c r="K5" s="478">
        <f>tertiair!K16</f>
        <v>0</v>
      </c>
      <c r="L5" s="478">
        <f ca="1">tertiair!L16</f>
        <v>0</v>
      </c>
      <c r="M5" s="478">
        <f>tertiair!M16</f>
        <v>0</v>
      </c>
      <c r="N5" s="478">
        <f ca="1">tertiair!N16</f>
        <v>4357.2788764095358</v>
      </c>
      <c r="O5" s="478">
        <f>tertiair!O16</f>
        <v>4.8972607658411542</v>
      </c>
      <c r="P5" s="479">
        <f>tertiair!P16</f>
        <v>262.69569153247511</v>
      </c>
      <c r="Q5" s="477">
        <f t="shared" ref="Q5:Q14" ca="1" si="0">SUM(B5:P5)</f>
        <v>125609.57010987376</v>
      </c>
    </row>
    <row r="6" spans="1:17">
      <c r="A6" s="477" t="s">
        <v>193</v>
      </c>
      <c r="B6" s="478">
        <f>'openbare verlichting'!B8</f>
        <v>2227.34</v>
      </c>
      <c r="C6" s="478"/>
      <c r="D6" s="478"/>
      <c r="E6" s="478"/>
      <c r="F6" s="478"/>
      <c r="G6" s="478"/>
      <c r="H6" s="478"/>
      <c r="I6" s="478"/>
      <c r="J6" s="478"/>
      <c r="K6" s="478"/>
      <c r="L6" s="478"/>
      <c r="M6" s="478"/>
      <c r="N6" s="478"/>
      <c r="O6" s="478"/>
      <c r="P6" s="479"/>
      <c r="Q6" s="477">
        <f t="shared" si="0"/>
        <v>2227.34</v>
      </c>
    </row>
    <row r="7" spans="1:17">
      <c r="A7" s="477" t="s">
        <v>111</v>
      </c>
      <c r="B7" s="478">
        <f>landbouw!B8</f>
        <v>2323.1772650000003</v>
      </c>
      <c r="C7" s="478">
        <f>landbouw!C8</f>
        <v>18167.142857142859</v>
      </c>
      <c r="D7" s="478">
        <f>landbouw!D8</f>
        <v>1013.977888</v>
      </c>
      <c r="E7" s="478">
        <f>landbouw!E8</f>
        <v>72.505596351298834</v>
      </c>
      <c r="F7" s="478">
        <f>landbouw!F8</f>
        <v>8210.3658091450197</v>
      </c>
      <c r="G7" s="478">
        <f>landbouw!G8</f>
        <v>0</v>
      </c>
      <c r="H7" s="478">
        <f>landbouw!H8</f>
        <v>0</v>
      </c>
      <c r="I7" s="478">
        <f>landbouw!I8</f>
        <v>0</v>
      </c>
      <c r="J7" s="478">
        <f>landbouw!J8</f>
        <v>640.05144760063627</v>
      </c>
      <c r="K7" s="478">
        <f>landbouw!K8</f>
        <v>0</v>
      </c>
      <c r="L7" s="478">
        <f>landbouw!L8</f>
        <v>0</v>
      </c>
      <c r="M7" s="478">
        <f>landbouw!M8</f>
        <v>0</v>
      </c>
      <c r="N7" s="478">
        <f>landbouw!N8</f>
        <v>0</v>
      </c>
      <c r="O7" s="478">
        <f>landbouw!O8</f>
        <v>0</v>
      </c>
      <c r="P7" s="479">
        <f>landbouw!P8</f>
        <v>0</v>
      </c>
      <c r="Q7" s="477">
        <f t="shared" si="0"/>
        <v>30427.220863239818</v>
      </c>
    </row>
    <row r="8" spans="1:17">
      <c r="A8" s="477" t="s">
        <v>629</v>
      </c>
      <c r="B8" s="478">
        <f>industrie!B18</f>
        <v>21211.827031000004</v>
      </c>
      <c r="C8" s="478">
        <f>industrie!C18</f>
        <v>0</v>
      </c>
      <c r="D8" s="478">
        <f>industrie!D18</f>
        <v>17114.682681228001</v>
      </c>
      <c r="E8" s="478">
        <f>industrie!E18</f>
        <v>3224.937604921955</v>
      </c>
      <c r="F8" s="478">
        <f>industrie!F18</f>
        <v>10378.957415555078</v>
      </c>
      <c r="G8" s="478">
        <f>industrie!G18</f>
        <v>0</v>
      </c>
      <c r="H8" s="478">
        <f>industrie!H18</f>
        <v>0</v>
      </c>
      <c r="I8" s="478">
        <f>industrie!I18</f>
        <v>0</v>
      </c>
      <c r="J8" s="478">
        <f>industrie!J18</f>
        <v>14.872536791848667</v>
      </c>
      <c r="K8" s="478">
        <f>industrie!K18</f>
        <v>0</v>
      </c>
      <c r="L8" s="478">
        <f>industrie!L18</f>
        <v>0</v>
      </c>
      <c r="M8" s="478">
        <f>industrie!M18</f>
        <v>0</v>
      </c>
      <c r="N8" s="478">
        <f>industrie!N18</f>
        <v>1162.798542726395</v>
      </c>
      <c r="O8" s="478">
        <f>industrie!O18</f>
        <v>0</v>
      </c>
      <c r="P8" s="479">
        <f>industrie!P18</f>
        <v>0</v>
      </c>
      <c r="Q8" s="477">
        <f t="shared" si="0"/>
        <v>53108.07581222328</v>
      </c>
    </row>
    <row r="9" spans="1:17" s="483" customFormat="1">
      <c r="A9" s="481" t="s">
        <v>555</v>
      </c>
      <c r="B9" s="482">
        <f>transport!B14</f>
        <v>118.73962995972222</v>
      </c>
      <c r="C9" s="482">
        <f>transport!C14</f>
        <v>0</v>
      </c>
      <c r="D9" s="482">
        <f>transport!D14</f>
        <v>471.84773069259779</v>
      </c>
      <c r="E9" s="482">
        <f>transport!E14</f>
        <v>366.23669964850001</v>
      </c>
      <c r="F9" s="482">
        <f>transport!F14</f>
        <v>0</v>
      </c>
      <c r="G9" s="482">
        <f>transport!G14</f>
        <v>141500.31538193196</v>
      </c>
      <c r="H9" s="482">
        <f>transport!H14</f>
        <v>35199.313697902988</v>
      </c>
      <c r="I9" s="482">
        <f>transport!I14</f>
        <v>0</v>
      </c>
      <c r="J9" s="482">
        <f>transport!J14</f>
        <v>0</v>
      </c>
      <c r="K9" s="482">
        <f>transport!K14</f>
        <v>0</v>
      </c>
      <c r="L9" s="482">
        <f>transport!L14</f>
        <v>0</v>
      </c>
      <c r="M9" s="482">
        <f>transport!M14</f>
        <v>10472.600504003078</v>
      </c>
      <c r="N9" s="482">
        <f>transport!N14</f>
        <v>0</v>
      </c>
      <c r="O9" s="482">
        <f>transport!O14</f>
        <v>0</v>
      </c>
      <c r="P9" s="482">
        <f>transport!P14</f>
        <v>0</v>
      </c>
      <c r="Q9" s="481">
        <f>SUM(B9:P9)</f>
        <v>188129.05364413885</v>
      </c>
    </row>
    <row r="10" spans="1:17">
      <c r="A10" s="477" t="s">
        <v>545</v>
      </c>
      <c r="B10" s="478">
        <f>transport!B54</f>
        <v>0</v>
      </c>
      <c r="C10" s="478">
        <f>transport!C54</f>
        <v>0</v>
      </c>
      <c r="D10" s="478">
        <f>transport!D54</f>
        <v>0</v>
      </c>
      <c r="E10" s="478">
        <f>transport!E54</f>
        <v>0</v>
      </c>
      <c r="F10" s="478">
        <f>transport!F54</f>
        <v>0</v>
      </c>
      <c r="G10" s="478">
        <f>transport!G54</f>
        <v>4633.0200304127884</v>
      </c>
      <c r="H10" s="478">
        <f>transport!H54</f>
        <v>0</v>
      </c>
      <c r="I10" s="478">
        <f>transport!I54</f>
        <v>0</v>
      </c>
      <c r="J10" s="478">
        <f>transport!J54</f>
        <v>0</v>
      </c>
      <c r="K10" s="478">
        <f>transport!K54</f>
        <v>0</v>
      </c>
      <c r="L10" s="478">
        <f>transport!L54</f>
        <v>0</v>
      </c>
      <c r="M10" s="478">
        <f>transport!M54</f>
        <v>257.50376590584864</v>
      </c>
      <c r="N10" s="478">
        <f>transport!N54</f>
        <v>0</v>
      </c>
      <c r="O10" s="478">
        <f>transport!O54</f>
        <v>0</v>
      </c>
      <c r="P10" s="479">
        <f>transport!P54</f>
        <v>0</v>
      </c>
      <c r="Q10" s="477">
        <f t="shared" si="0"/>
        <v>4890.5237963186373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1435.3334</v>
      </c>
      <c r="C14" s="485"/>
      <c r="D14" s="485">
        <f>'SEAP template'!E25</f>
        <v>11673.669666</v>
      </c>
      <c r="E14" s="485"/>
      <c r="F14" s="485"/>
      <c r="G14" s="485"/>
      <c r="H14" s="485"/>
      <c r="I14" s="485"/>
      <c r="J14" s="485"/>
      <c r="K14" s="485"/>
      <c r="L14" s="485"/>
      <c r="M14" s="485"/>
      <c r="N14" s="485"/>
      <c r="O14" s="485"/>
      <c r="P14" s="486"/>
      <c r="Q14" s="477">
        <f t="shared" si="0"/>
        <v>13109.003065999999</v>
      </c>
    </row>
    <row r="15" spans="1:17" s="489" customFormat="1">
      <c r="A15" s="487" t="s">
        <v>549</v>
      </c>
      <c r="B15" s="488">
        <f ca="1">SUM(B4:B14)</f>
        <v>129334.09679756603</v>
      </c>
      <c r="C15" s="488">
        <f t="shared" ref="C15:Q15" ca="1" si="1">SUM(C4:C14)</f>
        <v>20609.659266409268</v>
      </c>
      <c r="D15" s="488">
        <f t="shared" ca="1" si="1"/>
        <v>194146.93846400385</v>
      </c>
      <c r="E15" s="488">
        <f t="shared" si="1"/>
        <v>22362.659676602925</v>
      </c>
      <c r="F15" s="488">
        <f t="shared" ca="1" si="1"/>
        <v>88088.98727048721</v>
      </c>
      <c r="G15" s="488">
        <f t="shared" si="1"/>
        <v>146133.33541234475</v>
      </c>
      <c r="H15" s="488">
        <f t="shared" si="1"/>
        <v>35199.313697902988</v>
      </c>
      <c r="I15" s="488">
        <f t="shared" si="1"/>
        <v>0</v>
      </c>
      <c r="J15" s="488">
        <f t="shared" si="1"/>
        <v>3549.2674140293457</v>
      </c>
      <c r="K15" s="488">
        <f t="shared" si="1"/>
        <v>0</v>
      </c>
      <c r="L15" s="488">
        <f t="shared" ca="1" si="1"/>
        <v>0</v>
      </c>
      <c r="M15" s="488">
        <f t="shared" si="1"/>
        <v>10730.104269908927</v>
      </c>
      <c r="N15" s="488">
        <f t="shared" ca="1" si="1"/>
        <v>34176.709728816422</v>
      </c>
      <c r="O15" s="488">
        <f t="shared" si="1"/>
        <v>568.34139507175814</v>
      </c>
      <c r="P15" s="488">
        <f t="shared" si="1"/>
        <v>820.99553483978139</v>
      </c>
      <c r="Q15" s="488">
        <f t="shared" ca="1" si="1"/>
        <v>685720.40892798326</v>
      </c>
    </row>
    <row r="17" spans="1:17">
      <c r="A17" s="490" t="s">
        <v>550</v>
      </c>
      <c r="B17" s="807">
        <f ca="1">huishoudens!B10</f>
        <v>0.17319529952134813</v>
      </c>
      <c r="C17" s="807">
        <f ca="1">huishoudens!C10</f>
        <v>2.8110677750558435E-2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8357.2110842600614</v>
      </c>
      <c r="C22" s="478">
        <f t="shared" ref="C22:C32" ca="1" si="3">C4*$C$17</f>
        <v>0</v>
      </c>
      <c r="D22" s="478">
        <f t="shared" ref="D22:D32" si="4">D4*$D$17</f>
        <v>21353.373707025319</v>
      </c>
      <c r="E22" s="478">
        <f t="shared" ref="E22:E32" si="5">E4*$E$17</f>
        <v>4075.1598453903644</v>
      </c>
      <c r="F22" s="478">
        <f t="shared" ref="F22:F32" si="6">F4*$F$17</f>
        <v>16989.714544962921</v>
      </c>
      <c r="G22" s="478">
        <f t="shared" ref="G22:G32" si="7">G4*$G$17</f>
        <v>0</v>
      </c>
      <c r="H22" s="478">
        <f t="shared" ref="H22:H32" si="8">H4*$H$17</f>
        <v>0</v>
      </c>
      <c r="I22" s="478">
        <f t="shared" ref="I22:I32" si="9">I4*$I$17</f>
        <v>0</v>
      </c>
      <c r="J22" s="478">
        <f t="shared" ref="J22:J32" si="10">J4*$J$17</f>
        <v>1024.558547485148</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51800.017729123814</v>
      </c>
    </row>
    <row r="23" spans="1:17">
      <c r="A23" s="477" t="s">
        <v>155</v>
      </c>
      <c r="B23" s="478">
        <f t="shared" ca="1" si="2"/>
        <v>9311.7714682976803</v>
      </c>
      <c r="C23" s="478">
        <f t="shared" ca="1" si="3"/>
        <v>68.660791681339134</v>
      </c>
      <c r="D23" s="478">
        <f t="shared" ca="1" si="4"/>
        <v>11748.9239135875</v>
      </c>
      <c r="E23" s="478">
        <f t="shared" si="5"/>
        <v>169.50856368926176</v>
      </c>
      <c r="F23" s="478">
        <f t="shared" ca="1" si="6"/>
        <v>1566.6957552622405</v>
      </c>
      <c r="G23" s="478">
        <f t="shared" si="7"/>
        <v>0</v>
      </c>
      <c r="H23" s="478">
        <f t="shared" si="8"/>
        <v>0</v>
      </c>
      <c r="I23" s="478">
        <f t="shared" si="9"/>
        <v>0</v>
      </c>
      <c r="J23" s="478">
        <f t="shared" si="10"/>
        <v>3.9026606300790995E-2</v>
      </c>
      <c r="K23" s="478">
        <f t="shared" si="11"/>
        <v>0</v>
      </c>
      <c r="L23" s="478">
        <f t="shared" ca="1" si="12"/>
        <v>0</v>
      </c>
      <c r="M23" s="478">
        <f t="shared" si="13"/>
        <v>0</v>
      </c>
      <c r="N23" s="478">
        <f t="shared" ca="1" si="14"/>
        <v>0</v>
      </c>
      <c r="O23" s="478">
        <f t="shared" si="15"/>
        <v>0</v>
      </c>
      <c r="P23" s="479">
        <f t="shared" si="16"/>
        <v>0</v>
      </c>
      <c r="Q23" s="477">
        <f t="shared" ref="Q23:Q31" ca="1" si="17">SUM(B23:P23)</f>
        <v>22865.599519124324</v>
      </c>
    </row>
    <row r="24" spans="1:17">
      <c r="A24" s="477" t="s">
        <v>193</v>
      </c>
      <c r="B24" s="478">
        <f t="shared" ca="1" si="2"/>
        <v>385.76481843587959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385.76481843587959</v>
      </c>
    </row>
    <row r="25" spans="1:17">
      <c r="A25" s="477" t="s">
        <v>111</v>
      </c>
      <c r="B25" s="478">
        <f t="shared" ca="1" si="2"/>
        <v>402.36338225286141</v>
      </c>
      <c r="C25" s="478">
        <f t="shared" ca="1" si="3"/>
        <v>510.69069850550238</v>
      </c>
      <c r="D25" s="478">
        <f t="shared" si="4"/>
        <v>204.823533376</v>
      </c>
      <c r="E25" s="478">
        <f t="shared" si="5"/>
        <v>16.458770371744837</v>
      </c>
      <c r="F25" s="478">
        <f t="shared" si="6"/>
        <v>2192.1676710417205</v>
      </c>
      <c r="G25" s="478">
        <f t="shared" si="7"/>
        <v>0</v>
      </c>
      <c r="H25" s="478">
        <f t="shared" si="8"/>
        <v>0</v>
      </c>
      <c r="I25" s="478">
        <f t="shared" si="9"/>
        <v>0</v>
      </c>
      <c r="J25" s="478">
        <f t="shared" si="10"/>
        <v>226.57821245062522</v>
      </c>
      <c r="K25" s="478">
        <f t="shared" si="11"/>
        <v>0</v>
      </c>
      <c r="L25" s="478">
        <f t="shared" si="12"/>
        <v>0</v>
      </c>
      <c r="M25" s="478">
        <f t="shared" si="13"/>
        <v>0</v>
      </c>
      <c r="N25" s="478">
        <f t="shared" si="14"/>
        <v>0</v>
      </c>
      <c r="O25" s="478">
        <f t="shared" si="15"/>
        <v>0</v>
      </c>
      <c r="P25" s="479">
        <f t="shared" si="16"/>
        <v>0</v>
      </c>
      <c r="Q25" s="477">
        <f t="shared" ca="1" si="17"/>
        <v>3553.0822679984544</v>
      </c>
    </row>
    <row r="26" spans="1:17">
      <c r="A26" s="477" t="s">
        <v>629</v>
      </c>
      <c r="B26" s="478">
        <f t="shared" ca="1" si="2"/>
        <v>3673.7887360290742</v>
      </c>
      <c r="C26" s="478">
        <f t="shared" ca="1" si="3"/>
        <v>0</v>
      </c>
      <c r="D26" s="478">
        <f t="shared" si="4"/>
        <v>3457.1659016080566</v>
      </c>
      <c r="E26" s="478">
        <f t="shared" si="5"/>
        <v>732.06083631728382</v>
      </c>
      <c r="F26" s="478">
        <f t="shared" si="6"/>
        <v>2771.1816299532061</v>
      </c>
      <c r="G26" s="478">
        <f t="shared" si="7"/>
        <v>0</v>
      </c>
      <c r="H26" s="478">
        <f t="shared" si="8"/>
        <v>0</v>
      </c>
      <c r="I26" s="478">
        <f t="shared" si="9"/>
        <v>0</v>
      </c>
      <c r="J26" s="478">
        <f t="shared" si="10"/>
        <v>5.2648780243144282</v>
      </c>
      <c r="K26" s="478">
        <f t="shared" si="11"/>
        <v>0</v>
      </c>
      <c r="L26" s="478">
        <f t="shared" si="12"/>
        <v>0</v>
      </c>
      <c r="M26" s="478">
        <f t="shared" si="13"/>
        <v>0</v>
      </c>
      <c r="N26" s="478">
        <f t="shared" si="14"/>
        <v>0</v>
      </c>
      <c r="O26" s="478">
        <f t="shared" si="15"/>
        <v>0</v>
      </c>
      <c r="P26" s="479">
        <f t="shared" si="16"/>
        <v>0</v>
      </c>
      <c r="Q26" s="477">
        <f t="shared" ca="1" si="17"/>
        <v>10639.461981931936</v>
      </c>
    </row>
    <row r="27" spans="1:17" s="483" customFormat="1">
      <c r="A27" s="481" t="s">
        <v>555</v>
      </c>
      <c r="B27" s="801">
        <f t="shared" ca="1" si="2"/>
        <v>20.565145775928134</v>
      </c>
      <c r="C27" s="482">
        <f t="shared" ca="1" si="3"/>
        <v>0</v>
      </c>
      <c r="D27" s="482">
        <f t="shared" si="4"/>
        <v>95.313241599904757</v>
      </c>
      <c r="E27" s="482">
        <f t="shared" si="5"/>
        <v>83.135730820209503</v>
      </c>
      <c r="F27" s="482">
        <f t="shared" si="6"/>
        <v>0</v>
      </c>
      <c r="G27" s="482">
        <f t="shared" si="7"/>
        <v>37780.584206975836</v>
      </c>
      <c r="H27" s="482">
        <f t="shared" si="8"/>
        <v>8764.6291107778434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46744.227435949724</v>
      </c>
    </row>
    <row r="28" spans="1:17" ht="16.5" customHeight="1">
      <c r="A28" s="477" t="s">
        <v>545</v>
      </c>
      <c r="B28" s="478">
        <f t="shared" ca="1" si="2"/>
        <v>0</v>
      </c>
      <c r="C28" s="478">
        <f t="shared" ca="1" si="3"/>
        <v>0</v>
      </c>
      <c r="D28" s="478">
        <f t="shared" si="4"/>
        <v>0</v>
      </c>
      <c r="E28" s="478">
        <f t="shared" si="5"/>
        <v>0</v>
      </c>
      <c r="F28" s="478">
        <f t="shared" si="6"/>
        <v>0</v>
      </c>
      <c r="G28" s="478">
        <f t="shared" si="7"/>
        <v>1237.0163481202146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1237.0163481202146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248.59299812599497</v>
      </c>
      <c r="C32" s="478">
        <f t="shared" ca="1" si="3"/>
        <v>0</v>
      </c>
      <c r="D32" s="478">
        <f t="shared" si="4"/>
        <v>2358.0812725320002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2606.6742706579953</v>
      </c>
    </row>
    <row r="33" spans="1:17" s="489" customFormat="1">
      <c r="A33" s="487" t="s">
        <v>549</v>
      </c>
      <c r="B33" s="488">
        <f ca="1">SUM(B22:B32)</f>
        <v>22400.057633177476</v>
      </c>
      <c r="C33" s="488">
        <f t="shared" ref="C33:Q33" ca="1" si="19">SUM(C22:C32)</f>
        <v>579.35149018684149</v>
      </c>
      <c r="D33" s="488">
        <f t="shared" ca="1" si="19"/>
        <v>39217.681569728789</v>
      </c>
      <c r="E33" s="488">
        <f t="shared" si="19"/>
        <v>5076.3237465888651</v>
      </c>
      <c r="F33" s="488">
        <f t="shared" ca="1" si="19"/>
        <v>23519.759601220088</v>
      </c>
      <c r="G33" s="488">
        <f t="shared" si="19"/>
        <v>39017.600555096054</v>
      </c>
      <c r="H33" s="488">
        <f t="shared" si="19"/>
        <v>8764.6291107778434</v>
      </c>
      <c r="I33" s="488">
        <f t="shared" si="19"/>
        <v>0</v>
      </c>
      <c r="J33" s="488">
        <f t="shared" si="19"/>
        <v>1256.4406645663883</v>
      </c>
      <c r="K33" s="488">
        <f t="shared" si="19"/>
        <v>0</v>
      </c>
      <c r="L33" s="488">
        <f t="shared" ca="1" si="19"/>
        <v>0</v>
      </c>
      <c r="M33" s="488">
        <f t="shared" si="19"/>
        <v>0</v>
      </c>
      <c r="N33" s="488">
        <f t="shared" ca="1" si="19"/>
        <v>0</v>
      </c>
      <c r="O33" s="488">
        <f t="shared" si="19"/>
        <v>0</v>
      </c>
      <c r="P33" s="488">
        <f t="shared" si="19"/>
        <v>0</v>
      </c>
      <c r="Q33" s="488">
        <f t="shared" ca="1" si="19"/>
        <v>139831.84437134233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12.739126840757807</v>
      </c>
      <c r="C5" s="1062"/>
      <c r="D5" s="1062"/>
      <c r="E5" s="1062"/>
      <c r="F5" s="1062"/>
      <c r="G5" s="1062"/>
      <c r="H5" s="1062"/>
      <c r="I5" s="1062"/>
      <c r="J5" s="1062"/>
      <c r="K5" s="1062"/>
      <c r="L5" s="1062"/>
      <c r="M5" s="1062"/>
      <c r="N5" s="1062"/>
      <c r="O5" s="1062"/>
      <c r="P5" s="1063">
        <f>'SEAP template'!Q73</f>
        <v>0</v>
      </c>
    </row>
    <row r="6" spans="1:16">
      <c r="A6" s="1067" t="s">
        <v>250</v>
      </c>
      <c r="B6" s="1062">
        <f>'SEAP template'!B74</f>
        <v>15371.929331631993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12719.861010936656</v>
      </c>
      <c r="C8" s="1062">
        <f>'SEAP template'!C76</f>
        <v>1706.8889890633427</v>
      </c>
      <c r="D8" s="1062">
        <f>'SEAP template'!D76</f>
        <v>2007.6520803854899</v>
      </c>
      <c r="E8" s="1062">
        <f>'SEAP template'!E76</f>
        <v>0</v>
      </c>
      <c r="F8" s="1062">
        <f>'SEAP template'!F76</f>
        <v>0</v>
      </c>
      <c r="G8" s="1062">
        <f>'SEAP template'!G76</f>
        <v>0</v>
      </c>
      <c r="H8" s="1062">
        <f>'SEAP template'!H76</f>
        <v>0</v>
      </c>
      <c r="I8" s="1062">
        <f>'SEAP template'!I76</f>
        <v>0</v>
      </c>
      <c r="J8" s="1062">
        <f>'SEAP template'!J76</f>
        <v>14961.169463536553</v>
      </c>
      <c r="K8" s="1062">
        <f>'SEAP template'!K76</f>
        <v>0</v>
      </c>
      <c r="L8" s="1062">
        <f>'SEAP template'!L76</f>
        <v>0</v>
      </c>
      <c r="M8" s="1062">
        <f>'SEAP template'!M76</f>
        <v>0</v>
      </c>
      <c r="N8" s="1062">
        <f>'SEAP template'!N76</f>
        <v>0</v>
      </c>
      <c r="O8" s="1062">
        <f>'SEAP template'!O76</f>
        <v>0</v>
      </c>
      <c r="P8" s="1063">
        <f>'SEAP template'!Q76</f>
        <v>405.54572023786898</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28104.529469409405</v>
      </c>
      <c r="C10" s="1064">
        <f>SUM(C4:C9)</f>
        <v>1706.8889890633427</v>
      </c>
      <c r="D10" s="1064">
        <f t="shared" ref="D10:H10" si="0">SUM(D8:D9)</f>
        <v>2007.6520803854899</v>
      </c>
      <c r="E10" s="1064">
        <f t="shared" si="0"/>
        <v>0</v>
      </c>
      <c r="F10" s="1064">
        <f t="shared" si="0"/>
        <v>0</v>
      </c>
      <c r="G10" s="1064">
        <f t="shared" si="0"/>
        <v>0</v>
      </c>
      <c r="H10" s="1064">
        <f t="shared" si="0"/>
        <v>0</v>
      </c>
      <c r="I10" s="1064">
        <f>SUM(I8:I9)</f>
        <v>0</v>
      </c>
      <c r="J10" s="1064">
        <f>SUM(J8:J9)</f>
        <v>14961.169463536553</v>
      </c>
      <c r="K10" s="1064">
        <f t="shared" ref="K10:L10" si="1">SUM(K8:K9)</f>
        <v>0</v>
      </c>
      <c r="L10" s="1064">
        <f t="shared" si="1"/>
        <v>0</v>
      </c>
      <c r="M10" s="1064">
        <f>SUM(M8:M9)</f>
        <v>0</v>
      </c>
      <c r="N10" s="1064">
        <f>SUM(N8:N9)</f>
        <v>0</v>
      </c>
      <c r="O10" s="1064">
        <f>SUM(O8:O9)</f>
        <v>0</v>
      </c>
      <c r="P10" s="1064">
        <f>SUM(P8:P9)</f>
        <v>405.54572023786898</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0.17319529952134813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18171.244483441431</v>
      </c>
      <c r="C17" s="1065">
        <f>'SEAP template'!C87</f>
        <v>2438.4147829678386</v>
      </c>
      <c r="D17" s="1063">
        <f>'SEAP template'!D87</f>
        <v>2868.0766840932747</v>
      </c>
      <c r="E17" s="1063">
        <f>'SEAP template'!E87</f>
        <v>0</v>
      </c>
      <c r="F17" s="1063">
        <f>'SEAP template'!F87</f>
        <v>0</v>
      </c>
      <c r="G17" s="1063">
        <f>'SEAP template'!G87</f>
        <v>0</v>
      </c>
      <c r="H17" s="1063">
        <f>'SEAP template'!H87</f>
        <v>0</v>
      </c>
      <c r="I17" s="1063">
        <f>'SEAP template'!I87</f>
        <v>0</v>
      </c>
      <c r="J17" s="1063">
        <f>'SEAP template'!J87</f>
        <v>21373.116250749164</v>
      </c>
      <c r="K17" s="1063">
        <f>'SEAP template'!K87</f>
        <v>0</v>
      </c>
      <c r="L17" s="1063">
        <f>'SEAP template'!L87</f>
        <v>0</v>
      </c>
      <c r="M17" s="1063">
        <f>'SEAP template'!M87</f>
        <v>0</v>
      </c>
      <c r="N17" s="1063">
        <f>'SEAP template'!N87</f>
        <v>0</v>
      </c>
      <c r="O17" s="1063">
        <f>'SEAP template'!O87</f>
        <v>0</v>
      </c>
      <c r="P17" s="1063">
        <f>'SEAP template'!Q87</f>
        <v>579.35149018684149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18171.244483441431</v>
      </c>
      <c r="C20" s="1064">
        <f>SUM(C17:C19)</f>
        <v>2438.4147829678386</v>
      </c>
      <c r="D20" s="1064">
        <f t="shared" ref="D20:H20" si="2">SUM(D17:D19)</f>
        <v>2868.0766840932747</v>
      </c>
      <c r="E20" s="1064">
        <f t="shared" si="2"/>
        <v>0</v>
      </c>
      <c r="F20" s="1064">
        <f t="shared" si="2"/>
        <v>0</v>
      </c>
      <c r="G20" s="1064">
        <f t="shared" si="2"/>
        <v>0</v>
      </c>
      <c r="H20" s="1064">
        <f t="shared" si="2"/>
        <v>0</v>
      </c>
      <c r="I20" s="1064">
        <f>SUM(I17:I19)</f>
        <v>0</v>
      </c>
      <c r="J20" s="1064">
        <f>SUM(J17:J19)</f>
        <v>21373.116250749164</v>
      </c>
      <c r="K20" s="1064">
        <f t="shared" ref="K20:L20" si="3">SUM(K17:K19)</f>
        <v>0</v>
      </c>
      <c r="L20" s="1064">
        <f t="shared" si="3"/>
        <v>0</v>
      </c>
      <c r="M20" s="1064">
        <f>SUM(M17:M19)</f>
        <v>0</v>
      </c>
      <c r="N20" s="1064">
        <f>SUM(N17:N19)</f>
        <v>0</v>
      </c>
      <c r="O20" s="1064">
        <f>SUM(O17:O19)</f>
        <v>0</v>
      </c>
      <c r="P20" s="1064">
        <f>SUM(P17:P19)</f>
        <v>579.35149018684149</v>
      </c>
    </row>
    <row r="21" spans="1:16">
      <c r="B21" s="913"/>
    </row>
    <row r="22" spans="1:16">
      <c r="A22" s="490" t="s">
        <v>814</v>
      </c>
      <c r="B22" s="807" t="s">
        <v>812</v>
      </c>
      <c r="C22" s="807">
        <f ca="1">'EF ele_warmte'!B22</f>
        <v>2.8110677750558435E-2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0.17319529952134813</v>
      </c>
      <c r="C17" s="527">
        <f ca="1">'EF ele_warmte'!B22</f>
        <v>2.8110677750558435E-2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0.17319529952134813</v>
      </c>
      <c r="C17" s="527">
        <f ca="1">'EF ele_warmte'!B22</f>
        <v>2.8110677750558435E-2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0.17319529952134813</v>
      </c>
      <c r="C29" s="528">
        <f ca="1">'EF ele_warmte'!B22</f>
        <v>2.8110677750558435E-2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73083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13338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5737.1</v>
      </c>
    </row>
    <row r="15" spans="1:6">
      <c r="A15" s="348" t="s">
        <v>183</v>
      </c>
      <c r="B15" s="334">
        <v>18</v>
      </c>
    </row>
    <row r="16" spans="1:6">
      <c r="A16" s="348" t="s">
        <v>6</v>
      </c>
      <c r="B16" s="334">
        <v>474</v>
      </c>
    </row>
    <row r="17" spans="1:6">
      <c r="A17" s="348" t="s">
        <v>7</v>
      </c>
      <c r="B17" s="334">
        <v>1021</v>
      </c>
    </row>
    <row r="18" spans="1:6">
      <c r="A18" s="348" t="s">
        <v>8</v>
      </c>
      <c r="B18" s="334">
        <v>1208</v>
      </c>
    </row>
    <row r="19" spans="1:6">
      <c r="A19" s="348" t="s">
        <v>9</v>
      </c>
      <c r="B19" s="334">
        <v>1056</v>
      </c>
    </row>
    <row r="20" spans="1:6">
      <c r="A20" s="348" t="s">
        <v>10</v>
      </c>
      <c r="B20" s="334">
        <v>728</v>
      </c>
    </row>
    <row r="21" spans="1:6">
      <c r="A21" s="348" t="s">
        <v>11</v>
      </c>
      <c r="B21" s="334">
        <v>5305</v>
      </c>
    </row>
    <row r="22" spans="1:6">
      <c r="A22" s="348" t="s">
        <v>12</v>
      </c>
      <c r="B22" s="334">
        <v>14368</v>
      </c>
    </row>
    <row r="23" spans="1:6">
      <c r="A23" s="348" t="s">
        <v>13</v>
      </c>
      <c r="B23" s="334">
        <v>160</v>
      </c>
    </row>
    <row r="24" spans="1:6">
      <c r="A24" s="348" t="s">
        <v>14</v>
      </c>
      <c r="B24" s="334">
        <v>8</v>
      </c>
    </row>
    <row r="25" spans="1:6">
      <c r="A25" s="348" t="s">
        <v>15</v>
      </c>
      <c r="B25" s="334">
        <v>1130</v>
      </c>
    </row>
    <row r="26" spans="1:6">
      <c r="A26" s="348" t="s">
        <v>16</v>
      </c>
      <c r="B26" s="334">
        <v>138</v>
      </c>
    </row>
    <row r="27" spans="1:6">
      <c r="A27" s="348" t="s">
        <v>17</v>
      </c>
      <c r="B27" s="334">
        <v>0</v>
      </c>
    </row>
    <row r="28" spans="1:6" s="356" customFormat="1">
      <c r="A28" s="355" t="s">
        <v>18</v>
      </c>
      <c r="B28" s="355">
        <v>137598</v>
      </c>
    </row>
    <row r="29" spans="1:6">
      <c r="A29" s="355" t="s">
        <v>713</v>
      </c>
      <c r="B29" s="355">
        <v>65</v>
      </c>
      <c r="C29" s="356"/>
      <c r="D29" s="356"/>
      <c r="E29" s="356"/>
      <c r="F29" s="356"/>
    </row>
    <row r="30" spans="1:6">
      <c r="A30" s="341" t="s">
        <v>714</v>
      </c>
      <c r="B30" s="341">
        <v>17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39608</v>
      </c>
    </row>
    <row r="36" spans="1:6">
      <c r="A36" s="348" t="s">
        <v>24</v>
      </c>
      <c r="B36" s="348" t="s">
        <v>26</v>
      </c>
      <c r="C36" s="334">
        <v>0</v>
      </c>
      <c r="D36" s="334">
        <v>0</v>
      </c>
      <c r="E36" s="334">
        <v>14</v>
      </c>
      <c r="F36" s="334">
        <v>371413</v>
      </c>
    </row>
    <row r="37" spans="1:6">
      <c r="A37" s="348" t="s">
        <v>24</v>
      </c>
      <c r="B37" s="348" t="s">
        <v>27</v>
      </c>
      <c r="C37" s="334">
        <v>0</v>
      </c>
      <c r="D37" s="334">
        <v>0</v>
      </c>
      <c r="E37" s="334">
        <v>0</v>
      </c>
      <c r="F37" s="334">
        <v>0</v>
      </c>
    </row>
    <row r="38" spans="1:6">
      <c r="A38" s="348" t="s">
        <v>24</v>
      </c>
      <c r="B38" s="348" t="s">
        <v>28</v>
      </c>
      <c r="C38" s="334">
        <v>2</v>
      </c>
      <c r="D38" s="334">
        <v>317543</v>
      </c>
      <c r="E38" s="334">
        <v>0</v>
      </c>
      <c r="F38" s="334">
        <v>0</v>
      </c>
    </row>
    <row r="39" spans="1:6">
      <c r="A39" s="348" t="s">
        <v>29</v>
      </c>
      <c r="B39" s="348" t="s">
        <v>30</v>
      </c>
      <c r="C39" s="334">
        <v>7728</v>
      </c>
      <c r="D39" s="334">
        <v>117194867.87899999</v>
      </c>
      <c r="E39" s="334">
        <v>13498</v>
      </c>
      <c r="F39" s="334">
        <v>41994507.350000001</v>
      </c>
    </row>
    <row r="40" spans="1:6">
      <c r="A40" s="348" t="s">
        <v>29</v>
      </c>
      <c r="B40" s="348" t="s">
        <v>28</v>
      </c>
      <c r="C40" s="334">
        <v>0</v>
      </c>
      <c r="D40" s="334">
        <v>0</v>
      </c>
      <c r="E40" s="334">
        <v>0</v>
      </c>
      <c r="F40" s="334">
        <v>0</v>
      </c>
    </row>
    <row r="41" spans="1:6">
      <c r="A41" s="348" t="s">
        <v>31</v>
      </c>
      <c r="B41" s="348" t="s">
        <v>32</v>
      </c>
      <c r="C41" s="334">
        <v>110</v>
      </c>
      <c r="D41" s="334">
        <v>5114705.1710000001</v>
      </c>
      <c r="E41" s="334">
        <v>257</v>
      </c>
      <c r="F41" s="334">
        <v>11366225.6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17</v>
      </c>
      <c r="D44" s="334">
        <v>9695989.6999999993</v>
      </c>
      <c r="E44" s="334">
        <v>51</v>
      </c>
      <c r="F44" s="334">
        <v>6861334.5279999999</v>
      </c>
    </row>
    <row r="45" spans="1:6">
      <c r="A45" s="348" t="s">
        <v>31</v>
      </c>
      <c r="B45" s="348" t="s">
        <v>36</v>
      </c>
      <c r="C45" s="334">
        <v>0</v>
      </c>
      <c r="D45" s="334">
        <v>0</v>
      </c>
      <c r="E45" s="334">
        <v>4</v>
      </c>
      <c r="F45" s="334">
        <v>446921.42800000001</v>
      </c>
    </row>
    <row r="46" spans="1:6">
      <c r="A46" s="348" t="s">
        <v>31</v>
      </c>
      <c r="B46" s="348" t="s">
        <v>37</v>
      </c>
      <c r="C46" s="334">
        <v>0</v>
      </c>
      <c r="D46" s="334">
        <v>0</v>
      </c>
      <c r="E46" s="334">
        <v>3</v>
      </c>
      <c r="F46" s="334">
        <v>23815</v>
      </c>
    </row>
    <row r="47" spans="1:6">
      <c r="A47" s="348" t="s">
        <v>31</v>
      </c>
      <c r="B47" s="348" t="s">
        <v>38</v>
      </c>
      <c r="C47" s="334">
        <v>4</v>
      </c>
      <c r="D47" s="334">
        <v>118226</v>
      </c>
      <c r="E47" s="334">
        <v>7</v>
      </c>
      <c r="F47" s="334">
        <v>45379</v>
      </c>
    </row>
    <row r="48" spans="1:6">
      <c r="A48" s="348" t="s">
        <v>31</v>
      </c>
      <c r="B48" s="348" t="s">
        <v>28</v>
      </c>
      <c r="C48" s="334">
        <v>6</v>
      </c>
      <c r="D48" s="334">
        <v>593114</v>
      </c>
      <c r="E48" s="334">
        <v>3</v>
      </c>
      <c r="F48" s="334">
        <v>27659</v>
      </c>
    </row>
    <row r="49" spans="1:6">
      <c r="A49" s="348" t="s">
        <v>31</v>
      </c>
      <c r="B49" s="348" t="s">
        <v>39</v>
      </c>
      <c r="C49" s="334">
        <v>0</v>
      </c>
      <c r="D49" s="334">
        <v>0</v>
      </c>
      <c r="E49" s="334">
        <v>5</v>
      </c>
      <c r="F49" s="334">
        <v>144312</v>
      </c>
    </row>
    <row r="50" spans="1:6">
      <c r="A50" s="348" t="s">
        <v>31</v>
      </c>
      <c r="B50" s="348" t="s">
        <v>40</v>
      </c>
      <c r="C50" s="334">
        <v>8</v>
      </c>
      <c r="D50" s="334">
        <v>3452114.443</v>
      </c>
      <c r="E50" s="334">
        <v>24</v>
      </c>
      <c r="F50" s="334">
        <v>2296180.4750000001</v>
      </c>
    </row>
    <row r="51" spans="1:6">
      <c r="A51" s="348" t="s">
        <v>41</v>
      </c>
      <c r="B51" s="348" t="s">
        <v>42</v>
      </c>
      <c r="C51" s="334">
        <v>30</v>
      </c>
      <c r="D51" s="334">
        <v>1124144</v>
      </c>
      <c r="E51" s="334">
        <v>172</v>
      </c>
      <c r="F51" s="334">
        <v>2323177.2650000001</v>
      </c>
    </row>
    <row r="52" spans="1:6">
      <c r="A52" s="348" t="s">
        <v>41</v>
      </c>
      <c r="B52" s="348" t="s">
        <v>28</v>
      </c>
      <c r="C52" s="334">
        <v>0</v>
      </c>
      <c r="D52" s="334">
        <v>0</v>
      </c>
      <c r="E52" s="334">
        <v>0</v>
      </c>
      <c r="F52" s="334">
        <v>0</v>
      </c>
    </row>
    <row r="53" spans="1:6">
      <c r="A53" s="348" t="s">
        <v>43</v>
      </c>
      <c r="B53" s="348" t="s">
        <v>44</v>
      </c>
      <c r="C53" s="334">
        <v>165</v>
      </c>
      <c r="D53" s="334">
        <v>11673669.665999999</v>
      </c>
      <c r="E53" s="334">
        <v>331</v>
      </c>
      <c r="F53" s="334">
        <v>1435333.4</v>
      </c>
    </row>
    <row r="54" spans="1:6">
      <c r="A54" s="348" t="s">
        <v>45</v>
      </c>
      <c r="B54" s="348" t="s">
        <v>46</v>
      </c>
      <c r="C54" s="334">
        <v>0</v>
      </c>
      <c r="D54" s="334">
        <v>0</v>
      </c>
      <c r="E54" s="334">
        <v>3</v>
      </c>
      <c r="F54" s="334">
        <v>2227340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92</v>
      </c>
      <c r="D57" s="334">
        <v>5293149.7139999997</v>
      </c>
      <c r="E57" s="334">
        <v>209</v>
      </c>
      <c r="F57" s="334">
        <v>6494126.7570000002</v>
      </c>
    </row>
    <row r="58" spans="1:6">
      <c r="A58" s="348" t="s">
        <v>48</v>
      </c>
      <c r="B58" s="348" t="s">
        <v>50</v>
      </c>
      <c r="C58" s="334">
        <v>75</v>
      </c>
      <c r="D58" s="334">
        <v>14855579.271</v>
      </c>
      <c r="E58" s="334">
        <v>126</v>
      </c>
      <c r="F58" s="334">
        <v>5095763.5999999996</v>
      </c>
    </row>
    <row r="59" spans="1:6">
      <c r="A59" s="348" t="s">
        <v>48</v>
      </c>
      <c r="B59" s="348" t="s">
        <v>51</v>
      </c>
      <c r="C59" s="334">
        <v>272</v>
      </c>
      <c r="D59" s="334">
        <v>17525962.136</v>
      </c>
      <c r="E59" s="334">
        <v>521</v>
      </c>
      <c r="F59" s="334">
        <v>18309170.620000001</v>
      </c>
    </row>
    <row r="60" spans="1:6">
      <c r="A60" s="348" t="s">
        <v>48</v>
      </c>
      <c r="B60" s="348" t="s">
        <v>52</v>
      </c>
      <c r="C60" s="334">
        <v>116</v>
      </c>
      <c r="D60" s="334">
        <v>5350627</v>
      </c>
      <c r="E60" s="334">
        <v>163</v>
      </c>
      <c r="F60" s="334">
        <v>5249252.03</v>
      </c>
    </row>
    <row r="61" spans="1:6">
      <c r="A61" s="348" t="s">
        <v>48</v>
      </c>
      <c r="B61" s="348" t="s">
        <v>53</v>
      </c>
      <c r="C61" s="334">
        <v>327</v>
      </c>
      <c r="D61" s="334">
        <v>19006784.43</v>
      </c>
      <c r="E61" s="334">
        <v>799</v>
      </c>
      <c r="F61" s="334">
        <v>14420596.252</v>
      </c>
    </row>
    <row r="62" spans="1:6">
      <c r="A62" s="348" t="s">
        <v>48</v>
      </c>
      <c r="B62" s="348" t="s">
        <v>54</v>
      </c>
      <c r="C62" s="334">
        <v>28</v>
      </c>
      <c r="D62" s="334">
        <v>7855611.9009999996</v>
      </c>
      <c r="E62" s="334">
        <v>37</v>
      </c>
      <c r="F62" s="334">
        <v>2485914.5720000002</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6571</v>
      </c>
      <c r="E65" s="334">
        <v>1</v>
      </c>
      <c r="F65" s="334">
        <v>1508</v>
      </c>
    </row>
    <row r="66" spans="1:6">
      <c r="A66" s="348" t="s">
        <v>55</v>
      </c>
      <c r="B66" s="348" t="s">
        <v>57</v>
      </c>
      <c r="C66" s="334">
        <v>3</v>
      </c>
      <c r="D66" s="334">
        <v>659502</v>
      </c>
      <c r="E66" s="334">
        <v>29</v>
      </c>
      <c r="F66" s="334">
        <v>511950.82</v>
      </c>
    </row>
    <row r="67" spans="1:6">
      <c r="A67" s="355" t="s">
        <v>55</v>
      </c>
      <c r="B67" s="355" t="s">
        <v>58</v>
      </c>
      <c r="C67" s="334">
        <v>0</v>
      </c>
      <c r="D67" s="334">
        <v>0</v>
      </c>
      <c r="E67" s="334">
        <v>0</v>
      </c>
      <c r="F67" s="334">
        <v>0</v>
      </c>
    </row>
    <row r="68" spans="1:6">
      <c r="A68" s="341" t="s">
        <v>55</v>
      </c>
      <c r="B68" s="341" t="s">
        <v>59</v>
      </c>
      <c r="C68" s="334">
        <v>11</v>
      </c>
      <c r="D68" s="334">
        <v>2472743.3709999998</v>
      </c>
      <c r="E68" s="334">
        <v>20</v>
      </c>
      <c r="F68" s="334">
        <v>474785.55</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172575705</v>
      </c>
      <c r="E73" s="476"/>
    </row>
    <row r="74" spans="1:6">
      <c r="A74" s="348" t="s">
        <v>63</v>
      </c>
      <c r="B74" s="348" t="s">
        <v>651</v>
      </c>
      <c r="C74" s="1307" t="s">
        <v>653</v>
      </c>
      <c r="D74" s="476">
        <v>13464848</v>
      </c>
      <c r="E74" s="476"/>
    </row>
    <row r="75" spans="1:6">
      <c r="A75" s="348" t="s">
        <v>64</v>
      </c>
      <c r="B75" s="348" t="s">
        <v>650</v>
      </c>
      <c r="C75" s="1307" t="s">
        <v>654</v>
      </c>
      <c r="D75" s="476">
        <v>40231133</v>
      </c>
      <c r="E75" s="476"/>
    </row>
    <row r="76" spans="1:6">
      <c r="A76" s="348" t="s">
        <v>64</v>
      </c>
      <c r="B76" s="348" t="s">
        <v>651</v>
      </c>
      <c r="C76" s="1307" t="s">
        <v>655</v>
      </c>
      <c r="D76" s="476">
        <v>1553733</v>
      </c>
      <c r="E76" s="476"/>
    </row>
    <row r="77" spans="1:6">
      <c r="A77" s="348" t="s">
        <v>65</v>
      </c>
      <c r="B77" s="348" t="s">
        <v>650</v>
      </c>
      <c r="C77" s="1307" t="s">
        <v>656</v>
      </c>
      <c r="D77" s="476">
        <v>5844143</v>
      </c>
      <c r="E77" s="476"/>
    </row>
    <row r="78" spans="1:6">
      <c r="A78" s="341" t="s">
        <v>65</v>
      </c>
      <c r="B78" s="341" t="s">
        <v>651</v>
      </c>
      <c r="C78" s="341" t="s">
        <v>657</v>
      </c>
      <c r="D78" s="1308">
        <v>1389223</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1358650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12.739126840757807</v>
      </c>
    </row>
    <row r="90" spans="1:6">
      <c r="A90" s="348" t="s">
        <v>543</v>
      </c>
      <c r="B90" s="1309">
        <v>0</v>
      </c>
    </row>
    <row r="91" spans="1:6">
      <c r="A91" s="348" t="s">
        <v>67</v>
      </c>
      <c r="B91" s="334">
        <v>6258.5982906062964</v>
      </c>
    </row>
    <row r="92" spans="1:6">
      <c r="A92" s="341" t="s">
        <v>68</v>
      </c>
      <c r="B92" s="342">
        <v>9113.3310410256963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4164</v>
      </c>
    </row>
    <row r="98" spans="1:6">
      <c r="A98" s="348" t="s">
        <v>71</v>
      </c>
      <c r="B98" s="334">
        <v>7</v>
      </c>
    </row>
    <row r="99" spans="1:6">
      <c r="A99" s="348" t="s">
        <v>72</v>
      </c>
      <c r="B99" s="334">
        <v>116</v>
      </c>
    </row>
    <row r="100" spans="1:6">
      <c r="A100" s="348" t="s">
        <v>73</v>
      </c>
      <c r="B100" s="334">
        <v>384</v>
      </c>
    </row>
    <row r="101" spans="1:6">
      <c r="A101" s="348" t="s">
        <v>74</v>
      </c>
      <c r="B101" s="334">
        <v>107</v>
      </c>
    </row>
    <row r="102" spans="1:6">
      <c r="A102" s="348" t="s">
        <v>75</v>
      </c>
      <c r="B102" s="334">
        <v>176</v>
      </c>
    </row>
    <row r="103" spans="1:6">
      <c r="A103" s="348" t="s">
        <v>76</v>
      </c>
      <c r="B103" s="334">
        <v>455</v>
      </c>
    </row>
    <row r="104" spans="1:6">
      <c r="A104" s="348" t="s">
        <v>77</v>
      </c>
      <c r="B104" s="334">
        <v>6268</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1</v>
      </c>
      <c r="C122" s="334">
        <v>0</v>
      </c>
    </row>
    <row r="123" spans="1:6">
      <c r="A123" s="348" t="s">
        <v>87</v>
      </c>
      <c r="B123" s="334">
        <v>28</v>
      </c>
      <c r="C123" s="334">
        <v>86</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196</v>
      </c>
    </row>
    <row r="130" spans="1:6">
      <c r="A130" s="348" t="s">
        <v>294</v>
      </c>
      <c r="B130" s="334">
        <v>1</v>
      </c>
    </row>
    <row r="131" spans="1:6">
      <c r="A131" s="348" t="s">
        <v>295</v>
      </c>
      <c r="B131" s="334">
        <v>4</v>
      </c>
    </row>
    <row r="132" spans="1:6">
      <c r="A132" s="341" t="s">
        <v>296</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129334.09679756602</v>
      </c>
      <c r="C3" s="43" t="s">
        <v>169</v>
      </c>
      <c r="D3" s="43"/>
      <c r="E3" s="154"/>
      <c r="F3" s="43"/>
      <c r="G3" s="43"/>
      <c r="H3" s="43"/>
      <c r="I3" s="43"/>
      <c r="J3" s="43"/>
      <c r="K3" s="96"/>
    </row>
    <row r="4" spans="1:11">
      <c r="A4" s="383" t="s">
        <v>170</v>
      </c>
      <c r="B4" s="49">
        <f>IF(ISERROR('SEAP template'!B78+'SEAP template'!C78),0,'SEAP template'!B78+'SEAP template'!C78)</f>
        <v>29811.418458472748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405.54572023786898</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0.17319529952134813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579.35149018684149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20609.659266409268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2.8110677750558435E-2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2227.34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2227.34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0.17319529952134813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385.76481843587959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41994.50735</v>
      </c>
      <c r="C5" s="17">
        <f>IF(ISERROR('Eigen informatie GS &amp; warmtenet'!B59),0,'Eigen informatie GS &amp; warmtenet'!B59)</f>
        <v>0</v>
      </c>
      <c r="D5" s="30">
        <f>(SUM(HH_hh_gas_kWh,HH_rest_gas_kWh)/1000)*0.902</f>
        <v>105709.770826858</v>
      </c>
      <c r="E5" s="17">
        <f>B46*B57</f>
        <v>17952.246014935525</v>
      </c>
      <c r="F5" s="17">
        <f>B51*B62</f>
        <v>63631.889681509056</v>
      </c>
      <c r="G5" s="18"/>
      <c r="H5" s="17"/>
      <c r="I5" s="17"/>
      <c r="J5" s="17">
        <f>B50*B61+C50*C61</f>
        <v>2894.233184986294</v>
      </c>
      <c r="K5" s="17"/>
      <c r="L5" s="17"/>
      <c r="M5" s="17"/>
      <c r="N5" s="17">
        <f>B48*B59+C48*C59</f>
        <v>28656.632309680492</v>
      </c>
      <c r="O5" s="17">
        <f>B69*B70*B71</f>
        <v>563.44413430591703</v>
      </c>
      <c r="P5" s="17">
        <f>B77*B78*B79/1000-B77*B78*B79/1000/B80</f>
        <v>558.29984330730622</v>
      </c>
    </row>
    <row r="6" spans="1:16">
      <c r="A6" s="16" t="s">
        <v>615</v>
      </c>
      <c r="B6" s="809">
        <f>kWh_PV_kleiner_dan_10kW</f>
        <v>6258.5982906062964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48253.1056406063</v>
      </c>
      <c r="C8" s="21">
        <f>C5</f>
        <v>0</v>
      </c>
      <c r="D8" s="21">
        <f>D5</f>
        <v>105709.770826858</v>
      </c>
      <c r="E8" s="21">
        <f>E5</f>
        <v>17952.246014935525</v>
      </c>
      <c r="F8" s="21">
        <f>F5</f>
        <v>63631.889681509056</v>
      </c>
      <c r="G8" s="21"/>
      <c r="H8" s="21"/>
      <c r="I8" s="21"/>
      <c r="J8" s="21">
        <f>J5</f>
        <v>2894.233184986294</v>
      </c>
      <c r="K8" s="21"/>
      <c r="L8" s="21">
        <f>L5</f>
        <v>0</v>
      </c>
      <c r="M8" s="21">
        <f>M5</f>
        <v>0</v>
      </c>
      <c r="N8" s="21">
        <f>N5</f>
        <v>28656.632309680492</v>
      </c>
      <c r="O8" s="21">
        <f>O5</f>
        <v>563.44413430591703</v>
      </c>
      <c r="P8" s="21">
        <f>P5</f>
        <v>558.29984330730622</v>
      </c>
    </row>
    <row r="9" spans="1:16">
      <c r="B9" s="19"/>
      <c r="C9" s="19"/>
      <c r="D9" s="258"/>
      <c r="E9" s="19"/>
      <c r="F9" s="19"/>
      <c r="G9" s="19"/>
      <c r="H9" s="19"/>
      <c r="I9" s="19"/>
      <c r="J9" s="19"/>
      <c r="K9" s="19"/>
      <c r="L9" s="19"/>
      <c r="M9" s="19"/>
      <c r="N9" s="19"/>
      <c r="O9" s="19"/>
      <c r="P9" s="19"/>
    </row>
    <row r="10" spans="1:16">
      <c r="A10" s="24" t="s">
        <v>213</v>
      </c>
      <c r="B10" s="25">
        <f ca="1">'EF ele_warmte'!B12</f>
        <v>0.17319529952134813</v>
      </c>
      <c r="C10" s="25">
        <f ca="1">'EF ele_warmte'!B22</f>
        <v>2.8110677750558435E-2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8357.2110842600614</v>
      </c>
      <c r="C12" s="23">
        <f ca="1">C10*C8</f>
        <v>0</v>
      </c>
      <c r="D12" s="23">
        <f>D8*D10</f>
        <v>21353.373707025319</v>
      </c>
      <c r="E12" s="23">
        <f>E10*E8</f>
        <v>4075.1598453903644</v>
      </c>
      <c r="F12" s="23">
        <f>F10*F8</f>
        <v>16989.714544962921</v>
      </c>
      <c r="G12" s="23"/>
      <c r="H12" s="23"/>
      <c r="I12" s="23"/>
      <c r="J12" s="23">
        <f>J10*J8</f>
        <v>1024.558547485148</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4164</v>
      </c>
      <c r="C18" s="166" t="s">
        <v>110</v>
      </c>
      <c r="D18" s="228"/>
      <c r="E18" s="15"/>
    </row>
    <row r="19" spans="1:7">
      <c r="A19" s="171" t="s">
        <v>71</v>
      </c>
      <c r="B19" s="37">
        <f>aantalw2001_ander</f>
        <v>7</v>
      </c>
      <c r="C19" s="166" t="s">
        <v>110</v>
      </c>
      <c r="D19" s="229"/>
      <c r="E19" s="15"/>
    </row>
    <row r="20" spans="1:7">
      <c r="A20" s="171" t="s">
        <v>72</v>
      </c>
      <c r="B20" s="37">
        <f>aantalw2001_propaan</f>
        <v>116</v>
      </c>
      <c r="C20" s="167">
        <f>IF(ISERROR(B20/SUM($B$20,$B$21,$B$22)*100),0,B20/SUM($B$20,$B$21,$B$22)*100)</f>
        <v>19.110378912685338</v>
      </c>
      <c r="D20" s="229"/>
      <c r="E20" s="15"/>
    </row>
    <row r="21" spans="1:7">
      <c r="A21" s="171" t="s">
        <v>73</v>
      </c>
      <c r="B21" s="37">
        <f>aantalw2001_elektriciteit</f>
        <v>384</v>
      </c>
      <c r="C21" s="167">
        <f>IF(ISERROR(B21/SUM($B$20,$B$21,$B$22)*100),0,B21/SUM($B$20,$B$21,$B$22)*100)</f>
        <v>63.261943986820427</v>
      </c>
      <c r="D21" s="229"/>
      <c r="E21" s="15"/>
    </row>
    <row r="22" spans="1:7">
      <c r="A22" s="171" t="s">
        <v>74</v>
      </c>
      <c r="B22" s="37">
        <f>aantalw2001_hout</f>
        <v>107</v>
      </c>
      <c r="C22" s="167">
        <f>IF(ISERROR(B22/SUM($B$20,$B$21,$B$22)*100),0,B22/SUM($B$20,$B$21,$B$22)*100)</f>
        <v>17.627677100494235</v>
      </c>
      <c r="D22" s="229"/>
      <c r="E22" s="15"/>
    </row>
    <row r="23" spans="1:7">
      <c r="A23" s="171" t="s">
        <v>75</v>
      </c>
      <c r="B23" s="37">
        <f>aantalw2001_niet_gespec</f>
        <v>176</v>
      </c>
      <c r="C23" s="166" t="s">
        <v>110</v>
      </c>
      <c r="D23" s="228"/>
      <c r="E23" s="15"/>
    </row>
    <row r="24" spans="1:7">
      <c r="A24" s="171" t="s">
        <v>76</v>
      </c>
      <c r="B24" s="37">
        <f>aantalw2001_steenkool</f>
        <v>455</v>
      </c>
      <c r="C24" s="166" t="s">
        <v>110</v>
      </c>
      <c r="D24" s="229"/>
      <c r="E24" s="15"/>
    </row>
    <row r="25" spans="1:7">
      <c r="A25" s="171" t="s">
        <v>77</v>
      </c>
      <c r="B25" s="37">
        <f>aantalw2001_stookolie</f>
        <v>6268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13338</v>
      </c>
      <c r="C28" s="36"/>
      <c r="D28" s="228"/>
    </row>
    <row r="29" spans="1:7" s="15" customFormat="1">
      <c r="A29" s="230" t="s">
        <v>837</v>
      </c>
      <c r="B29" s="37">
        <f>SUM(HH_hh_gas_aantal,HH_rest_gas_aantal)</f>
        <v>7728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7728</v>
      </c>
      <c r="C32" s="167">
        <f>IF(ISERROR(B32/SUM($B$32,$B$34,$B$35,$B$36,$B$38,$B$39)*100),0,B32/SUM($B$32,$B$34,$B$35,$B$36,$B$38,$B$39)*100)</f>
        <v>58.170869401580724</v>
      </c>
      <c r="D32" s="233"/>
      <c r="G32" s="15"/>
    </row>
    <row r="33" spans="1:7">
      <c r="A33" s="171" t="s">
        <v>71</v>
      </c>
      <c r="B33" s="34" t="s">
        <v>110</v>
      </c>
      <c r="C33" s="167"/>
      <c r="D33" s="233"/>
      <c r="G33" s="15"/>
    </row>
    <row r="34" spans="1:7">
      <c r="A34" s="171" t="s">
        <v>72</v>
      </c>
      <c r="B34" s="33">
        <f>IF((($B$28-$B$32-$B$39-$B$77-$B$38)*C20/100)&lt;0,0,($B$28-$B$32-$B$39-$B$77-$B$38)*C20/100)</f>
        <v>458.26688632619442</v>
      </c>
      <c r="C34" s="167">
        <f>IF(ISERROR(B34/SUM($B$32,$B$34,$B$35,$B$36,$B$38,$B$39)*100),0,B34/SUM($B$32,$B$34,$B$35,$B$36,$B$38,$B$39)*100)</f>
        <v>3.4495061070846398</v>
      </c>
      <c r="D34" s="233"/>
      <c r="G34" s="15"/>
    </row>
    <row r="35" spans="1:7">
      <c r="A35" s="171" t="s">
        <v>73</v>
      </c>
      <c r="B35" s="33">
        <f>IF((($B$28-$B$32-$B$39-$B$77-$B$38)*C21/100)&lt;0,0,($B$28-$B$32-$B$39-$B$77-$B$38)*C21/100)</f>
        <v>1517.0214168039538</v>
      </c>
      <c r="C35" s="167">
        <f>IF(ISERROR(B35/SUM($B$32,$B$34,$B$35,$B$36,$B$38,$B$39)*100),0,B35/SUM($B$32,$B$34,$B$35,$B$36,$B$38,$B$39)*100)</f>
        <v>11.419054699314669</v>
      </c>
      <c r="D35" s="233"/>
      <c r="G35" s="15"/>
    </row>
    <row r="36" spans="1:7">
      <c r="A36" s="171" t="s">
        <v>74</v>
      </c>
      <c r="B36" s="33">
        <f>IF((($B$28-$B$32-$B$39-$B$77-$B$38)*C22/100)&lt;0,0,($B$28-$B$32-$B$39-$B$77-$B$38)*C22/100)</f>
        <v>422.71169686985172</v>
      </c>
      <c r="C36" s="167">
        <f>IF(ISERROR(B36/SUM($B$32,$B$34,$B$35,$B$36,$B$38,$B$39)*100),0,B36/SUM($B$32,$B$34,$B$35,$B$36,$B$38,$B$39)*100)</f>
        <v>3.181872012569452</v>
      </c>
      <c r="D36" s="233"/>
      <c r="G36" s="15"/>
    </row>
    <row r="37" spans="1:7">
      <c r="A37" s="171" t="s">
        <v>75</v>
      </c>
      <c r="B37" s="34" t="s">
        <v>110</v>
      </c>
      <c r="C37" s="167"/>
      <c r="D37" s="173"/>
      <c r="G37" s="15"/>
    </row>
    <row r="38" spans="1:7">
      <c r="A38" s="171" t="s">
        <v>76</v>
      </c>
      <c r="B38" s="33">
        <f>IF((B24-(B29-B18)*0.1)&lt;0,0,B24-(B29-B18)*0.1)</f>
        <v>98.599999999999966</v>
      </c>
      <c r="C38" s="167">
        <f>IF(ISERROR(B38/SUM($B$32,$B$34,$B$35,$B$36,$B$38,$B$39)*100),0,B38/SUM($B$32,$B$34,$B$35,$B$36,$B$38,$B$39)*100)</f>
        <v>0.74219044034625492</v>
      </c>
      <c r="D38" s="234"/>
      <c r="G38" s="15"/>
    </row>
    <row r="39" spans="1:7">
      <c r="A39" s="171" t="s">
        <v>77</v>
      </c>
      <c r="B39" s="33">
        <f>IF((B25-(B29-B18))&lt;0,0,B25-(B29-B18)*0.9)</f>
        <v>3060.4</v>
      </c>
      <c r="C39" s="167">
        <f>IF(ISERROR(B39/SUM($B$32,$B$34,$B$35,$B$36,$B$38,$B$39)*100),0,B39/SUM($B$32,$B$34,$B$35,$B$36,$B$38,$B$39)*100)</f>
        <v>23.036507339104254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7728</v>
      </c>
      <c r="C44" s="34" t="s">
        <v>110</v>
      </c>
      <c r="D44" s="174"/>
    </row>
    <row r="45" spans="1:7">
      <c r="A45" s="171" t="s">
        <v>71</v>
      </c>
      <c r="B45" s="33" t="str">
        <f t="shared" si="0"/>
        <v>-</v>
      </c>
      <c r="C45" s="34" t="s">
        <v>110</v>
      </c>
      <c r="D45" s="174"/>
    </row>
    <row r="46" spans="1:7">
      <c r="A46" s="171" t="s">
        <v>72</v>
      </c>
      <c r="B46" s="33">
        <f t="shared" si="0"/>
        <v>458.26688632619442</v>
      </c>
      <c r="C46" s="34" t="s">
        <v>110</v>
      </c>
      <c r="D46" s="174"/>
    </row>
    <row r="47" spans="1:7">
      <c r="A47" s="171" t="s">
        <v>73</v>
      </c>
      <c r="B47" s="33">
        <f t="shared" si="0"/>
        <v>1517.0214168039538</v>
      </c>
      <c r="C47" s="34" t="s">
        <v>110</v>
      </c>
      <c r="D47" s="174"/>
    </row>
    <row r="48" spans="1:7">
      <c r="A48" s="171" t="s">
        <v>74</v>
      </c>
      <c r="B48" s="33">
        <f t="shared" si="0"/>
        <v>422.71169686985172</v>
      </c>
      <c r="C48" s="33">
        <f>B48*10</f>
        <v>4227.1169686985177</v>
      </c>
      <c r="D48" s="234"/>
    </row>
    <row r="49" spans="1:6">
      <c r="A49" s="171" t="s">
        <v>75</v>
      </c>
      <c r="B49" s="33" t="str">
        <f t="shared" si="0"/>
        <v>-</v>
      </c>
      <c r="C49" s="34" t="s">
        <v>110</v>
      </c>
      <c r="D49" s="234"/>
    </row>
    <row r="50" spans="1:6">
      <c r="A50" s="171" t="s">
        <v>76</v>
      </c>
      <c r="B50" s="33">
        <f t="shared" si="0"/>
        <v>98.599999999999966</v>
      </c>
      <c r="C50" s="33">
        <f>B50*2</f>
        <v>197.19999999999993</v>
      </c>
      <c r="D50" s="234"/>
    </row>
    <row r="51" spans="1:6">
      <c r="A51" s="171" t="s">
        <v>77</v>
      </c>
      <c r="B51" s="33">
        <f t="shared" si="0"/>
        <v>3060.4</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284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52054.823831000002</v>
      </c>
      <c r="C5" s="17">
        <f>IF(ISERROR('Eigen informatie GS &amp; warmtenet'!B60),0,'Eigen informatie GS &amp; warmtenet'!B60)</f>
        <v>0</v>
      </c>
      <c r="D5" s="30">
        <f>SUM(D6:D12)</f>
        <v>63038.718435704002</v>
      </c>
      <c r="E5" s="17">
        <f>SUM(E6:E12)</f>
        <v>746.73376074564646</v>
      </c>
      <c r="F5" s="17">
        <f>SUM(F6:F12)</f>
        <v>5867.7743642780542</v>
      </c>
      <c r="G5" s="18"/>
      <c r="H5" s="17"/>
      <c r="I5" s="17"/>
      <c r="J5" s="17">
        <f>SUM(J6:J12)</f>
        <v>0.1102446505672062</v>
      </c>
      <c r="K5" s="17"/>
      <c r="L5" s="17"/>
      <c r="M5" s="17"/>
      <c r="N5" s="17">
        <f>SUM(N6:N12)</f>
        <v>4357.2788764095358</v>
      </c>
      <c r="O5" s="17">
        <f>B38*B39*B40</f>
        <v>4.8972607658411542</v>
      </c>
      <c r="P5" s="17">
        <f>B46*B47*B48/1000-B46*B47*B48/1000/B49</f>
        <v>262.69569153247511</v>
      </c>
      <c r="R5" s="32"/>
    </row>
    <row r="6" spans="1:18">
      <c r="A6" s="32" t="s">
        <v>53</v>
      </c>
      <c r="B6" s="37">
        <f>B26</f>
        <v>14420.596252000001</v>
      </c>
      <c r="C6" s="33"/>
      <c r="D6" s="37">
        <f>IF(ISERROR(TER_kantoor_gas_kWh/1000),0,TER_kantoor_gas_kWh/1000)*0.902</f>
        <v>17144.119555860001</v>
      </c>
      <c r="E6" s="33">
        <f>$C$26*'E Balans VL '!I12/100/3.6*1000000</f>
        <v>116.03791443242676</v>
      </c>
      <c r="F6" s="33">
        <f>$C$26*('E Balans VL '!L12+'E Balans VL '!N12)/100/3.6*1000000</f>
        <v>1763.0695916228019</v>
      </c>
      <c r="G6" s="34"/>
      <c r="H6" s="33"/>
      <c r="I6" s="33"/>
      <c r="J6" s="33">
        <f>$C$26*('E Balans VL '!D12+'E Balans VL '!E12)/100/3.6*1000000</f>
        <v>0</v>
      </c>
      <c r="K6" s="33"/>
      <c r="L6" s="33"/>
      <c r="M6" s="33"/>
      <c r="N6" s="33">
        <f>$C$26*'E Balans VL '!Y12/100/3.6*1000000</f>
        <v>7.7503603479459642</v>
      </c>
      <c r="O6" s="33"/>
      <c r="P6" s="33"/>
      <c r="R6" s="32"/>
    </row>
    <row r="7" spans="1:18">
      <c r="A7" s="32" t="s">
        <v>52</v>
      </c>
      <c r="B7" s="37">
        <f t="shared" ref="B7:B12" si="0">B27</f>
        <v>5249.2520300000006</v>
      </c>
      <c r="C7" s="33"/>
      <c r="D7" s="37">
        <f>IF(ISERROR(TER_horeca_gas_kWh/1000),0,TER_horeca_gas_kWh/1000)*0.902</f>
        <v>4826.2655540000005</v>
      </c>
      <c r="E7" s="33">
        <f>$C$27*'E Balans VL '!I9/100/3.6*1000000</f>
        <v>56.364076892734872</v>
      </c>
      <c r="F7" s="33">
        <f>$C$27*('E Balans VL '!L9+'E Balans VL '!N9)/100/3.6*1000000</f>
        <v>631.35773170959123</v>
      </c>
      <c r="G7" s="34"/>
      <c r="H7" s="33"/>
      <c r="I7" s="33"/>
      <c r="J7" s="33">
        <f>$C$27*('E Balans VL '!D9+'E Balans VL '!E9)/100/3.6*1000000</f>
        <v>0</v>
      </c>
      <c r="K7" s="33"/>
      <c r="L7" s="33"/>
      <c r="M7" s="33"/>
      <c r="N7" s="33">
        <f>$C$27*'E Balans VL '!Y9/100/3.6*1000000</f>
        <v>0.78696926928392663</v>
      </c>
      <c r="O7" s="33"/>
      <c r="P7" s="33"/>
      <c r="R7" s="32"/>
    </row>
    <row r="8" spans="1:18">
      <c r="A8" s="6" t="s">
        <v>51</v>
      </c>
      <c r="B8" s="37">
        <f t="shared" si="0"/>
        <v>18309.170620000001</v>
      </c>
      <c r="C8" s="33"/>
      <c r="D8" s="37">
        <f>IF(ISERROR(TER_handel_gas_kWh/1000),0,TER_handel_gas_kWh/1000)*0.902</f>
        <v>15808.417846671999</v>
      </c>
      <c r="E8" s="33">
        <f>$C$28*'E Balans VL '!I13/100/3.6*1000000</f>
        <v>491.36208645870516</v>
      </c>
      <c r="F8" s="33">
        <f>$C$28*('E Balans VL '!L13+'E Balans VL '!N13)/100/3.6*1000000</f>
        <v>1747.2591803369269</v>
      </c>
      <c r="G8" s="34"/>
      <c r="H8" s="33"/>
      <c r="I8" s="33"/>
      <c r="J8" s="33">
        <f>$C$28*('E Balans VL '!D13+'E Balans VL '!E13)/100/3.6*1000000</f>
        <v>0</v>
      </c>
      <c r="K8" s="33"/>
      <c r="L8" s="33"/>
      <c r="M8" s="33"/>
      <c r="N8" s="33">
        <f>$C$28*'E Balans VL '!Y13/100/3.6*1000000</f>
        <v>7.2579634160957802</v>
      </c>
      <c r="O8" s="33"/>
      <c r="P8" s="33"/>
      <c r="R8" s="32"/>
    </row>
    <row r="9" spans="1:18">
      <c r="A9" s="32" t="s">
        <v>50</v>
      </c>
      <c r="B9" s="37">
        <f t="shared" si="0"/>
        <v>5095.7635999999993</v>
      </c>
      <c r="C9" s="33"/>
      <c r="D9" s="37">
        <f>IF(ISERROR(TER_gezond_gas_kWh/1000),0,TER_gezond_gas_kWh/1000)*0.902</f>
        <v>13399.732502442001</v>
      </c>
      <c r="E9" s="33">
        <f>$C$29*'E Balans VL '!I10/100/3.6*1000000</f>
        <v>9.5511202390792107</v>
      </c>
      <c r="F9" s="33">
        <f>$C$29*('E Balans VL '!L10+'E Balans VL '!N10)/100/3.6*1000000</f>
        <v>418.91826318023595</v>
      </c>
      <c r="G9" s="34"/>
      <c r="H9" s="33"/>
      <c r="I9" s="33"/>
      <c r="J9" s="33">
        <f>$C$29*('E Balans VL '!D10+'E Balans VL '!E10)/100/3.6*1000000</f>
        <v>0</v>
      </c>
      <c r="K9" s="33"/>
      <c r="L9" s="33"/>
      <c r="M9" s="33"/>
      <c r="N9" s="33">
        <f>$C$29*'E Balans VL '!Y10/100/3.6*1000000</f>
        <v>39.64884279394137</v>
      </c>
      <c r="O9" s="33"/>
      <c r="P9" s="33"/>
      <c r="R9" s="32"/>
    </row>
    <row r="10" spans="1:18">
      <c r="A10" s="32" t="s">
        <v>49</v>
      </c>
      <c r="B10" s="37">
        <f t="shared" si="0"/>
        <v>6494.126757</v>
      </c>
      <c r="C10" s="33"/>
      <c r="D10" s="37">
        <f>IF(ISERROR(TER_ander_gas_kWh/1000),0,TER_ander_gas_kWh/1000)*0.902</f>
        <v>4774.4210420280006</v>
      </c>
      <c r="E10" s="33">
        <f>$C$30*'E Balans VL '!I14/100/3.6*1000000</f>
        <v>10.010762199885175</v>
      </c>
      <c r="F10" s="33">
        <f>$C$30*('E Balans VL '!L14+'E Balans VL '!N14)/100/3.6*1000000</f>
        <v>1008.2149718265076</v>
      </c>
      <c r="G10" s="34"/>
      <c r="H10" s="33"/>
      <c r="I10" s="33"/>
      <c r="J10" s="33">
        <f>$C$30*('E Balans VL '!D14+'E Balans VL '!E14)/100/3.6*1000000</f>
        <v>0.1102446505672062</v>
      </c>
      <c r="K10" s="33"/>
      <c r="L10" s="33"/>
      <c r="M10" s="33"/>
      <c r="N10" s="33">
        <f>$C$30*'E Balans VL '!Y14/100/3.6*1000000</f>
        <v>4296.3061272309787</v>
      </c>
      <c r="O10" s="33"/>
      <c r="P10" s="33"/>
      <c r="R10" s="32"/>
    </row>
    <row r="11" spans="1:18">
      <c r="A11" s="32" t="s">
        <v>54</v>
      </c>
      <c r="B11" s="37">
        <f t="shared" si="0"/>
        <v>2485.9145720000001</v>
      </c>
      <c r="C11" s="33"/>
      <c r="D11" s="37">
        <f>IF(ISERROR(TER_onderwijs_gas_kWh/1000),0,TER_onderwijs_gas_kWh/1000)*0.902</f>
        <v>7085.761934702</v>
      </c>
      <c r="E11" s="33">
        <f>$C$31*'E Balans VL '!I11/100/3.6*1000000</f>
        <v>63.407800522815243</v>
      </c>
      <c r="F11" s="33">
        <f>$C$31*('E Balans VL '!L11+'E Balans VL '!N11)/100/3.6*1000000</f>
        <v>298.95462560199081</v>
      </c>
      <c r="G11" s="34"/>
      <c r="H11" s="33"/>
      <c r="I11" s="33"/>
      <c r="J11" s="33">
        <f>$C$31*('E Balans VL '!D11+'E Balans VL '!E11)/100/3.6*1000000</f>
        <v>0</v>
      </c>
      <c r="K11" s="33"/>
      <c r="L11" s="33"/>
      <c r="M11" s="33"/>
      <c r="N11" s="33">
        <f>$C$31*'E Balans VL '!Y11/100/3.6*1000000</f>
        <v>5.5286133512897813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1709.75</v>
      </c>
      <c r="C13" s="247">
        <f ca="1">'lokale energieproductie'!O91+'lokale energieproductie'!O60</f>
        <v>2442.5164092664095</v>
      </c>
      <c r="D13" s="310">
        <f ca="1">('lokale energieproductie'!P60+'lokale energieproductie'!P91)*(-1)</f>
        <v>-4875.7287644787648</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53764.573831000002</v>
      </c>
      <c r="C16" s="21">
        <f t="shared" ca="1" si="1"/>
        <v>2442.5164092664095</v>
      </c>
      <c r="D16" s="21">
        <f t="shared" ca="1" si="1"/>
        <v>58162.989671225238</v>
      </c>
      <c r="E16" s="21">
        <f t="shared" si="1"/>
        <v>746.73376074564646</v>
      </c>
      <c r="F16" s="21">
        <f t="shared" ca="1" si="1"/>
        <v>5867.7743642780542</v>
      </c>
      <c r="G16" s="21">
        <f t="shared" si="1"/>
        <v>0</v>
      </c>
      <c r="H16" s="21">
        <f t="shared" si="1"/>
        <v>0</v>
      </c>
      <c r="I16" s="21">
        <f t="shared" si="1"/>
        <v>0</v>
      </c>
      <c r="J16" s="21">
        <f t="shared" si="1"/>
        <v>0.1102446505672062</v>
      </c>
      <c r="K16" s="21">
        <f t="shared" si="1"/>
        <v>0</v>
      </c>
      <c r="L16" s="21">
        <f t="shared" ca="1" si="1"/>
        <v>0</v>
      </c>
      <c r="M16" s="21">
        <f t="shared" si="1"/>
        <v>0</v>
      </c>
      <c r="N16" s="21">
        <f t="shared" ca="1" si="1"/>
        <v>4357.2788764095358</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0.17319529952134813</v>
      </c>
      <c r="C18" s="25">
        <f ca="1">'EF ele_warmte'!B22</f>
        <v>2.8110677750558435E-2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9311.7714682976803</v>
      </c>
      <c r="C20" s="23">
        <f t="shared" ref="C20:P20" ca="1" si="2">C16*C18</f>
        <v>68.660791681339134</v>
      </c>
      <c r="D20" s="23">
        <f t="shared" ca="1" si="2"/>
        <v>11748.9239135875</v>
      </c>
      <c r="E20" s="23">
        <f t="shared" si="2"/>
        <v>169.50856368926176</v>
      </c>
      <c r="F20" s="23">
        <f t="shared" ca="1" si="2"/>
        <v>1566.6957552622405</v>
      </c>
      <c r="G20" s="23">
        <f t="shared" si="2"/>
        <v>0</v>
      </c>
      <c r="H20" s="23">
        <f t="shared" si="2"/>
        <v>0</v>
      </c>
      <c r="I20" s="23">
        <f t="shared" si="2"/>
        <v>0</v>
      </c>
      <c r="J20" s="23">
        <f t="shared" si="2"/>
        <v>3.9026606300790995E-2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14420.596252000001</v>
      </c>
      <c r="C26" s="39">
        <f>IF(ISERROR(B26*3.6/1000000/'E Balans VL '!Z12*100),0,B26*3.6/1000000/'E Balans VL '!Z12*100)</f>
        <v>0.30591975615564798</v>
      </c>
      <c r="D26" s="237" t="s">
        <v>716</v>
      </c>
      <c r="F26" s="6"/>
    </row>
    <row r="27" spans="1:18">
      <c r="A27" s="231" t="s">
        <v>52</v>
      </c>
      <c r="B27" s="33">
        <f>IF(ISERROR(TER_horeca_ele_kWh/1000),0,TER_horeca_ele_kWh/1000)</f>
        <v>5249.2520300000006</v>
      </c>
      <c r="C27" s="39">
        <f>IF(ISERROR(B27*3.6/1000000/'E Balans VL '!Z9*100),0,B27*3.6/1000000/'E Balans VL '!Z9*100)</f>
        <v>0.39531517839253028</v>
      </c>
      <c r="D27" s="237" t="s">
        <v>716</v>
      </c>
      <c r="F27" s="6"/>
    </row>
    <row r="28" spans="1:18">
      <c r="A28" s="171" t="s">
        <v>51</v>
      </c>
      <c r="B28" s="33">
        <f>IF(ISERROR(TER_handel_ele_kWh/1000),0,TER_handel_ele_kWh/1000)</f>
        <v>18309.170620000001</v>
      </c>
      <c r="C28" s="39">
        <f>IF(ISERROR(B28*3.6/1000000/'E Balans VL '!Z13*100),0,B28*3.6/1000000/'E Balans VL '!Z13*100)</f>
        <v>0.53145034864547147</v>
      </c>
      <c r="D28" s="237" t="s">
        <v>716</v>
      </c>
      <c r="F28" s="6"/>
    </row>
    <row r="29" spans="1:18">
      <c r="A29" s="231" t="s">
        <v>50</v>
      </c>
      <c r="B29" s="33">
        <f>IF(ISERROR(TER_gezond_ele_kWh/1000),0,TER_gezond_ele_kWh/1000)</f>
        <v>5095.7635999999993</v>
      </c>
      <c r="C29" s="39">
        <f>IF(ISERROR(B29*3.6/1000000/'E Balans VL '!Z10*100),0,B29*3.6/1000000/'E Balans VL '!Z10*100)</f>
        <v>0.51391383600560148</v>
      </c>
      <c r="D29" s="237" t="s">
        <v>716</v>
      </c>
      <c r="F29" s="6"/>
    </row>
    <row r="30" spans="1:18">
      <c r="A30" s="231" t="s">
        <v>49</v>
      </c>
      <c r="B30" s="33">
        <f>IF(ISERROR(TER_ander_ele_kWh/1000),0,TER_ander_ele_kWh/1000)</f>
        <v>6494.126757</v>
      </c>
      <c r="C30" s="39">
        <f>IF(ISERROR(B30*3.6/1000000/'E Balans VL '!Z14*100),0,B30*3.6/1000000/'E Balans VL '!Z14*100)</f>
        <v>0.47123749235386703</v>
      </c>
      <c r="D30" s="237" t="s">
        <v>716</v>
      </c>
      <c r="F30" s="6"/>
    </row>
    <row r="31" spans="1:18">
      <c r="A31" s="231" t="s">
        <v>54</v>
      </c>
      <c r="B31" s="33">
        <f>IF(ISERROR(TER_onderwijs_ele_kWh/1000),0,TER_onderwijs_ele_kWh/1000)</f>
        <v>2485.9145720000001</v>
      </c>
      <c r="C31" s="39">
        <f>IF(ISERROR(B31*3.6/1000000/'E Balans VL '!Z11*100),0,B31*3.6/1000000/'E Balans VL '!Z11*100)</f>
        <v>0.70858688417506144</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5</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21211.827031000004</v>
      </c>
      <c r="C5" s="17">
        <f>IF(ISERROR('Eigen informatie GS &amp; warmtenet'!B61),0,'Eigen informatie GS &amp; warmtenet'!B61)</f>
        <v>0</v>
      </c>
      <c r="D5" s="30">
        <f>SUM(D6:D15)</f>
        <v>17114.682681228001</v>
      </c>
      <c r="E5" s="17">
        <f>SUM(E6:E15)</f>
        <v>3224.937604921955</v>
      </c>
      <c r="F5" s="17">
        <f>SUM(F6:F15)</f>
        <v>10378.957415555078</v>
      </c>
      <c r="G5" s="18"/>
      <c r="H5" s="17"/>
      <c r="I5" s="17"/>
      <c r="J5" s="17">
        <f>SUM(J6:J15)</f>
        <v>14.872536791848667</v>
      </c>
      <c r="K5" s="17"/>
      <c r="L5" s="17"/>
      <c r="M5" s="17"/>
      <c r="N5" s="17">
        <f>SUM(N6:N15)</f>
        <v>1162.798542726395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23.815000000000001</v>
      </c>
      <c r="C7" s="33"/>
      <c r="D7" s="37">
        <f>IF( ISERROR(IND_nonf_gas_kWhh/1000),0,IND_nonf_gas_kWh/1000)*0.902</f>
        <v>0</v>
      </c>
      <c r="E7" s="33">
        <f>C29*'E Balans VL '!I17/100/3.6*1000000</f>
        <v>7.6286824074004111E-2</v>
      </c>
      <c r="F7" s="33">
        <f>C29*'E Balans VL '!L17/100/3.6*1000000+C29*'E Balans VL '!N17/100/3.6*1000000</f>
        <v>1.2317795995820373</v>
      </c>
      <c r="G7" s="34"/>
      <c r="H7" s="33"/>
      <c r="I7" s="33"/>
      <c r="J7" s="40">
        <f>C29*'E Balans VL '!D17/100/3.6*1000000+C29*'E Balans VL '!E17/100/3.6*1000000</f>
        <v>2.6424514472654881</v>
      </c>
      <c r="K7" s="33"/>
      <c r="L7" s="33"/>
      <c r="M7" s="33"/>
      <c r="N7" s="33">
        <f>C29*'E Balans VL '!Y17/100/3.6*1000000</f>
        <v>0</v>
      </c>
      <c r="O7" s="33"/>
      <c r="P7" s="33"/>
      <c r="R7" s="32"/>
    </row>
    <row r="8" spans="1:18">
      <c r="A8" s="6" t="s">
        <v>35</v>
      </c>
      <c r="B8" s="37">
        <f t="shared" si="0"/>
        <v>6861.3345280000003</v>
      </c>
      <c r="C8" s="33"/>
      <c r="D8" s="37">
        <f>IF( ISERROR(IND_metaal_Gas_kWH/1000),0,IND_metaal_Gas_kWH/1000)*0.902</f>
        <v>8745.7827094000004</v>
      </c>
      <c r="E8" s="33">
        <f>C30*'E Balans VL '!I18/100/3.6*1000000</f>
        <v>49.499712884871798</v>
      </c>
      <c r="F8" s="33">
        <f>C30*'E Balans VL '!L18/100/3.6*1000000+C30*'E Balans VL '!N18/100/3.6*1000000</f>
        <v>648.9557322024466</v>
      </c>
      <c r="G8" s="34"/>
      <c r="H8" s="33"/>
      <c r="I8" s="33"/>
      <c r="J8" s="40">
        <f>C30*'E Balans VL '!D18/100/3.6*1000000+C30*'E Balans VL '!E18/100/3.6*1000000</f>
        <v>6.9011701408366903</v>
      </c>
      <c r="K8" s="33"/>
      <c r="L8" s="33"/>
      <c r="M8" s="33"/>
      <c r="N8" s="33">
        <f>C30*'E Balans VL '!Y18/100/3.6*1000000</f>
        <v>86.745421732870298</v>
      </c>
      <c r="O8" s="33"/>
      <c r="P8" s="33"/>
      <c r="R8" s="32"/>
    </row>
    <row r="9" spans="1:18">
      <c r="A9" s="6" t="s">
        <v>32</v>
      </c>
      <c r="B9" s="37">
        <f t="shared" si="0"/>
        <v>11366.2256</v>
      </c>
      <c r="C9" s="33"/>
      <c r="D9" s="37">
        <f>IF( ISERROR(IND_andere_gas_kWh/1000),0,IND_andere_gas_kWh/1000)*0.902</f>
        <v>4613.4640642420009</v>
      </c>
      <c r="E9" s="33">
        <f>C31*'E Balans VL '!I19/100/3.6*1000000</f>
        <v>3149.7330992373518</v>
      </c>
      <c r="F9" s="33">
        <f>C31*'E Balans VL '!L19/100/3.6*1000000+C31*'E Balans VL '!N19/100/3.6*1000000</f>
        <v>9420.3523398828238</v>
      </c>
      <c r="G9" s="34"/>
      <c r="H9" s="33"/>
      <c r="I9" s="33"/>
      <c r="J9" s="40">
        <f>C31*'E Balans VL '!D19/100/3.6*1000000+C31*'E Balans VL '!E19/100/3.6*1000000</f>
        <v>0</v>
      </c>
      <c r="K9" s="33"/>
      <c r="L9" s="33"/>
      <c r="M9" s="33"/>
      <c r="N9" s="33">
        <f>C31*'E Balans VL '!Y19/100/3.6*1000000</f>
        <v>825.0489545704163</v>
      </c>
      <c r="O9" s="33"/>
      <c r="P9" s="33"/>
      <c r="R9" s="32"/>
    </row>
    <row r="10" spans="1:18">
      <c r="A10" s="6" t="s">
        <v>40</v>
      </c>
      <c r="B10" s="37">
        <f t="shared" si="0"/>
        <v>2296.1804750000001</v>
      </c>
      <c r="C10" s="33"/>
      <c r="D10" s="37">
        <f>IF( ISERROR(IND_voed_gas_kWh/1000),0,IND_voed_gas_kWh/1000)*0.902</f>
        <v>3113.807227586</v>
      </c>
      <c r="E10" s="33">
        <f>C32*'E Balans VL '!I20/100/3.6*1000000</f>
        <v>4.0650172069417003</v>
      </c>
      <c r="F10" s="33">
        <f>C32*'E Balans VL '!L20/100/3.6*1000000+C32*'E Balans VL '!N20/100/3.6*1000000</f>
        <v>124.01409651499965</v>
      </c>
      <c r="G10" s="34"/>
      <c r="H10" s="33"/>
      <c r="I10" s="33"/>
      <c r="J10" s="40">
        <f>C32*'E Balans VL '!D20/100/3.6*1000000+C32*'E Balans VL '!E20/100/3.6*1000000</f>
        <v>0</v>
      </c>
      <c r="K10" s="33"/>
      <c r="L10" s="33"/>
      <c r="M10" s="33"/>
      <c r="N10" s="33">
        <f>C32*'E Balans VL '!Y20/100/3.6*1000000</f>
        <v>133.42562174630356</v>
      </c>
      <c r="O10" s="33"/>
      <c r="P10" s="33"/>
      <c r="R10" s="32"/>
    </row>
    <row r="11" spans="1:18">
      <c r="A11" s="6" t="s">
        <v>39</v>
      </c>
      <c r="B11" s="37">
        <f t="shared" si="0"/>
        <v>144.31200000000001</v>
      </c>
      <c r="C11" s="33"/>
      <c r="D11" s="37">
        <f>IF( ISERROR(IND_textiel_gas_kWh/1000),0,IND_textiel_gas_kWh/1000)*0.902</f>
        <v>0</v>
      </c>
      <c r="E11" s="33">
        <f>C33*'E Balans VL '!I21/100/3.6*1000000</f>
        <v>0.5087147788597246</v>
      </c>
      <c r="F11" s="33">
        <f>C33*'E Balans VL '!L21/100/3.6*1000000+C33*'E Balans VL '!N21/100/3.6*1000000</f>
        <v>4.2357729985858077</v>
      </c>
      <c r="G11" s="34"/>
      <c r="H11" s="33"/>
      <c r="I11" s="33"/>
      <c r="J11" s="40">
        <f>C33*'E Balans VL '!D21/100/3.6*1000000+C33*'E Balans VL '!E21/100/3.6*1000000</f>
        <v>0</v>
      </c>
      <c r="K11" s="33"/>
      <c r="L11" s="33"/>
      <c r="M11" s="33"/>
      <c r="N11" s="33">
        <f>C33*'E Balans VL '!Y21/100/3.6*1000000</f>
        <v>6.3583660622745439</v>
      </c>
      <c r="O11" s="33"/>
      <c r="P11" s="33"/>
      <c r="R11" s="32"/>
    </row>
    <row r="12" spans="1:18">
      <c r="A12" s="6" t="s">
        <v>36</v>
      </c>
      <c r="B12" s="37">
        <f t="shared" si="0"/>
        <v>446.92142799999999</v>
      </c>
      <c r="C12" s="33"/>
      <c r="D12" s="37">
        <f>IF( ISERROR(IND_min_gas_kWh/1000),0,IND_min_gas_kWh/1000)*0.902</f>
        <v>0</v>
      </c>
      <c r="E12" s="33">
        <f>C34*'E Balans VL '!I22/100/3.6*1000000</f>
        <v>19.6808255051975</v>
      </c>
      <c r="F12" s="33">
        <f>C34*'E Balans VL '!L22/100/3.6*1000000+C34*'E Balans VL '!N22/100/3.6*1000000</f>
        <v>174.7643275199587</v>
      </c>
      <c r="G12" s="34"/>
      <c r="H12" s="33"/>
      <c r="I12" s="33"/>
      <c r="J12" s="40">
        <f>C34*'E Balans VL '!D22/100/3.6*1000000+C34*'E Balans VL '!E22/100/3.6*1000000</f>
        <v>0.13570122732322767</v>
      </c>
      <c r="K12" s="33"/>
      <c r="L12" s="33"/>
      <c r="M12" s="33"/>
      <c r="N12" s="33">
        <f>C34*'E Balans VL '!Y22/100/3.6*1000000</f>
        <v>110.55481729757459</v>
      </c>
      <c r="O12" s="33"/>
      <c r="P12" s="33"/>
      <c r="R12" s="32"/>
    </row>
    <row r="13" spans="1:18">
      <c r="A13" s="6" t="s">
        <v>38</v>
      </c>
      <c r="B13" s="37">
        <f t="shared" si="0"/>
        <v>45.378999999999998</v>
      </c>
      <c r="C13" s="33"/>
      <c r="D13" s="37">
        <f>IF( ISERROR(IND_papier_gas_kWh/1000),0,IND_papier_gas_kWh/1000)*0.902</f>
        <v>106.639852</v>
      </c>
      <c r="E13" s="33">
        <f>C35*'E Balans VL '!I23/100/3.6*1000000</f>
        <v>6.6768091249010508E-2</v>
      </c>
      <c r="F13" s="33">
        <f>C35*'E Balans VL '!L23/100/3.6*1000000+C35*'E Balans VL '!N23/100/3.6*1000000</f>
        <v>0.48588686291381755</v>
      </c>
      <c r="G13" s="34"/>
      <c r="H13" s="33"/>
      <c r="I13" s="33"/>
      <c r="J13" s="40">
        <f>C35*'E Balans VL '!D23/100/3.6*1000000+C35*'E Balans VL '!E23/100/3.6*1000000</f>
        <v>4.964717072115687</v>
      </c>
      <c r="K13" s="33"/>
      <c r="L13" s="33"/>
      <c r="M13" s="33"/>
      <c r="N13" s="33">
        <f>C35*'E Balans VL '!Y23/100/3.6*1000000</f>
        <v>-0.41109485620147873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27.658999999999999</v>
      </c>
      <c r="C15" s="33"/>
      <c r="D15" s="37">
        <f>IF( ISERROR(IND_rest_gas_kWh/1000),0,IND_rest_gas_kWh/1000)*0.902</f>
        <v>534.98882800000001</v>
      </c>
      <c r="E15" s="33">
        <f>C37*'E Balans VL '!I15/100/3.6*1000000</f>
        <v>1.3071803934094495</v>
      </c>
      <c r="F15" s="33">
        <f>C37*'E Balans VL '!L15/100/3.6*1000000+C37*'E Balans VL '!N15/100/3.6*1000000</f>
        <v>4.9174799737659525</v>
      </c>
      <c r="G15" s="34"/>
      <c r="H15" s="33"/>
      <c r="I15" s="33"/>
      <c r="J15" s="40">
        <f>C37*'E Balans VL '!D15/100/3.6*1000000+C37*'E Balans VL '!E15/100/3.6*1000000</f>
        <v>0.22849690430757283</v>
      </c>
      <c r="K15" s="33"/>
      <c r="L15" s="33"/>
      <c r="M15" s="33"/>
      <c r="N15" s="33">
        <f>C37*'E Balans VL '!Y15/100/3.6*1000000</f>
        <v>1.0764561731570663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21211.827031000004</v>
      </c>
      <c r="C18" s="21">
        <f>C5+C16</f>
        <v>0</v>
      </c>
      <c r="D18" s="21">
        <f>MAX((D5+D16),0)</f>
        <v>17114.682681228001</v>
      </c>
      <c r="E18" s="21">
        <f>MAX((E5+E16),0)</f>
        <v>3224.937604921955</v>
      </c>
      <c r="F18" s="21">
        <f>MAX((F5+F16),0)</f>
        <v>10378.957415555078</v>
      </c>
      <c r="G18" s="21"/>
      <c r="H18" s="21"/>
      <c r="I18" s="21"/>
      <c r="J18" s="21">
        <f>MAX((J5+J16),0)</f>
        <v>14.872536791848667</v>
      </c>
      <c r="K18" s="21"/>
      <c r="L18" s="21">
        <f>MAX((L5+L16),0)</f>
        <v>0</v>
      </c>
      <c r="M18" s="21"/>
      <c r="N18" s="21">
        <f>MAX((N5+N16),0)</f>
        <v>1162.798542726395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0.17319529952134813</v>
      </c>
      <c r="C20" s="25">
        <f ca="1">'EF ele_warmte'!B22</f>
        <v>2.8110677750558435E-2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3673.7887360290742</v>
      </c>
      <c r="C22" s="23">
        <f ca="1">C18*C20</f>
        <v>0</v>
      </c>
      <c r="D22" s="23">
        <f>D18*D20</f>
        <v>3457.1659016080566</v>
      </c>
      <c r="E22" s="23">
        <f>E18*E20</f>
        <v>732.06083631728382</v>
      </c>
      <c r="F22" s="23">
        <f>F18*F20</f>
        <v>2771.1816299532061</v>
      </c>
      <c r="G22" s="23"/>
      <c r="H22" s="23"/>
      <c r="I22" s="23"/>
      <c r="J22" s="23">
        <f>J18*J20</f>
        <v>5.2648780243144282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23.815000000000001</v>
      </c>
      <c r="C29" s="39">
        <f>IF(ISERROR(B29*3.6/1000000/'E Balans VL '!Z17*100),0,B29*3.6/1000000/'E Balans VL '!Z17*100)</f>
        <v>5.8307948673325767E-3</v>
      </c>
      <c r="D29" s="237" t="s">
        <v>716</v>
      </c>
    </row>
    <row r="30" spans="1:18">
      <c r="A30" s="171" t="s">
        <v>35</v>
      </c>
      <c r="B30" s="37">
        <f>IF( ISERROR(IND_metaal_ele_kWh/1000),0,IND_metaal_ele_kWh/1000)</f>
        <v>6861.3345280000003</v>
      </c>
      <c r="C30" s="39">
        <f>IF(ISERROR(B30*3.6/1000000/'E Balans VL '!Z18*100),0,B30*3.6/1000000/'E Balans VL '!Z18*100)</f>
        <v>0.39609413623411127</v>
      </c>
      <c r="D30" s="237" t="s">
        <v>716</v>
      </c>
    </row>
    <row r="31" spans="1:18">
      <c r="A31" s="6" t="s">
        <v>32</v>
      </c>
      <c r="B31" s="37">
        <f>IF( ISERROR(IND_ander_ele_kWh/1000),0,IND_ander_ele_kWh/1000)</f>
        <v>11366.2256</v>
      </c>
      <c r="C31" s="39">
        <f>IF(ISERROR(B31*3.6/1000000/'E Balans VL '!Z19*100),0,B31*3.6/1000000/'E Balans VL '!Z19*100)</f>
        <v>0.57168430548628335</v>
      </c>
      <c r="D31" s="237" t="s">
        <v>716</v>
      </c>
    </row>
    <row r="32" spans="1:18">
      <c r="A32" s="171" t="s">
        <v>40</v>
      </c>
      <c r="B32" s="37">
        <f>IF( ISERROR(IND_voed_ele_kWh/1000),0,IND_voed_ele_kWh/1000)</f>
        <v>2296.1804750000001</v>
      </c>
      <c r="C32" s="39">
        <f>IF(ISERROR(B32*3.6/1000000/'E Balans VL '!Z20*100),0,B32*3.6/1000000/'E Balans VL '!Z20*100)</f>
        <v>7.6476445106809329E-2</v>
      </c>
      <c r="D32" s="237" t="s">
        <v>716</v>
      </c>
    </row>
    <row r="33" spans="1:5">
      <c r="A33" s="171" t="s">
        <v>39</v>
      </c>
      <c r="B33" s="37">
        <f>IF( ISERROR(IND_textiel_ele_kWh/1000),0,IND_textiel_ele_kWh/1000)</f>
        <v>144.31200000000001</v>
      </c>
      <c r="C33" s="39">
        <f>IF(ISERROR(B33*3.6/1000000/'E Balans VL '!Z21*100),0,B33*3.6/1000000/'E Balans VL '!Z21*100)</f>
        <v>2.2500077521098234E-2</v>
      </c>
      <c r="D33" s="237" t="s">
        <v>716</v>
      </c>
    </row>
    <row r="34" spans="1:5">
      <c r="A34" s="171" t="s">
        <v>36</v>
      </c>
      <c r="B34" s="37">
        <f>IF( ISERROR(IND_min_ele_kWh/1000),0,IND_min_ele_kWh/1000)</f>
        <v>446.92142799999999</v>
      </c>
      <c r="C34" s="39">
        <f>IF(ISERROR(B34*3.6/1000000/'E Balans VL '!Z22*100),0,B34*3.6/1000000/'E Balans VL '!Z22*100)</f>
        <v>8.3365941700271992E-2</v>
      </c>
      <c r="D34" s="237" t="s">
        <v>716</v>
      </c>
    </row>
    <row r="35" spans="1:5">
      <c r="A35" s="171" t="s">
        <v>38</v>
      </c>
      <c r="B35" s="37">
        <f>IF( ISERROR(IND_papier_ele_kWh/1000),0,IND_papier_ele_kWh/1000)</f>
        <v>45.378999999999998</v>
      </c>
      <c r="C35" s="39">
        <f>IF(ISERROR(B35*3.6/1000000/'E Balans VL '!Z22*100),0,B35*3.6/1000000/'E Balans VL '!Z22*100)</f>
        <v>8.4647162373620681E-3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27.658999999999999</v>
      </c>
      <c r="C37" s="39">
        <f>IF(ISERROR(B37*3.6/1000000/'E Balans VL '!Z15*100),0,B37*3.6/1000000/'E Balans VL '!Z15*100)</f>
        <v>2.1581583716417021E-4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2323.1772650000003</v>
      </c>
      <c r="C5" s="17">
        <f>'Eigen informatie GS &amp; warmtenet'!B62</f>
        <v>0</v>
      </c>
      <c r="D5" s="30">
        <f>IF(ISERROR(SUM(LB_lb_gas_kWh,LB_rest_gas_kWh)/1000),0,SUM(LB_lb_gas_kWh,LB_rest_gas_kWh)/1000)*0.902</f>
        <v>1013.977888</v>
      </c>
      <c r="E5" s="17">
        <f>B17*'E Balans VL '!I25/3.6*1000000/100</f>
        <v>72.505596351298834</v>
      </c>
      <c r="F5" s="17">
        <f>B17*('E Balans VL '!L25/3.6*1000000+'E Balans VL '!N25/3.6*1000000)/100</f>
        <v>8210.3658091450197</v>
      </c>
      <c r="G5" s="18"/>
      <c r="H5" s="17"/>
      <c r="I5" s="17"/>
      <c r="J5" s="17">
        <f>('E Balans VL '!D25+'E Balans VL '!E25)/3.6*1000000*landbouw!B17/100</f>
        <v>640.05144760063627</v>
      </c>
      <c r="K5" s="17"/>
      <c r="L5" s="17">
        <f>L6*(-1)</f>
        <v>0</v>
      </c>
      <c r="M5" s="17"/>
      <c r="N5" s="17">
        <f>N6*(-1)</f>
        <v>36334.285714285717</v>
      </c>
      <c r="O5" s="17"/>
      <c r="P5" s="17"/>
      <c r="R5" s="32"/>
    </row>
    <row r="6" spans="1:18">
      <c r="A6" s="16" t="s">
        <v>482</v>
      </c>
      <c r="B6" s="17" t="s">
        <v>210</v>
      </c>
      <c r="C6" s="17">
        <f>'lokale energieproductie'!O92+'lokale energieproductie'!O61</f>
        <v>18167.142857142859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-36334.285714285717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2323.1772650000003</v>
      </c>
      <c r="C8" s="21">
        <f>C5+C6</f>
        <v>18167.142857142859</v>
      </c>
      <c r="D8" s="21">
        <f>MAX((D5+D6),0)</f>
        <v>1013.977888</v>
      </c>
      <c r="E8" s="21">
        <f>MAX((E5+E6),0)</f>
        <v>72.505596351298834</v>
      </c>
      <c r="F8" s="21">
        <f>MAX((F5+F6),0)</f>
        <v>8210.3658091450197</v>
      </c>
      <c r="G8" s="21"/>
      <c r="H8" s="21"/>
      <c r="I8" s="21"/>
      <c r="J8" s="21">
        <f>MAX((J5+J6),0)</f>
        <v>640.05144760063627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0.17319529952134813</v>
      </c>
      <c r="C10" s="31">
        <f ca="1">'EF ele_warmte'!B22</f>
        <v>2.8110677750558435E-2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402.36338225286141</v>
      </c>
      <c r="C12" s="23">
        <f ca="1">C8*C10</f>
        <v>510.69069850550238</v>
      </c>
      <c r="D12" s="23">
        <f>D8*D10</f>
        <v>204.823533376</v>
      </c>
      <c r="E12" s="23">
        <f>E8*E10</f>
        <v>16.458770371744837</v>
      </c>
      <c r="F12" s="23">
        <f>F8*F10</f>
        <v>2192.1676710417205</v>
      </c>
      <c r="G12" s="23"/>
      <c r="H12" s="23"/>
      <c r="I12" s="23"/>
      <c r="J12" s="23">
        <f>J8*J10</f>
        <v>226.57821245062522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0.3453569545543993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327.45649947946117</v>
      </c>
      <c r="C26" s="247">
        <f>B26*'GWP N2O_CH4'!B5</f>
        <v>6876.5864890686844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126.83259959728605</v>
      </c>
      <c r="C27" s="247">
        <f>B27*'GWP N2O_CH4'!B5</f>
        <v>2663.4845915430069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4.822658092311884</v>
      </c>
      <c r="C28" s="247">
        <f>B28*'GWP N2O_CH4'!B4</f>
        <v>1495.0240086166841</v>
      </c>
      <c r="D28" s="50"/>
    </row>
    <row r="29" spans="1:4">
      <c r="A29" s="41" t="s">
        <v>276</v>
      </c>
      <c r="B29" s="247">
        <f>B34*'ha_N2O bodem landbouw'!B4</f>
        <v>38.736088147746337</v>
      </c>
      <c r="C29" s="247">
        <f>B29*'GWP N2O_CH4'!B4</f>
        <v>12008.187325801364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8.4941267032152025E-3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4.2746266785500002E-4</v>
      </c>
      <c r="C5" s="463" t="s">
        <v>210</v>
      </c>
      <c r="D5" s="448">
        <f>SUM(D6:D11)</f>
        <v>1.6986518304933521E-3</v>
      </c>
      <c r="E5" s="448">
        <f>SUM(E6:E11)</f>
        <v>1.3184521187346E-3</v>
      </c>
      <c r="F5" s="461" t="s">
        <v>210</v>
      </c>
      <c r="G5" s="448">
        <f>SUM(G6:G11)</f>
        <v>0.50940113537495502</v>
      </c>
      <c r="H5" s="448">
        <f>SUM(H6:H11)</f>
        <v>0.12671752931245076</v>
      </c>
      <c r="I5" s="463" t="s">
        <v>210</v>
      </c>
      <c r="J5" s="463" t="s">
        <v>210</v>
      </c>
      <c r="K5" s="463" t="s">
        <v>210</v>
      </c>
      <c r="L5" s="463" t="s">
        <v>210</v>
      </c>
      <c r="M5" s="448">
        <f>SUM(M6:M11)</f>
        <v>3.7701361814411083E-2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3.3738550327500001E-4</v>
      </c>
      <c r="C6" s="449"/>
      <c r="D6" s="917">
        <f>vkm_2011_GW_PW*SUMIFS(TableVerdeelsleutelVkm[CNG],TableVerdeelsleutelVkm[Voertuigtype],"Lichte voertuigen")*SUMIFS(TableECFTransport[EnergieConsumptieFactor (PJ per km)],TableECFTransport[Index],CONCATENATE($A6,"_CNG_CNG"))</f>
        <v>1.17314686259694E-3</v>
      </c>
      <c r="E6" s="917">
        <f>vkm_2011_GW_PW*SUMIFS(TableVerdeelsleutelVkm[LPG],TableVerdeelsleutelVkm[Voertuigtype],"Lichte voertuigen")*SUMIFS(TableECFTransport[EnergieConsumptieFactor (PJ per km)],TableECFTransport[Index],CONCATENATE($A6,"_LPG_LPG"))</f>
        <v>9.2424644569799998E-4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0.25159062913981056</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8.8040009942064512E-2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2.0295065381935914E-2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0.12737949686150069</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3.2091000045610063E-5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7.3450997502955036E-3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7.8651865014999994E-5</v>
      </c>
      <c r="C8" s="449"/>
      <c r="D8" s="451">
        <f>vkm_2011_NGW_PW*SUMIFS(TableVerdeelsleutelVkm[CNG],TableVerdeelsleutelVkm[Voertuigtype],"Lichte voertuigen")*SUMIFS(TableECFTransport[EnergieConsumptieFactor (PJ per km)],TableECFTransport[Index],CONCATENATE($A8,"_CNG_CNG"))</f>
        <v>4.8399984093384002E-4</v>
      </c>
      <c r="E8" s="451">
        <f>vkm_2011_NGW_PW*SUMIFS(TableVerdeelsleutelVkm[LPG],TableVerdeelsleutelVkm[Voertuigtype],"Lichte voertuigen")*SUMIFS(TableECFTransport[EnergieConsumptieFactor (PJ per km)],TableECFTransport[Index],CONCATENATE($A8,"_LPG_LPG"))</f>
        <v>3.5349990210942499E-4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8.9295522226301299E-2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3.5392701844219332E-2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7.4758963297039994E-3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1.8804362748005583E-2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4.4700196573935874E-6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1.084300713648755E-3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1.1425299565E-5</v>
      </c>
      <c r="C10" s="449"/>
      <c r="D10" s="451">
        <f>vkm_2011_SW_PW*SUMIFS(TableVerdeelsleutelVkm[CNG],TableVerdeelsleutelVkm[Voertuigtype],"Lichte voertuigen")*SUMIFS(TableECFTransport[EnergieConsumptieFactor (PJ per km)],TableECFTransport[Index],CONCATENATE($A10,"_CNG_CNG"))</f>
        <v>4.1505126962572003E-5</v>
      </c>
      <c r="E10" s="451">
        <f>vkm_2011_SW_PW*SUMIFS(TableVerdeelsleutelVkm[LPG],TableVerdeelsleutelVkm[Voertuigtype],"Lichte voertuigen")*SUMIFS(TableECFTransport[EnergieConsumptieFactor (PJ per km)],TableECFTransport[Index],CONCATENATE($A10,"_LPG_LPG"))</f>
        <v>4.0705770927175E-5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9.8428726640658864E-3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3.2448489291019809E-3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7.8087083252505792E-4</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1.2488251735271091E-2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3.4075773619109705E-6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7.2012880630185547E-4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118.73962995972222</v>
      </c>
      <c r="C14" s="21"/>
      <c r="D14" s="21">
        <f t="shared" ref="D14:M14" si="0">((D5)*10^9/3600)+D12</f>
        <v>471.84773069259779</v>
      </c>
      <c r="E14" s="21">
        <f t="shared" si="0"/>
        <v>366.23669964850001</v>
      </c>
      <c r="F14" s="21"/>
      <c r="G14" s="21">
        <f t="shared" si="0"/>
        <v>141500.31538193196</v>
      </c>
      <c r="H14" s="21">
        <f t="shared" si="0"/>
        <v>35199.313697902988</v>
      </c>
      <c r="I14" s="21"/>
      <c r="J14" s="21"/>
      <c r="K14" s="21"/>
      <c r="L14" s="21"/>
      <c r="M14" s="21">
        <f t="shared" si="0"/>
        <v>10472.600504003078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0.17319529952134813</v>
      </c>
      <c r="C16" s="56">
        <f ca="1">'EF ele_warmte'!B22</f>
        <v>2.8110677750558435E-2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20.565145775928134</v>
      </c>
      <c r="C18" s="23"/>
      <c r="D18" s="23">
        <f t="shared" ref="D18:M18" si="1">D14*D16</f>
        <v>95.313241599904757</v>
      </c>
      <c r="E18" s="23">
        <f t="shared" si="1"/>
        <v>83.135730820209503</v>
      </c>
      <c r="F18" s="23"/>
      <c r="G18" s="23">
        <f t="shared" si="1"/>
        <v>37780.584206975836</v>
      </c>
      <c r="H18" s="23">
        <f t="shared" si="1"/>
        <v>8764.6291107778434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1.6678872109486039E-2</v>
      </c>
      <c r="H50" s="321">
        <f t="shared" si="2"/>
        <v>0</v>
      </c>
      <c r="I50" s="321">
        <f t="shared" si="2"/>
        <v>0</v>
      </c>
      <c r="J50" s="321">
        <f t="shared" si="2"/>
        <v>0</v>
      </c>
      <c r="K50" s="321">
        <f t="shared" si="2"/>
        <v>0</v>
      </c>
      <c r="L50" s="321">
        <f t="shared" si="2"/>
        <v>0</v>
      </c>
      <c r="M50" s="321">
        <f t="shared" si="2"/>
        <v>9.2701355726105509E-4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1.6678872109486039E-2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9.2701355726105509E-4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4633.0200304127884</v>
      </c>
      <c r="H54" s="21">
        <f t="shared" si="3"/>
        <v>0</v>
      </c>
      <c r="I54" s="21">
        <f t="shared" si="3"/>
        <v>0</v>
      </c>
      <c r="J54" s="21">
        <f t="shared" si="3"/>
        <v>0</v>
      </c>
      <c r="K54" s="21">
        <f t="shared" si="3"/>
        <v>0</v>
      </c>
      <c r="L54" s="21">
        <f t="shared" si="3"/>
        <v>0</v>
      </c>
      <c r="M54" s="21">
        <f t="shared" si="3"/>
        <v>257.50376590584864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0.17319529952134813</v>
      </c>
      <c r="C56" s="56">
        <f ca="1">'EF ele_warmte'!B22</f>
        <v>2.8110677750558435E-2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1237.0163481202146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12.739126840757807</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15371.929331631993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14426.75</v>
      </c>
      <c r="C8" s="574">
        <f>B101</f>
        <v>2007.6520803854899</v>
      </c>
      <c r="D8" s="575"/>
      <c r="E8" s="575">
        <f>E101</f>
        <v>0</v>
      </c>
      <c r="F8" s="576"/>
      <c r="G8" s="577"/>
      <c r="H8" s="575">
        <f>I101</f>
        <v>0</v>
      </c>
      <c r="I8" s="575">
        <f>G101+F101</f>
        <v>0</v>
      </c>
      <c r="J8" s="575">
        <f>H101+D101+C101</f>
        <v>14961.169463536553</v>
      </c>
      <c r="K8" s="575"/>
      <c r="L8" s="575"/>
      <c r="M8" s="575"/>
      <c r="N8" s="578"/>
      <c r="O8" s="579">
        <f>C8*$C$12+D8*$D$12+E8*$E$12+F8*$F$12+G8*$G$12+H8*$H$12+I8*$I$12+J8*$J$12</f>
        <v>405.54572023786898</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29811.418458472748</v>
      </c>
      <c r="C10" s="589">
        <f t="shared" ref="C10:L10" si="0">SUM(C8:C9)</f>
        <v>2007.6520803854899</v>
      </c>
      <c r="D10" s="589">
        <f t="shared" si="0"/>
        <v>0</v>
      </c>
      <c r="E10" s="589">
        <f t="shared" si="0"/>
        <v>0</v>
      </c>
      <c r="F10" s="589">
        <f t="shared" si="0"/>
        <v>0</v>
      </c>
      <c r="G10" s="589">
        <f t="shared" si="0"/>
        <v>0</v>
      </c>
      <c r="H10" s="589">
        <f t="shared" si="0"/>
        <v>0</v>
      </c>
      <c r="I10" s="589">
        <f t="shared" si="0"/>
        <v>0</v>
      </c>
      <c r="J10" s="589">
        <f t="shared" si="0"/>
        <v>14961.169463536553</v>
      </c>
      <c r="K10" s="589">
        <f t="shared" si="0"/>
        <v>0</v>
      </c>
      <c r="L10" s="589">
        <f t="shared" si="0"/>
        <v>0</v>
      </c>
      <c r="M10" s="1004"/>
      <c r="N10" s="1004"/>
      <c r="O10" s="590">
        <f>SUM(O4:O9)</f>
        <v>405.54572023786898</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20609.659266409268</v>
      </c>
      <c r="C17" s="605">
        <f>B102</f>
        <v>2868.0766840932747</v>
      </c>
      <c r="D17" s="606"/>
      <c r="E17" s="606">
        <f>E102</f>
        <v>0</v>
      </c>
      <c r="F17" s="607"/>
      <c r="G17" s="608"/>
      <c r="H17" s="605">
        <f>I102</f>
        <v>0</v>
      </c>
      <c r="I17" s="606">
        <f>G102+F102</f>
        <v>0</v>
      </c>
      <c r="J17" s="606">
        <f>H102+D102+C102</f>
        <v>21373.116250749164</v>
      </c>
      <c r="K17" s="606"/>
      <c r="L17" s="606"/>
      <c r="M17" s="606"/>
      <c r="N17" s="1005"/>
      <c r="O17" s="609">
        <f>C17*$C$22+E17*$E$22+H17*$H$22+I17*$I$22+J17*$J$22+D17*$D$22+F17*$F$22+G17*$G$22+K17*$K$22+L17*$L$22</f>
        <v>579.35149018684149</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20609.659266409268</v>
      </c>
      <c r="C20" s="588">
        <f>SUM(C17:C19)</f>
        <v>2868.0766840932747</v>
      </c>
      <c r="D20" s="588">
        <f t="shared" ref="D20:L20" si="1">SUM(D17:D19)</f>
        <v>0</v>
      </c>
      <c r="E20" s="588">
        <f t="shared" si="1"/>
        <v>0</v>
      </c>
      <c r="F20" s="588">
        <f t="shared" si="1"/>
        <v>0</v>
      </c>
      <c r="G20" s="588">
        <f t="shared" si="1"/>
        <v>0</v>
      </c>
      <c r="H20" s="588">
        <f t="shared" si="1"/>
        <v>0</v>
      </c>
      <c r="I20" s="588">
        <f t="shared" si="1"/>
        <v>0</v>
      </c>
      <c r="J20" s="588">
        <f t="shared" si="1"/>
        <v>21373.116250749164</v>
      </c>
      <c r="K20" s="588">
        <f t="shared" si="1"/>
        <v>0</v>
      </c>
      <c r="L20" s="588">
        <f t="shared" si="1"/>
        <v>0</v>
      </c>
      <c r="M20" s="588"/>
      <c r="N20" s="588"/>
      <c r="O20" s="614">
        <f>SUM(O17:O19)</f>
        <v>579.35149018684149</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73083</v>
      </c>
      <c r="C28" s="817">
        <v>3700</v>
      </c>
      <c r="D28" s="666" t="s">
        <v>886</v>
      </c>
      <c r="E28" s="665" t="s">
        <v>887</v>
      </c>
      <c r="F28" s="665" t="s">
        <v>888</v>
      </c>
      <c r="G28" s="665" t="s">
        <v>889</v>
      </c>
      <c r="H28" s="665" t="s">
        <v>890</v>
      </c>
      <c r="I28" s="665" t="s">
        <v>887</v>
      </c>
      <c r="J28" s="816">
        <v>41131</v>
      </c>
      <c r="K28" s="816">
        <v>41131</v>
      </c>
      <c r="L28" s="665" t="s">
        <v>891</v>
      </c>
      <c r="M28" s="665">
        <v>2826</v>
      </c>
      <c r="N28" s="665">
        <v>12717</v>
      </c>
      <c r="O28" s="665">
        <v>18167.142857142859</v>
      </c>
      <c r="P28" s="665">
        <v>0</v>
      </c>
      <c r="Q28" s="665">
        <v>36334.285714285717</v>
      </c>
      <c r="R28" s="665">
        <v>0</v>
      </c>
      <c r="S28" s="665">
        <v>0</v>
      </c>
      <c r="T28" s="665">
        <v>0</v>
      </c>
      <c r="U28" s="665">
        <v>0</v>
      </c>
      <c r="V28" s="665">
        <v>0</v>
      </c>
      <c r="W28" s="665">
        <v>0</v>
      </c>
      <c r="X28" s="665">
        <v>10</v>
      </c>
      <c r="Y28" s="665" t="s">
        <v>111</v>
      </c>
      <c r="Z28" s="667" t="s">
        <v>111</v>
      </c>
    </row>
    <row r="29" spans="1:26" s="619" customFormat="1" ht="51">
      <c r="A29" s="618"/>
      <c r="B29" s="817">
        <v>73083</v>
      </c>
      <c r="C29" s="817">
        <v>3700</v>
      </c>
      <c r="D29" s="666" t="s">
        <v>892</v>
      </c>
      <c r="E29" s="665"/>
      <c r="F29" s="665" t="s">
        <v>893</v>
      </c>
      <c r="G29" s="665" t="s">
        <v>889</v>
      </c>
      <c r="H29" s="665" t="s">
        <v>890</v>
      </c>
      <c r="I29" s="665" t="s">
        <v>894</v>
      </c>
      <c r="J29" s="816">
        <v>41869</v>
      </c>
      <c r="K29" s="816">
        <v>42117</v>
      </c>
      <c r="L29" s="665" t="s">
        <v>895</v>
      </c>
      <c r="M29" s="665">
        <v>379</v>
      </c>
      <c r="N29" s="665">
        <v>1705.5</v>
      </c>
      <c r="O29" s="665">
        <v>2436.4285714285716</v>
      </c>
      <c r="P29" s="665">
        <v>4872.8571428571431</v>
      </c>
      <c r="Q29" s="665">
        <v>0</v>
      </c>
      <c r="R29" s="665">
        <v>0</v>
      </c>
      <c r="S29" s="665">
        <v>0</v>
      </c>
      <c r="T29" s="665">
        <v>0</v>
      </c>
      <c r="U29" s="665">
        <v>0</v>
      </c>
      <c r="V29" s="665">
        <v>0</v>
      </c>
      <c r="W29" s="665">
        <v>0</v>
      </c>
      <c r="X29" s="665">
        <v>1500</v>
      </c>
      <c r="Y29" s="665" t="s">
        <v>50</v>
      </c>
      <c r="Z29" s="667" t="s">
        <v>155</v>
      </c>
    </row>
    <row r="30" spans="1:26" s="619" customFormat="1" ht="12.75">
      <c r="A30" s="618"/>
      <c r="B30" s="817">
        <v>73083</v>
      </c>
      <c r="C30" s="817">
        <v>3700</v>
      </c>
      <c r="D30" s="666" t="s">
        <v>896</v>
      </c>
      <c r="E30" s="665"/>
      <c r="F30" s="665" t="s">
        <v>897</v>
      </c>
      <c r="G30" s="665" t="s">
        <v>898</v>
      </c>
      <c r="H30" s="665" t="s">
        <v>898</v>
      </c>
      <c r="I30" s="665" t="s">
        <v>899</v>
      </c>
      <c r="J30" s="816">
        <v>43005</v>
      </c>
      <c r="K30" s="816">
        <v>43005</v>
      </c>
      <c r="L30" s="665" t="s">
        <v>895</v>
      </c>
      <c r="M30" s="665">
        <v>3.4</v>
      </c>
      <c r="N30" s="665">
        <v>4.25</v>
      </c>
      <c r="O30" s="665">
        <v>6.0878378378378377</v>
      </c>
      <c r="P30" s="665">
        <v>2.8716216216216215</v>
      </c>
      <c r="Q30" s="665">
        <v>0</v>
      </c>
      <c r="R30" s="665">
        <v>0</v>
      </c>
      <c r="S30" s="665">
        <v>0</v>
      </c>
      <c r="T30" s="665">
        <v>0</v>
      </c>
      <c r="U30" s="665">
        <v>0</v>
      </c>
      <c r="V30" s="665">
        <v>0</v>
      </c>
      <c r="W30" s="665">
        <v>0</v>
      </c>
      <c r="X30" s="665">
        <v>1200</v>
      </c>
      <c r="Y30" s="665" t="s">
        <v>52</v>
      </c>
      <c r="Z30" s="667" t="s">
        <v>155</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3208.4</v>
      </c>
      <c r="N58" s="623">
        <f>SUM(N28:N57)</f>
        <v>14426.75</v>
      </c>
      <c r="O58" s="623">
        <f t="shared" ref="O58:W58" si="2">SUM(O28:O57)</f>
        <v>20609.659266409268</v>
      </c>
      <c r="P58" s="623">
        <f t="shared" si="2"/>
        <v>4875.7287644787648</v>
      </c>
      <c r="Q58" s="623">
        <f t="shared" si="2"/>
        <v>36334.285714285717</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382.4</v>
      </c>
      <c r="N60" s="623">
        <f ca="1">SUMIF($Z$28:AD57,"tertiair",N28:N57)</f>
        <v>1709.75</v>
      </c>
      <c r="O60" s="623">
        <f ca="1">SUMIF($Z$28:AE57,"tertiair",O28:O57)</f>
        <v>2442.5164092664095</v>
      </c>
      <c r="P60" s="623">
        <f ca="1">SUMIF($Z$28:AF57,"tertiair",P28:P57)</f>
        <v>4875.7287644787648</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2826</v>
      </c>
      <c r="N61" s="628">
        <f t="shared" si="4"/>
        <v>12717</v>
      </c>
      <c r="O61" s="628">
        <f t="shared" si="4"/>
        <v>18167.142857142859</v>
      </c>
      <c r="P61" s="628">
        <f t="shared" si="4"/>
        <v>0</v>
      </c>
      <c r="Q61" s="628">
        <f t="shared" si="4"/>
        <v>36334.285714285717</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0.5882354869672255</v>
      </c>
      <c r="C98" s="648">
        <f>IF(ISERROR(N58/(O58+N58)),0,N58/(N58+O58))</f>
        <v>0.4117645130327745</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2007.6520803854899</v>
      </c>
      <c r="C101" s="657">
        <f t="shared" si="9"/>
        <v>14961.169463536553</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2868.0766840932747</v>
      </c>
      <c r="C102" s="660">
        <f t="shared" si="10"/>
        <v>21373.116250749164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2019-08-12T08:41:53Z</dcterms:modified>
</cp:coreProperties>
</file>