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E78" i="14"/>
  <c r="E9" i="59"/>
  <c r="E10" s="1"/>
  <c r="O78" i="14"/>
  <c r="O9" i="59"/>
  <c r="O10" s="1"/>
  <c r="G78" i="14"/>
  <c r="G9" i="59"/>
  <c r="G10" s="1"/>
  <c r="H90" i="14"/>
  <c r="H18" i="59"/>
  <c r="H20" s="1"/>
  <c r="K15" i="48"/>
  <c r="I33"/>
  <c r="J16" i="14"/>
  <c r="J27" s="1"/>
  <c r="I20" i="15"/>
  <c r="J40" i="14" s="1"/>
  <c r="J46" s="1"/>
  <c r="J61" s="1"/>
  <c r="I15" i="48"/>
  <c r="J7"/>
  <c r="J25" s="1"/>
  <c r="K33"/>
  <c r="N78" i="14"/>
  <c r="N9" i="59"/>
  <c r="N10" s="1"/>
  <c r="M24" i="48"/>
  <c r="M32"/>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J5" i="48"/>
  <c r="J23" s="1"/>
  <c r="O15"/>
  <c r="J20" i="15"/>
  <c r="K40" i="14" s="1"/>
  <c r="E16"/>
  <c r="E27" s="1"/>
  <c r="C10" i="18"/>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5" i="48"/>
  <c r="Q90" i="14"/>
  <c r="B17" i="6" s="1"/>
  <c r="B22" s="1"/>
  <c r="P17" i="59"/>
  <c r="P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C12" i="59" s="1"/>
  <c r="B4" i="6"/>
  <c r="C33" i="48"/>
  <c r="C55" i="14"/>
  <c r="R55" s="1"/>
  <c r="B56" i="22"/>
  <c r="B58" s="1"/>
  <c r="B10" i="17"/>
  <c r="B12" s="1"/>
  <c r="B16" i="22"/>
  <c r="B18" s="1"/>
  <c r="B18" i="15"/>
  <c r="B20" s="1"/>
  <c r="B29" i="20"/>
  <c r="B31" s="1"/>
  <c r="B10" i="9"/>
  <c r="B12" s="1"/>
  <c r="B10" i="13"/>
  <c r="B17" i="49"/>
  <c r="B19" s="1"/>
  <c r="B20" i="16" l="1"/>
  <c r="B22" s="1"/>
  <c r="B17" i="19"/>
  <c r="B19"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<sst xmlns="http://schemas.openxmlformats.org/spreadsheetml/2006/main" count="2393" uniqueCount="893">
  <si>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</si>
  <si>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</si>
  <si>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</si>
  <si>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</si>
  <si>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</si>
  <si>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</si>
  <si>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</si>
  <si>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</si>
  <si>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</si>
  <si>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</si>
  <si>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</si>
  <si>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</si>
  <si>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</si>
  <si>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</si>
  <si>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</si>
  <si>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</si>
  <si>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</si>
  <si>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</si>
  <si>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</si>
  <si>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</si>
  <si>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</si>
  <si>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</si>
  <si>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</si>
  <si>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</si>
  <si>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</si>
  <si>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</si>
  <si>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</si>
  <si>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</si>
  <si>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</si>
  <si>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</si>
  <si>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</si>
  <si>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</si>
  <si>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</si>
  <si>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</si>
  <si>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</si>
  <si>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</si>
  <si>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</si>
  <si>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</si>
  <si>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</si>
  <si>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</si>
  <si>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</si>
  <si>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</si>
  <si>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</si>
  <si>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</si>
  <si>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</si>
  <si>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</si>
  <si>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</si>
  <si>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</si>
  <si>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</si>
  <si>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</si>
  <si>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</si>
  <si>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</si>
  <si>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</si>
  <si>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</si>
  <si>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</si>
  <si>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</si>
  <si>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</si>
  <si>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</si>
  <si>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</si>
  <si>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</si>
  <si>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</si>
  <si>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</si>
  <si>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</si>
  <si>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</si>
  <si>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</si>
  <si>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</si>
  <si>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</si>
  <si>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</si>
  <si>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</si>
  <si>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</si>
  <si>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</si>
  <si>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</si>
  <si>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</si>
  <si>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</si>
  <si>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</si>
  <si>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</si>
  <si>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</si>
  <si>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</si>
  <si>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</si>
  <si>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</si>
  <si>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</si>
  <si>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</si>
  <si>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</si>
  <si>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</si>
  <si>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</si>
  <si>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</si>
  <si>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</si>
  <si>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</si>
  <si>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</si>
  <si>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</si>
  <si>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</si>
  <si>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</si>
  <si>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</si>
  <si>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</si>
  <si>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</si>
  <si>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</si>
  <si>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</si>
  <si>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</si>
  <si>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</si>
  <si>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</si>
  <si>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</si>
  <si>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</si>
  <si>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</si>
  <si>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</si>
  <si>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</si>
  <si>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</si>
  <si>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</si>
  <si>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</si>
  <si>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</si>
  <si>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</si>
  <si>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</si>
  <si>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</si>
  <si>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</si>
  <si>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</si>
  <si>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</si>
  <si>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</si>
  <si>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</si>
  <si>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</si>
  <si>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</si>
  <si>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</si>
  <si>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</si>
  <si>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</si>
  <si>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</si>
  <si>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</si>
  <si>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</si>
  <si>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</si>
  <si>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</si>
  <si>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</si>
  <si>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</si>
  <si>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</si>
  <si>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</si>
  <si>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</si>
  <si>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</si>
  <si>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</si>
  <si>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</si>
  <si>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</si>
  <si>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</si>
  <si>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</si>
  <si>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</si>
  <si>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</si>
  <si>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</si>
  <si>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</si>
  <si>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</si>
  <si>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</si>
  <si>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</si>
  <si>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</si>
  <si>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</si>
  <si>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</si>
  <si>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</si>
  <si>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</si>
  <si>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</si>
  <si>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</si>
  <si>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</si>
  <si>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</si>
  <si>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</si>
  <si>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</si>
  <si>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</si>
  <si>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</si>
  <si>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</si>
  <si>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</si>
  <si>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</si>
  <si>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</si>
  <si>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</si>
  <si>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</si>
  <si>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</si>
  <si>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</si>
  <si>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</si>
  <si>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</si>
  <si>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</si>
  <si>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</si>
  <si>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</si>
  <si>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</si>
  <si>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</si>
  <si>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</si>
  <si>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</si>
  <si>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</si>
  <si>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</si>
  <si>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</si>
  <si>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</si>
  <si>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</si>
  <si>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</si>
  <si>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</si>
  <si>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</si>
  <si>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</si>
  <si>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</si>
  <si>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</si>
  <si>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</si>
  <si>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</si>
  <si>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</si>
  <si>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</si>
  <si>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</si>
  <si>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</si>
  <si>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</si>
  <si>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</si>
  <si>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</si>
  <si>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</si>
  <si>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</si>
  <si>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</si>
  <si>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</si>
  <si>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</si>
  <si>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</si>
  <si>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</si>
  <si>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</si>
  <si>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</si>
  <si>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</si>
  <si>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</si>
  <si>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</si>
  <si>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</si>
  <si>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</si>
  <si>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</si>
  <si>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</si>
  <si>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</si>
  <si>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</si>
  <si>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</si>
  <si>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</si>
  <si>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</si>
  <si>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</si>
  <si>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</si>
  <si>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</si>
  <si>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</si>
  <si>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</si>
  <si>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</si>
  <si>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</si>
  <si>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</si>
  <si>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</si>
  <si>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</si>
  <si>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</si>
  <si>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</si>
  <si>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</si>
  <si>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</si>
  <si>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</si>
  <si>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</si>
  <si>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</si>
  <si>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</si>
  <si>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</si>
  <si>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</si>
  <si>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</si>
  <si>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</si>
  <si>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</si>
  <si>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</si>
  <si>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</si>
  <si>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</si>
  <si>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</si>
  <si>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</si>
  <si>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</si>
  <si>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</si>
  <si>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</si>
  <si>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</si>
  <si>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</si>
  <si>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</si>
  <si>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</si>
  <si>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</si>
  <si>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</si>
  <si>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</si>
  <si>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</si>
  <si>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</si>
  <si>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</si>
  <si>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</si>
  <si>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</si>
  <si>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</si>
  <si>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</si>
  <si>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</si>
  <si>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</si>
  <si>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</si>
  <si>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</si>
  <si>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</si>
  <si>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</si>
  <si>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</si>
  <si>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</si>
  <si>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</si>
  <si>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</si>
  <si>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</si>
  <si>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</si>
  <si>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</si>
  <si>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</si>
  <si>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</si>
  <si>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</si>
  <si>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</si>
  <si>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</si>
  <si>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</si>
  <si>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</si>
  <si>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</si>
  <si>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</si>
  <si>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</si>
  <si>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</si>
  <si>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</si>
  <si>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</si>
  <si>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</si>
  <si>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</si>
  <si>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</si>
  <si>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</si>
  <si>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</si>
  <si>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</si>
  <si>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</si>
  <si>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</si>
  <si>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</si>
  <si>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</si>
  <si>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</si>
  <si>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</si>
  <si>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</si>
  <si>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</si>
  <si>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</si>
  <si>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</si>
  <si>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</si>
  <si>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</si>
  <si>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</si>
  <si>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</si>
  <si>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</si>
  <si>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</si>
  <si>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</si>
  <si>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</si>
  <si>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</si>
  <si>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</si>
  <si>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</si>
  <si>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</si>
  <si>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</si>
  <si>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</si>
  <si>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</si>
  <si>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</si>
  <si>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</si>
  <si>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</si>
  <si>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</si>
  <si>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</si>
  <si>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</si>
  <si>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</si>
  <si>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</si>
  <si>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</si>
  <si>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</si>
  <si>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</si>
  <si>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</si>
  <si>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</si>
  <si>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</si>
  <si>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</si>
  <si>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</si>
  <si>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</si>
  <si>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</si>
  <si>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</si>
  <si>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</si>
  <si>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</si>
  <si>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</si>
  <si>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</si>
  <si>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</si>
  <si>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</si>
  <si>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</si>
  <si>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</si>
  <si>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</si>
  <si>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</si>
  <si>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</si>
  <si>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</si>
  <si>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</si>
  <si>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</si>
  <si>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</si>
  <si>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</si>
  <si>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</si>
  <si>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</si>
  <si>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</si>
  <si>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</si>
  <si>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</si>
  <si>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</si>
  <si>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</si>
  <si>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</si>
  <si>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</si>
  <si>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</si>
  <si>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</si>
  <si>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</si>
  <si>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</si>
  <si>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</si>
  <si>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</si>
  <si>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</si>
  <si>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</si>
  <si>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</si>
  <si>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</si>
  <si>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</si>
  <si>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</si>
  <si>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</si>
  <si>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</si>
  <si>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</si>
  <si>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</si>
  <si>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</si>
  <si>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</si>
  <si>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</si>
  <si>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</si>
  <si>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</si>
  <si>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</si>
  <si>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</si>
  <si>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</si>
  <si>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</si>
  <si>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</si>
  <si>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</si>
  <si>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</si>
  <si>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</si>
  <si>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</si>
  <si>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</si>
  <si>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</si>
  <si>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</si>
  <si>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</si>
  <si>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</si>
  <si>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</si>
  <si>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</si>
  <si>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</si>
  <si>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</si>
  <si>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</si>
  <si>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</si>
  <si>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</si>
  <si>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</si>
  <si>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</si>
  <si>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</si>
  <si>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</si>
  <si>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</si>
  <si>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</si>
  <si>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</si>
  <si>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</si>
  <si>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</si>
  <si>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</si>
  <si>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</si>
  <si>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</si>
  <si>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</si>
  <si>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</si>
  <si>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</si>
  <si>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</si>
  <si>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</si>
  <si>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</si>
  <si>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</si>
  <si>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</si>
  <si>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</si>
  <si>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</si>
  <si>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</si>
  <si>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</si>
  <si>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</si>
  <si>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</si>
  <si>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</si>
  <si>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</si>
  <si>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</si>
  <si>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</si>
  <si>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</si>
  <si>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</si>
  <si>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</si>
  <si>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</si>
  <si>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</si>
  <si>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</si>
  <si>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</si>
  <si>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</si>
  <si>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</si>
  <si>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</si>
  <si>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</si>
  <si>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</si>
  <si>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</si>
  <si>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</si>
  <si>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</si>
  <si>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</si>
  <si>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</si>
  <si>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</si>
  <si>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</si>
  <si>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</si>
  <si>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</si>
  <si>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</si>
  <si>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</si>
  <si>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</si>
  <si>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</si>
  <si>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</si>
  <si>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</si>
  <si>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</si>
  <si>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</si>
  <si>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</si>
  <si>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</si>
  <si>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</si>
  <si>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</si>
  <si>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</si>
  <si>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</si>
  <si>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</si>
  <si>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</si>
  <si>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</si>
  <si>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</si>
  <si>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</si>
  <si>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</si>
  <si>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</si>
  <si>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</si>
  <si>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</si>
  <si>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</si>
  <si>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</si>
  <si>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</si>
  <si>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</si>
  <si>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</si>
  <si>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</si>
  <si>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</si>
  <si>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</si>
  <si>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</si>
  <si>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</si>
  <si>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</si>
  <si>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</si>
  <si>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</si>
  <si>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</si>
  <si>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</si>
  <si>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</si>
  <si>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</si>
  <si>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</si>
  <si>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</si>
  <si>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</si>
  <si>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</si>
  <si>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</si>
  <si>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</si>
  <si>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</si>
  <si>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</si>
  <si>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</si>
  <si>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</si>
  <si>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</si>
  <si>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</si>
  <si>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</si>
  <si>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</si>
  <si>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</si>
  <si>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</si>
  <si>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</si>
  <si>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</si>
  <si>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</si>
  <si>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</si>
  <si>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</si>
  <si>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</si>
  <si>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</si>
  <si>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</si>
  <si>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</si>
  <si>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</si>
  <si>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</si>
  <si>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</si>
  <si>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</si>
  <si>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</si>
  <si>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</si>
  <si>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</si>
  <si>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</si>
  <si>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</si>
  <si>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</si>
  <si>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</si>
  <si>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</si>
  <si>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</si>
  <si>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</si>
  <si>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</si>
  <si>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</si>
  <si>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</si>
  <si>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</si>
  <si>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</si>
  <si>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</si>
  <si>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</si>
  <si>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</si>
  <si>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</si>
  <si>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</si>
  <si>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</si>
  <si>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</si>
  <si>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</si>
  <si>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</si>
  <si>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</si>
  <si>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</si>
  <si>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</si>
  <si>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</si>
  <si>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</si>
  <si>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</si>
  <si>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</si>
  <si>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</si>
  <si>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</si>
  <si>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</si>
  <si>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</si>
  <si>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</si>
  <si>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</si>
  <si>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</si>
  <si>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</si>
  <si>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</si>
  <si>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</si>
  <si>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</si>
  <si>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</si>
  <si>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</si>
  <si>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</si>
  <si>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</si>
  <si>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</si>
  <si>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</si>
  <si>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</si>
  <si>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</si>
  <si>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</si>
  <si>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</si>
  <si>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</si>
  <si>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</si>
  <si>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</si>
  <si>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</si>
  <si>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</si>
  <si>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</si>
  <si>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</si>
  <si>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</si>
  <si>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</si>
  <si>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</si>
  <si>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</si>
  <si>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</si>
  <si>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</si>
  <si>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</si>
  <si>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</si>
  <si>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</si>
  <si>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</si>
  <si>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</si>
  <si>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</si>
  <si>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</si>
  <si>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</si>
  <si>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</si>
  <si>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</si>
  <si>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</si>
  <si>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</si>
  <si>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</si>
  <si>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</si>
  <si>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</si>
  <si>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</si>
  <si>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</si>
  <si>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</si>
  <si>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</si>
  <si>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</si>
  <si>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</si>
  <si>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</si>
  <si>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</si>
  <si>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</si>
  <si>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</si>
  <si>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</si>
  <si>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</si>
  <si>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</si>
  <si>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</si>
  <si>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</si>
  <si>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</si>
  <si>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</si>
  <si>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</si>
  <si>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</si>
  <si>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</si>
  <si>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</si>
  <si>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</si>
  <si>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</si>
  <si>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</si>
  <si>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</si>
  <si>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</si>
  <si>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</si>
  <si>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</si>
  <si>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</si>
  <si>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</si>
  <si>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</si>
  <si>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</si>
  <si>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</si>
  <si>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</si>
  <si>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</si>
  <si>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</si>
  <si>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</si>
  <si>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</si>
  <si>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</si>
  <si>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</si>
  <si>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</si>
  <si>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</si>
  <si>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</si>
  <si>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</si>
  <si>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</si>
  <si>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</si>
  <si>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</si>
  <si>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</si>
  <si>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</si>
  <si>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</si>
  <si>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</si>
  <si>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</si>
  <si>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</si>
  <si>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</si>
  <si>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</si>
  <si>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</si>
  <si>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</si>
  <si>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</si>
  <si>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</si>
  <si>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</si>
  <si>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</si>
  <si>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</si>
  <si>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</si>
  <si>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</si>
  <si>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</si>
  <si>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</si>
  <si>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</si>
  <si>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</si>
  <si>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</si>
  <si>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</si>
  <si>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</si>
  <si>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</si>
  <si>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</si>
  <si>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</si>
  <si>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</si>
  <si>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</si>
  <si>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</si>
  <si>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</si>
  <si>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</si>
  <si>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</si>
  <si>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</si>
  <si>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</si>
  <si>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</si>
  <si>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</si>
  <si>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</si>
  <si>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</si>
  <si>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</si>
  <si>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</si>
  <si>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</si>
  <si>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</si>
  <si>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</si>
  <si>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</si>
  <si>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</si>
  <si>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</si>
  <si>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</si>
  <si>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</si>
  <si>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</si>
  <si>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</si>
  <si>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</si>
  <si>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</si>
  <si>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</si>
  <si>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</si>
  <si>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</si>
  <si>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</si>
  <si>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</si>
  <si>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</si>
  <si>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</si>
  <si>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</si>
  <si>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</si>
  <si>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</si>
  <si>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</si>
  <si>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</si>
  <si>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</si>
  <si>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</si>
  <si>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</si>
  <si>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</si>
  <si>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</si>
  <si>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</si>
  <si>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</si>
  <si>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</si>
  <si>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</si>
  <si>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</si>
  <si>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</si>
  <si>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</si>
  <si>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</si>
  <si>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</si>
  <si>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</si>
  <si>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</si>
  <si>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</si>
  <si>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</si>
  <si>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</si>
  <si>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</si>
  <si>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</si>
  <si>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</si>
  <si>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</si>
  <si>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</si>
  <si>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</si>
  <si>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</si>
  <si>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</si>
  <si>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</si>
  <si>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</si>
  <si>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</si>
  <si>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</si>
  <si>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</si>
  <si>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</si>
  <si>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</si>
  <si>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</si>
  <si>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</si>
  <si>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</si>
  <si>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</si>
  <si>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</si>
  <si>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</si>
  <si>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</si>
  <si>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</si>
  <si>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</si>
  <si>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</si>
  <si>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</si>
  <si>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</si>
  <si>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</si>
  <si>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</si>
  <si>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</si>
  <si>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</si>
  <si>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</si>
  <si>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</si>
  <si>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</si>
  <si>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</si>
  <si>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</si>
  <si>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</si>
  <si>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</si>
  <si>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</si>
  <si>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</si>
  <si>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</si>
  <si>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</si>
  <si>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</si>
  <si>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</si>
  <si>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</si>
  <si>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</si>
  <si>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</si>
  <si>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</si>
  <si>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</si>
  <si>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</si>
  <si>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</si>
  <si>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</si>
  <si>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</si>
  <si>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</si>
  <si>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</si>
  <si>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</si>
  <si>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</si>
  <si>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</si>
  <si>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</si>
  <si>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</si>
  <si>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</si>
  <si>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</si>
  <si>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</si>
  <si>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</si>
  <si>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</si>
  <si>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</si>
  <si>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</si>
  <si>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</si>
  <si>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</si>
  <si>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</si>
  <si>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</si>
  <si>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</si>
  <si>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</si>
  <si>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</si>
  <si>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</si>
  <si>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</si>
  <si>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</si>
  <si>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</si>
  <si>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</si>
  <si>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</si>
  <si>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</si>
  <si>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</si>
  <si>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</si>
  <si>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</si>
  <si>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</si>
  <si>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</si>
  <si>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</si>
  <si>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</si>
  <si>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</si>
  <si>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</si>
  <si>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</si>
  <si>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</si>
  <si>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</si>
  <si>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</si>
  <si>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</si>
  <si>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</si>
  <si>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</si>
  <si>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</si>
  <si>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</si>
  <si>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</si>
  <si>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</si>
  <si>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</si>
  <si>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</si>
  <si>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</si>
  <si>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</si>
  <si>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</si>
  <si>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</si>
  <si>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</si>
  <si>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</si>
  <si>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</si>
  <si>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</si>
  <si>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</si>
  <si>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</si>
  <si>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</si>
  <si>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</si>
  <si>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</si>
  <si>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</si>
  <si>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</si>
  <si>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</si>
  <si>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</si>
  <si>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</si>
  <si>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</si>
  <si>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</si>
  <si>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</si>
  <si>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</si>
  <si>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</si>
  <si>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</si>
  <si>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</si>
  <si>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</si>
  <si>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</si>
  <si>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</si>
  <si>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</si>
  <si>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</si>
  <si>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</si>
  <si>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</si>
  <si>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</si>
  <si>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</si>
  <si>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</si>
  <si>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</si>
  <si>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</si>
  <si>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</si>
  <si>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</si>
  <si>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</si>
  <si>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72040</t>
  </si>
  <si>
    <t>MEEUWEN-GRUITRODE</t>
  </si>
  <si>
    <t>Mestbank (maart 2019)</t>
  </si>
  <si>
    <t>Fluvius (februari 2019)</t>
  </si>
  <si>
    <t>referentietaak LNE (2017); Jaarverslag De Lijn (2018)</t>
  </si>
  <si>
    <t>VEA (30 april 2019)</t>
  </si>
  <si>
    <t>VEA (mei 2018)</t>
  </si>
  <si>
    <t>VEA (mei 2019)</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</si>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</sst>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115995.73208065075</c:v>
                </c:pt>
                <c:pt idx="1">
                  <c:v>16153.145855144527</c:v>
                </c:pt>
                <c:pt idx="2">
                  <c:v>756.43700000000001</c:v>
                </c:pt>
                <c:pt idx="3">
                  <c:v>11834.697800965903</c:v>
                </c:pt>
                <c:pt idx="4">
                  <c:v>12163.145987068723</c:v>
                </c:pt>
                <c:pt idx="5">
                  <c:v>102111.32633956546</c:v>
                </c:pt>
                <c:pt idx="6">
                  <c:v>1759.3107276818171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115995.73208065075</c:v>
                </c:pt>
                <c:pt idx="1">
                  <c:v>16153.145855144527</c:v>
                </c:pt>
                <c:pt idx="2">
                  <c:v>756.43700000000001</c:v>
                </c:pt>
                <c:pt idx="3">
                  <c:v>11834.697800965903</c:v>
                </c:pt>
                <c:pt idx="4">
                  <c:v>12163.145987068723</c:v>
                </c:pt>
                <c:pt idx="5">
                  <c:v>102111.32633956546</c:v>
                </c:pt>
                <c:pt idx="6">
                  <c:v>1759.3107276818171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22119.859381398383</c:v>
                </c:pt>
                <c:pt idx="1">
                  <c:v>3032.5304416048712</c:v>
                </c:pt>
                <c:pt idx="2">
                  <c:v>137.17940739362345</c:v>
                </c:pt>
                <c:pt idx="3">
                  <c:v>2987.2879515879563</c:v>
                </c:pt>
                <c:pt idx="4">
                  <c:v>2433.9233428718053</c:v>
                </c:pt>
                <c:pt idx="5">
                  <c:v>25366.244011604791</c:v>
                </c:pt>
                <c:pt idx="6">
                  <c:v>445.00266683169912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22119.859381398383</c:v>
                </c:pt>
                <c:pt idx="1">
                  <c:v>3032.5304416048712</c:v>
                </c:pt>
                <c:pt idx="2">
                  <c:v>137.17940739362345</c:v>
                </c:pt>
                <c:pt idx="3">
                  <c:v>2987.2879515879563</c:v>
                </c:pt>
                <c:pt idx="4">
                  <c:v>2433.9233428718053</c:v>
                </c:pt>
                <c:pt idx="5">
                  <c:v>25366.244011604791</c:v>
                </c:pt>
                <c:pt idx="6">
                  <c:v>445.00266683169912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72040</v>
      </c>
      <c r="B6" s="415"/>
      <c r="C6" s="416"/>
    </row>
    <row r="7" spans="1:7" s="413" customFormat="1" ht="15.75" customHeight="1">
      <c r="A7" s="417" t="str">
        <f>txtMunicipality</f>
        <v>MEEUWEN-GRUITRODE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0.18134941494615342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0.18134941494615342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5182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4672.74</v>
      </c>
    </row>
    <row r="15" spans="1:6">
      <c r="A15" s="348" t="s">
        <v>183</v>
      </c>
      <c r="B15" s="334">
        <v>2250</v>
      </c>
    </row>
    <row r="16" spans="1:6">
      <c r="A16" s="348" t="s">
        <v>6</v>
      </c>
      <c r="B16" s="334">
        <v>1685</v>
      </c>
    </row>
    <row r="17" spans="1:6">
      <c r="A17" s="348" t="s">
        <v>7</v>
      </c>
      <c r="B17" s="334">
        <v>525</v>
      </c>
    </row>
    <row r="18" spans="1:6">
      <c r="A18" s="348" t="s">
        <v>8</v>
      </c>
      <c r="B18" s="334">
        <v>1448</v>
      </c>
    </row>
    <row r="19" spans="1:6">
      <c r="A19" s="348" t="s">
        <v>9</v>
      </c>
      <c r="B19" s="334">
        <v>1337</v>
      </c>
    </row>
    <row r="20" spans="1:6">
      <c r="A20" s="348" t="s">
        <v>10</v>
      </c>
      <c r="B20" s="334">
        <v>896</v>
      </c>
    </row>
    <row r="21" spans="1:6">
      <c r="A21" s="348" t="s">
        <v>11</v>
      </c>
      <c r="B21" s="334">
        <v>5922</v>
      </c>
    </row>
    <row r="22" spans="1:6">
      <c r="A22" s="348" t="s">
        <v>12</v>
      </c>
      <c r="B22" s="334">
        <v>16321</v>
      </c>
    </row>
    <row r="23" spans="1:6">
      <c r="A23" s="348" t="s">
        <v>13</v>
      </c>
      <c r="B23" s="334">
        <v>170</v>
      </c>
    </row>
    <row r="24" spans="1:6">
      <c r="A24" s="348" t="s">
        <v>14</v>
      </c>
      <c r="B24" s="334">
        <v>9</v>
      </c>
    </row>
    <row r="25" spans="1:6">
      <c r="A25" s="348" t="s">
        <v>15</v>
      </c>
      <c r="B25" s="334">
        <v>1122</v>
      </c>
    </row>
    <row r="26" spans="1:6">
      <c r="A26" s="348" t="s">
        <v>16</v>
      </c>
      <c r="B26" s="334">
        <v>182</v>
      </c>
    </row>
    <row r="27" spans="1:6">
      <c r="A27" s="348" t="s">
        <v>17</v>
      </c>
      <c r="B27" s="334">
        <v>0</v>
      </c>
    </row>
    <row r="28" spans="1:6" s="356" customFormat="1">
      <c r="A28" s="355" t="s">
        <v>18</v>
      </c>
      <c r="B28" s="355">
        <v>114592</v>
      </c>
    </row>
    <row r="29" spans="1:6">
      <c r="A29" s="355" t="s">
        <v>713</v>
      </c>
      <c r="B29" s="355">
        <v>525</v>
      </c>
      <c r="C29" s="356"/>
      <c r="D29" s="356"/>
      <c r="E29" s="356"/>
      <c r="F29" s="356"/>
    </row>
    <row r="30" spans="1:6">
      <c r="A30" s="341" t="s">
        <v>714</v>
      </c>
      <c r="B30" s="341">
        <v>64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16</v>
      </c>
      <c r="F36" s="334">
        <v>18559</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1974</v>
      </c>
      <c r="D39" s="334">
        <v>29302229.550000001</v>
      </c>
      <c r="E39" s="334">
        <v>5058</v>
      </c>
      <c r="F39" s="334">
        <v>16586873.300000001</v>
      </c>
    </row>
    <row r="40" spans="1:6">
      <c r="A40" s="348" t="s">
        <v>29</v>
      </c>
      <c r="B40" s="348" t="s">
        <v>28</v>
      </c>
      <c r="C40" s="334">
        <v>0</v>
      </c>
      <c r="D40" s="334">
        <v>0</v>
      </c>
      <c r="E40" s="334">
        <v>0</v>
      </c>
      <c r="F40" s="334">
        <v>0</v>
      </c>
    </row>
    <row r="41" spans="1:6">
      <c r="A41" s="348" t="s">
        <v>31</v>
      </c>
      <c r="B41" s="348" t="s">
        <v>32</v>
      </c>
      <c r="C41" s="334">
        <v>44</v>
      </c>
      <c r="D41" s="334">
        <v>1597119.8</v>
      </c>
      <c r="E41" s="334">
        <v>159</v>
      </c>
      <c r="F41" s="334">
        <v>2475149.3879999998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5</v>
      </c>
      <c r="D44" s="334">
        <v>242128</v>
      </c>
      <c r="E44" s="334">
        <v>28</v>
      </c>
      <c r="F44" s="334">
        <v>3565809</v>
      </c>
    </row>
    <row r="45" spans="1:6">
      <c r="A45" s="348" t="s">
        <v>31</v>
      </c>
      <c r="B45" s="348" t="s">
        <v>36</v>
      </c>
      <c r="C45" s="334">
        <v>0</v>
      </c>
      <c r="D45" s="334">
        <v>0</v>
      </c>
      <c r="E45" s="334">
        <v>4</v>
      </c>
      <c r="F45" s="334">
        <v>43038</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5</v>
      </c>
      <c r="D48" s="334">
        <v>122295</v>
      </c>
      <c r="E48" s="334">
        <v>2</v>
      </c>
      <c r="F48" s="334">
        <v>2045</v>
      </c>
    </row>
    <row r="49" spans="1:6">
      <c r="A49" s="348" t="s">
        <v>31</v>
      </c>
      <c r="B49" s="348" t="s">
        <v>39</v>
      </c>
      <c r="C49" s="334">
        <v>0</v>
      </c>
      <c r="D49" s="334">
        <v>0</v>
      </c>
      <c r="E49" s="334">
        <v>6</v>
      </c>
      <c r="F49" s="334">
        <v>42796.75</v>
      </c>
    </row>
    <row r="50" spans="1:6">
      <c r="A50" s="348" t="s">
        <v>31</v>
      </c>
      <c r="B50" s="348" t="s">
        <v>40</v>
      </c>
      <c r="C50" s="334">
        <v>0</v>
      </c>
      <c r="D50" s="334">
        <v>0</v>
      </c>
      <c r="E50" s="334">
        <v>6</v>
      </c>
      <c r="F50" s="334">
        <v>810799.25</v>
      </c>
    </row>
    <row r="51" spans="1:6">
      <c r="A51" s="348" t="s">
        <v>41</v>
      </c>
      <c r="B51" s="348" t="s">
        <v>42</v>
      </c>
      <c r="C51" s="334">
        <v>5</v>
      </c>
      <c r="D51" s="334">
        <v>61588</v>
      </c>
      <c r="E51" s="334">
        <v>120</v>
      </c>
      <c r="F51" s="334">
        <v>2420410.264</v>
      </c>
    </row>
    <row r="52" spans="1:6">
      <c r="A52" s="348" t="s">
        <v>41</v>
      </c>
      <c r="B52" s="348" t="s">
        <v>28</v>
      </c>
      <c r="C52" s="334">
        <v>0</v>
      </c>
      <c r="D52" s="334">
        <v>0</v>
      </c>
      <c r="E52" s="334">
        <v>0</v>
      </c>
      <c r="F52" s="334">
        <v>0</v>
      </c>
    </row>
    <row r="53" spans="1:6">
      <c r="A53" s="348" t="s">
        <v>43</v>
      </c>
      <c r="B53" s="348" t="s">
        <v>44</v>
      </c>
      <c r="C53" s="334">
        <v>33</v>
      </c>
      <c r="D53" s="334">
        <v>768409.85</v>
      </c>
      <c r="E53" s="334">
        <v>90</v>
      </c>
      <c r="F53" s="334">
        <v>368197.7</v>
      </c>
    </row>
    <row r="54" spans="1:6">
      <c r="A54" s="348" t="s">
        <v>45</v>
      </c>
      <c r="B54" s="348" t="s">
        <v>46</v>
      </c>
      <c r="C54" s="334">
        <v>0</v>
      </c>
      <c r="D54" s="334">
        <v>0</v>
      </c>
      <c r="E54" s="334">
        <v>3</v>
      </c>
      <c r="F54" s="334">
        <v>756437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18</v>
      </c>
      <c r="D57" s="334">
        <v>589885</v>
      </c>
      <c r="E57" s="334">
        <v>64</v>
      </c>
      <c r="F57" s="334">
        <v>765818.652</v>
      </c>
    </row>
    <row r="58" spans="1:6">
      <c r="A58" s="348" t="s">
        <v>48</v>
      </c>
      <c r="B58" s="348" t="s">
        <v>50</v>
      </c>
      <c r="C58" s="334">
        <v>11</v>
      </c>
      <c r="D58" s="334">
        <v>1407483</v>
      </c>
      <c r="E58" s="334">
        <v>25</v>
      </c>
      <c r="F58" s="334">
        <v>765423</v>
      </c>
    </row>
    <row r="59" spans="1:6">
      <c r="A59" s="348" t="s">
        <v>48</v>
      </c>
      <c r="B59" s="348" t="s">
        <v>51</v>
      </c>
      <c r="C59" s="334">
        <v>52</v>
      </c>
      <c r="D59" s="334">
        <v>1888476</v>
      </c>
      <c r="E59" s="334">
        <v>158</v>
      </c>
      <c r="F59" s="334">
        <v>3233813.8859999999</v>
      </c>
    </row>
    <row r="60" spans="1:6">
      <c r="A60" s="348" t="s">
        <v>48</v>
      </c>
      <c r="B60" s="348" t="s">
        <v>52</v>
      </c>
      <c r="C60" s="334">
        <v>26</v>
      </c>
      <c r="D60" s="334">
        <v>1048681</v>
      </c>
      <c r="E60" s="334">
        <v>51</v>
      </c>
      <c r="F60" s="334">
        <v>1190097.5349999999</v>
      </c>
    </row>
    <row r="61" spans="1:6">
      <c r="A61" s="348" t="s">
        <v>48</v>
      </c>
      <c r="B61" s="348" t="s">
        <v>53</v>
      </c>
      <c r="C61" s="334">
        <v>67</v>
      </c>
      <c r="D61" s="334">
        <v>1993168.4</v>
      </c>
      <c r="E61" s="334">
        <v>154</v>
      </c>
      <c r="F61" s="334">
        <v>1659148.057</v>
      </c>
    </row>
    <row r="62" spans="1:6">
      <c r="A62" s="348" t="s">
        <v>48</v>
      </c>
      <c r="B62" s="348" t="s">
        <v>54</v>
      </c>
      <c r="C62" s="334">
        <v>6</v>
      </c>
      <c r="D62" s="334">
        <v>369204</v>
      </c>
      <c r="E62" s="334">
        <v>22</v>
      </c>
      <c r="F62" s="334">
        <v>331156</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31099</v>
      </c>
      <c r="E65" s="334">
        <v>0</v>
      </c>
      <c r="F65" s="334">
        <v>0</v>
      </c>
    </row>
    <row r="66" spans="1:6">
      <c r="A66" s="348" t="s">
        <v>55</v>
      </c>
      <c r="B66" s="348" t="s">
        <v>57</v>
      </c>
      <c r="C66" s="334">
        <v>0</v>
      </c>
      <c r="D66" s="334">
        <v>0</v>
      </c>
      <c r="E66" s="334">
        <v>15</v>
      </c>
      <c r="F66" s="334">
        <v>156400.54999999999</v>
      </c>
    </row>
    <row r="67" spans="1:6">
      <c r="A67" s="355" t="s">
        <v>55</v>
      </c>
      <c r="B67" s="355" t="s">
        <v>58</v>
      </c>
      <c r="C67" s="334">
        <v>0</v>
      </c>
      <c r="D67" s="334">
        <v>0</v>
      </c>
      <c r="E67" s="334">
        <v>0</v>
      </c>
      <c r="F67" s="334">
        <v>0</v>
      </c>
    </row>
    <row r="68" spans="1:6">
      <c r="A68" s="341" t="s">
        <v>55</v>
      </c>
      <c r="B68" s="341" t="s">
        <v>59</v>
      </c>
      <c r="C68" s="334">
        <v>0</v>
      </c>
      <c r="D68" s="334">
        <v>0</v>
      </c>
      <c r="E68" s="334">
        <v>7</v>
      </c>
      <c r="F68" s="334">
        <v>34277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88023141</v>
      </c>
      <c r="E73" s="476"/>
    </row>
    <row r="74" spans="1:6">
      <c r="A74" s="348" t="s">
        <v>63</v>
      </c>
      <c r="B74" s="348" t="s">
        <v>651</v>
      </c>
      <c r="C74" s="1307" t="s">
        <v>653</v>
      </c>
      <c r="D74" s="476">
        <v>8235644.5</v>
      </c>
      <c r="E74" s="476"/>
    </row>
    <row r="75" spans="1:6">
      <c r="A75" s="348" t="s">
        <v>64</v>
      </c>
      <c r="B75" s="348" t="s">
        <v>650</v>
      </c>
      <c r="C75" s="1307" t="s">
        <v>654</v>
      </c>
      <c r="D75" s="476">
        <v>28257816</v>
      </c>
      <c r="E75" s="476"/>
    </row>
    <row r="76" spans="1:6">
      <c r="A76" s="348" t="s">
        <v>64</v>
      </c>
      <c r="B76" s="348" t="s">
        <v>651</v>
      </c>
      <c r="C76" s="1307" t="s">
        <v>655</v>
      </c>
      <c r="D76" s="476">
        <v>537391.5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488759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5943.0499276081682</v>
      </c>
    </row>
    <row r="92" spans="1:6">
      <c r="A92" s="341" t="s">
        <v>68</v>
      </c>
      <c r="B92" s="342">
        <v>1373.4551246718549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252</v>
      </c>
    </row>
    <row r="98" spans="1:6">
      <c r="A98" s="348" t="s">
        <v>71</v>
      </c>
      <c r="B98" s="334">
        <v>2</v>
      </c>
    </row>
    <row r="99" spans="1:6">
      <c r="A99" s="348" t="s">
        <v>72</v>
      </c>
      <c r="B99" s="334">
        <v>29</v>
      </c>
    </row>
    <row r="100" spans="1:6">
      <c r="A100" s="348" t="s">
        <v>73</v>
      </c>
      <c r="B100" s="334">
        <v>157</v>
      </c>
    </row>
    <row r="101" spans="1:6">
      <c r="A101" s="348" t="s">
        <v>74</v>
      </c>
      <c r="B101" s="334">
        <v>59</v>
      </c>
    </row>
    <row r="102" spans="1:6">
      <c r="A102" s="348" t="s">
        <v>75</v>
      </c>
      <c r="B102" s="334">
        <v>51</v>
      </c>
    </row>
    <row r="103" spans="1:6">
      <c r="A103" s="348" t="s">
        <v>76</v>
      </c>
      <c r="B103" s="334">
        <v>84</v>
      </c>
    </row>
    <row r="104" spans="1:6">
      <c r="A104" s="348" t="s">
        <v>77</v>
      </c>
      <c r="B104" s="334">
        <v>3633</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16</v>
      </c>
      <c r="C123" s="334">
        <v>62</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276</v>
      </c>
    </row>
    <row r="130" spans="1:6">
      <c r="A130" s="348" t="s">
        <v>294</v>
      </c>
      <c r="B130" s="334">
        <v>1</v>
      </c>
    </row>
    <row r="131" spans="1:6">
      <c r="A131" s="348" t="s">
        <v>295</v>
      </c>
      <c r="B131" s="334">
        <v>1</v>
      </c>
    </row>
    <row r="132" spans="1:6">
      <c r="A132" s="341" t="s">
        <v>296</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41023.209729312337</v>
      </c>
      <c r="C3" s="43" t="s">
        <v>169</v>
      </c>
      <c r="D3" s="43"/>
      <c r="E3" s="154"/>
      <c r="F3" s="43"/>
      <c r="G3" s="43"/>
      <c r="H3" s="43"/>
      <c r="I3" s="43"/>
      <c r="J3" s="43"/>
      <c r="K3" s="96"/>
    </row>
    <row r="4" spans="1:11">
      <c r="A4" s="383" t="s">
        <v>170</v>
      </c>
      <c r="B4" s="49">
        <f>IF(ISERROR('SEAP template'!B78+'SEAP template'!C78),0,'SEAP template'!B78+'SEAP template'!C78)</f>
        <v>7360.1550522800226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0.18134941494615342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756.43700000000001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756.43700000000001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0.18134941494615342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137.17940739362345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16586.873299999999</v>
      </c>
      <c r="C5" s="17">
        <f>IF(ISERROR('Eigen informatie GS &amp; warmtenet'!B59),0,'Eigen informatie GS &amp; warmtenet'!B59)</f>
        <v>0</v>
      </c>
      <c r="D5" s="30">
        <f>(SUM(HH_hh_gas_kWh,HH_rest_gas_kWh)/1000)*0.902</f>
        <v>26430.611054100002</v>
      </c>
      <c r="E5" s="17">
        <f>B46*B57</f>
        <v>4979.1547866838546</v>
      </c>
      <c r="F5" s="17">
        <f>B51*B62</f>
        <v>43313.930396196462</v>
      </c>
      <c r="G5" s="18"/>
      <c r="H5" s="17"/>
      <c r="I5" s="17"/>
      <c r="J5" s="17">
        <f>B50*B61+C50*C61</f>
        <v>0</v>
      </c>
      <c r="K5" s="17"/>
      <c r="L5" s="17"/>
      <c r="M5" s="17"/>
      <c r="N5" s="17">
        <f>B48*B59+C48*C59</f>
        <v>17530.33489677875</v>
      </c>
      <c r="O5" s="17">
        <f>B69*B70*B71</f>
        <v>674.54579459159083</v>
      </c>
      <c r="P5" s="17">
        <f>B77*B78*B79/1000-B77*B78*B79/1000/B80</f>
        <v>537.23192469193623</v>
      </c>
    </row>
    <row r="6" spans="1:16">
      <c r="A6" s="16" t="s">
        <v>615</v>
      </c>
      <c r="B6" s="809">
        <f>kWh_PV_kleiner_dan_10kW</f>
        <v>5943.0499276081682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22529.923227608168</v>
      </c>
      <c r="C8" s="21">
        <f>C5</f>
        <v>0</v>
      </c>
      <c r="D8" s="21">
        <f>D5</f>
        <v>26430.611054100002</v>
      </c>
      <c r="E8" s="21">
        <f>E5</f>
        <v>4979.1547866838546</v>
      </c>
      <c r="F8" s="21">
        <f>F5</f>
        <v>43313.930396196462</v>
      </c>
      <c r="G8" s="21"/>
      <c r="H8" s="21"/>
      <c r="I8" s="21"/>
      <c r="J8" s="21">
        <f>J5</f>
        <v>0</v>
      </c>
      <c r="K8" s="21"/>
      <c r="L8" s="21">
        <f>L5</f>
        <v>0</v>
      </c>
      <c r="M8" s="21">
        <f>M5</f>
        <v>0</v>
      </c>
      <c r="N8" s="21">
        <f>N5</f>
        <v>17530.33489677875</v>
      </c>
      <c r="O8" s="21">
        <f>O5</f>
        <v>674.54579459159083</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0.18134941494615342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4085.7883961084935</v>
      </c>
      <c r="C12" s="23">
        <f ca="1">C10*C8</f>
        <v>0</v>
      </c>
      <c r="D12" s="23">
        <f>D8*D10</f>
        <v>5338.9834329282003</v>
      </c>
      <c r="E12" s="23">
        <f>E10*E8</f>
        <v>1130.2681365772351</v>
      </c>
      <c r="F12" s="23">
        <f>F10*F8</f>
        <v>11564.819415784455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252</v>
      </c>
      <c r="C18" s="166" t="s">
        <v>110</v>
      </c>
      <c r="D18" s="228"/>
      <c r="E18" s="15"/>
    </row>
    <row r="19" spans="1:7">
      <c r="A19" s="171" t="s">
        <v>71</v>
      </c>
      <c r="B19" s="37">
        <f>aantalw2001_ander</f>
        <v>2</v>
      </c>
      <c r="C19" s="166" t="s">
        <v>110</v>
      </c>
      <c r="D19" s="229"/>
      <c r="E19" s="15"/>
    </row>
    <row r="20" spans="1:7">
      <c r="A20" s="171" t="s">
        <v>72</v>
      </c>
      <c r="B20" s="37">
        <f>aantalw2001_propaan</f>
        <v>29</v>
      </c>
      <c r="C20" s="167">
        <f>IF(ISERROR(B20/SUM($B$20,$B$21,$B$22)*100),0,B20/SUM($B$20,$B$21,$B$22)*100)</f>
        <v>11.836734693877551</v>
      </c>
      <c r="D20" s="229"/>
      <c r="E20" s="15"/>
    </row>
    <row r="21" spans="1:7">
      <c r="A21" s="171" t="s">
        <v>73</v>
      </c>
      <c r="B21" s="37">
        <f>aantalw2001_elektriciteit</f>
        <v>157</v>
      </c>
      <c r="C21" s="167">
        <f>IF(ISERROR(B21/SUM($B$20,$B$21,$B$22)*100),0,B21/SUM($B$20,$B$21,$B$22)*100)</f>
        <v>64.08163265306122</v>
      </c>
      <c r="D21" s="229"/>
      <c r="E21" s="15"/>
    </row>
    <row r="22" spans="1:7">
      <c r="A22" s="171" t="s">
        <v>74</v>
      </c>
      <c r="B22" s="37">
        <f>aantalw2001_hout</f>
        <v>59</v>
      </c>
      <c r="C22" s="167">
        <f>IF(ISERROR(B22/SUM($B$20,$B$21,$B$22)*100),0,B22/SUM($B$20,$B$21,$B$22)*100)</f>
        <v>24.081632653061224</v>
      </c>
      <c r="D22" s="229"/>
      <c r="E22" s="15"/>
    </row>
    <row r="23" spans="1:7">
      <c r="A23" s="171" t="s">
        <v>75</v>
      </c>
      <c r="B23" s="37">
        <f>aantalw2001_niet_gespec</f>
        <v>51</v>
      </c>
      <c r="C23" s="166" t="s">
        <v>110</v>
      </c>
      <c r="D23" s="228"/>
      <c r="E23" s="15"/>
    </row>
    <row r="24" spans="1:7">
      <c r="A24" s="171" t="s">
        <v>76</v>
      </c>
      <c r="B24" s="37">
        <f>aantalw2001_steenkool</f>
        <v>84</v>
      </c>
      <c r="C24" s="166" t="s">
        <v>110</v>
      </c>
      <c r="D24" s="229"/>
      <c r="E24" s="15"/>
    </row>
    <row r="25" spans="1:7">
      <c r="A25" s="171" t="s">
        <v>77</v>
      </c>
      <c r="B25" s="37">
        <f>aantalw2001_stookolie</f>
        <v>3633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5182</v>
      </c>
      <c r="C28" s="36"/>
      <c r="D28" s="228"/>
    </row>
    <row r="29" spans="1:7" s="15" customFormat="1">
      <c r="A29" s="230" t="s">
        <v>837</v>
      </c>
      <c r="B29" s="37">
        <f>SUM(HH_hh_gas_aantal,HH_rest_gas_aantal)</f>
        <v>1974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1974</v>
      </c>
      <c r="C32" s="167">
        <f>IF(ISERROR(B32/SUM($B$32,$B$34,$B$35,$B$36,$B$38,$B$39)*100),0,B32/SUM($B$32,$B$34,$B$35,$B$36,$B$38,$B$39)*100)</f>
        <v>38.472032742155527</v>
      </c>
      <c r="D32" s="233"/>
      <c r="G32" s="15"/>
    </row>
    <row r="33" spans="1:7">
      <c r="A33" s="171" t="s">
        <v>71</v>
      </c>
      <c r="B33" s="34" t="s">
        <v>110</v>
      </c>
      <c r="C33" s="167"/>
      <c r="D33" s="233"/>
      <c r="G33" s="15"/>
    </row>
    <row r="34" spans="1:7">
      <c r="A34" s="171" t="s">
        <v>72</v>
      </c>
      <c r="B34" s="33">
        <f>IF((($B$28-$B$32-$B$39-$B$77-$B$38)*C20/100)&lt;0,0,($B$28-$B$32-$B$39-$B$77-$B$38)*C20/100)</f>
        <v>127.10285714285716</v>
      </c>
      <c r="C34" s="167">
        <f>IF(ISERROR(B34/SUM($B$32,$B$34,$B$35,$B$36,$B$38,$B$39)*100),0,B34/SUM($B$32,$B$34,$B$35,$B$36,$B$38,$B$39)*100)</f>
        <v>2.4771556644485901</v>
      </c>
      <c r="D34" s="233"/>
      <c r="G34" s="15"/>
    </row>
    <row r="35" spans="1:7">
      <c r="A35" s="171" t="s">
        <v>73</v>
      </c>
      <c r="B35" s="33">
        <f>IF((($B$28-$B$32-$B$39-$B$77-$B$38)*C21/100)&lt;0,0,($B$28-$B$32-$B$39-$B$77-$B$38)*C21/100)</f>
        <v>688.10857142857139</v>
      </c>
      <c r="C35" s="167">
        <f>IF(ISERROR(B35/SUM($B$32,$B$34,$B$35,$B$36,$B$38,$B$39)*100),0,B35/SUM($B$32,$B$34,$B$35,$B$36,$B$38,$B$39)*100)</f>
        <v>13.410808252359608</v>
      </c>
      <c r="D35" s="233"/>
      <c r="G35" s="15"/>
    </row>
    <row r="36" spans="1:7">
      <c r="A36" s="171" t="s">
        <v>74</v>
      </c>
      <c r="B36" s="33">
        <f>IF((($B$28-$B$32-$B$39-$B$77-$B$38)*C22/100)&lt;0,0,($B$28-$B$32-$B$39-$B$77-$B$38)*C22/100)</f>
        <v>258.58857142857147</v>
      </c>
      <c r="C36" s="167">
        <f>IF(ISERROR(B36/SUM($B$32,$B$34,$B$35,$B$36,$B$38,$B$39)*100),0,B36/SUM($B$32,$B$34,$B$35,$B$36,$B$38,$B$39)*100)</f>
        <v>5.0397304897402346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2083.1999999999998</v>
      </c>
      <c r="C39" s="167">
        <f>IF(ISERROR(B39/SUM($B$32,$B$34,$B$35,$B$36,$B$38,$B$39)*100),0,B39/SUM($B$32,$B$34,$B$35,$B$36,$B$38,$B$39)*100)</f>
        <v>40.60027285129604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1974</v>
      </c>
      <c r="C44" s="34" t="s">
        <v>110</v>
      </c>
      <c r="D44" s="174"/>
    </row>
    <row r="45" spans="1:7">
      <c r="A45" s="171" t="s">
        <v>71</v>
      </c>
      <c r="B45" s="33" t="str">
        <f t="shared" si="0"/>
        <v>-</v>
      </c>
      <c r="C45" s="34" t="s">
        <v>110</v>
      </c>
      <c r="D45" s="174"/>
    </row>
    <row r="46" spans="1:7">
      <c r="A46" s="171" t="s">
        <v>72</v>
      </c>
      <c r="B46" s="33">
        <f t="shared" si="0"/>
        <v>127.10285714285716</v>
      </c>
      <c r="C46" s="34" t="s">
        <v>110</v>
      </c>
      <c r="D46" s="174"/>
    </row>
    <row r="47" spans="1:7">
      <c r="A47" s="171" t="s">
        <v>73</v>
      </c>
      <c r="B47" s="33">
        <f t="shared" si="0"/>
        <v>688.10857142857139</v>
      </c>
      <c r="C47" s="34" t="s">
        <v>110</v>
      </c>
      <c r="D47" s="174"/>
    </row>
    <row r="48" spans="1:7">
      <c r="A48" s="171" t="s">
        <v>74</v>
      </c>
      <c r="B48" s="33">
        <f t="shared" si="0"/>
        <v>258.58857142857147</v>
      </c>
      <c r="C48" s="33">
        <f>B48*10</f>
        <v>2585.8857142857146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2083.1999999999998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340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7945.4571299999998</v>
      </c>
      <c r="C5" s="17">
        <f>IF(ISERROR('Eigen informatie GS &amp; warmtenet'!B60),0,'Eigen informatie GS &amp; warmtenet'!B60)</f>
        <v>0</v>
      </c>
      <c r="D5" s="30">
        <f>SUM(D6:D12)</f>
        <v>6581.801454800001</v>
      </c>
      <c r="E5" s="17">
        <f>SUM(E6:E12)</f>
        <v>123.97693104293538</v>
      </c>
      <c r="F5" s="17">
        <f>SUM(F6:F12)</f>
        <v>876.23662988097374</v>
      </c>
      <c r="G5" s="18"/>
      <c r="H5" s="17"/>
      <c r="I5" s="17"/>
      <c r="J5" s="17">
        <f>SUM(J6:J12)</f>
        <v>1.3000579269042571E-2</v>
      </c>
      <c r="K5" s="17"/>
      <c r="L5" s="17"/>
      <c r="M5" s="17"/>
      <c r="N5" s="17">
        <f>SUM(N6:N12)</f>
        <v>515.68517146251475</v>
      </c>
      <c r="O5" s="17">
        <f>B38*B39*B40</f>
        <v>4.8972607658411542</v>
      </c>
      <c r="P5" s="17">
        <f>B46*B47*B48/1000-B46*B47*B48/1000/B49</f>
        <v>105.07827661299004</v>
      </c>
      <c r="R5" s="32"/>
    </row>
    <row r="6" spans="1:18">
      <c r="A6" s="32" t="s">
        <v>53</v>
      </c>
      <c r="B6" s="37">
        <f>B26</f>
        <v>1659.1480570000001</v>
      </c>
      <c r="C6" s="33"/>
      <c r="D6" s="37">
        <f>IF(ISERROR(TER_kantoor_gas_kWh/1000),0,TER_kantoor_gas_kWh/1000)*0.902</f>
        <v>1797.8378968</v>
      </c>
      <c r="E6" s="33">
        <f>$C$26*'E Balans VL '!I12/100/3.6*1000000</f>
        <v>13.35063244990247</v>
      </c>
      <c r="F6" s="33">
        <f>$C$26*('E Balans VL '!L12+'E Balans VL '!N12)/100/3.6*1000000</f>
        <v>202.84830364701867</v>
      </c>
      <c r="G6" s="34"/>
      <c r="H6" s="33"/>
      <c r="I6" s="33"/>
      <c r="J6" s="33">
        <f>$C$26*('E Balans VL '!D12+'E Balans VL '!E12)/100/3.6*1000000</f>
        <v>0</v>
      </c>
      <c r="K6" s="33"/>
      <c r="L6" s="33"/>
      <c r="M6" s="33"/>
      <c r="N6" s="33">
        <f>$C$26*'E Balans VL '!Y12/100/3.6*1000000</f>
        <v>0.89171037643890561</v>
      </c>
      <c r="O6" s="33"/>
      <c r="P6" s="33"/>
      <c r="R6" s="32"/>
    </row>
    <row r="7" spans="1:18">
      <c r="A7" s="32" t="s">
        <v>52</v>
      </c>
      <c r="B7" s="37">
        <f t="shared" ref="B7:B12" si="0">B27</f>
        <v>1190.0975349999999</v>
      </c>
      <c r="C7" s="33"/>
      <c r="D7" s="37">
        <f>IF(ISERROR(TER_horeca_gas_kWh/1000),0,TER_horeca_gas_kWh/1000)*0.902</f>
        <v>945.9102620000001</v>
      </c>
      <c r="E7" s="33">
        <f>$C$27*'E Balans VL '!I9/100/3.6*1000000</f>
        <v>12.778725157266685</v>
      </c>
      <c r="F7" s="33">
        <f>$C$27*('E Balans VL '!L9+'E Balans VL '!N9)/100/3.6*1000000</f>
        <v>143.13987515108431</v>
      </c>
      <c r="G7" s="34"/>
      <c r="H7" s="33"/>
      <c r="I7" s="33"/>
      <c r="J7" s="33">
        <f>$C$27*('E Balans VL '!D9+'E Balans VL '!E9)/100/3.6*1000000</f>
        <v>0</v>
      </c>
      <c r="K7" s="33"/>
      <c r="L7" s="33"/>
      <c r="M7" s="33"/>
      <c r="N7" s="33">
        <f>$C$27*'E Balans VL '!Y9/100/3.6*1000000</f>
        <v>0.17841974097318247</v>
      </c>
      <c r="O7" s="33"/>
      <c r="P7" s="33"/>
      <c r="R7" s="32"/>
    </row>
    <row r="8" spans="1:18">
      <c r="A8" s="6" t="s">
        <v>51</v>
      </c>
      <c r="B8" s="37">
        <f t="shared" si="0"/>
        <v>3233.8138859999999</v>
      </c>
      <c r="C8" s="33"/>
      <c r="D8" s="37">
        <f>IF(ISERROR(TER_handel_gas_kWh/1000),0,TER_handel_gas_kWh/1000)*0.902</f>
        <v>1703.4053520000002</v>
      </c>
      <c r="E8" s="33">
        <f>$C$28*'E Balans VL '!I13/100/3.6*1000000</f>
        <v>86.78566447506806</v>
      </c>
      <c r="F8" s="33">
        <f>$C$28*('E Balans VL '!L13+'E Balans VL '!N13)/100/3.6*1000000</f>
        <v>308.60551343829974</v>
      </c>
      <c r="G8" s="34"/>
      <c r="H8" s="33"/>
      <c r="I8" s="33"/>
      <c r="J8" s="33">
        <f>$C$28*('E Balans VL '!D13+'E Balans VL '!E13)/100/3.6*1000000</f>
        <v>0</v>
      </c>
      <c r="K8" s="33"/>
      <c r="L8" s="33"/>
      <c r="M8" s="33"/>
      <c r="N8" s="33">
        <f>$C$28*'E Balans VL '!Y13/100/3.6*1000000</f>
        <v>1.2819205941208565</v>
      </c>
      <c r="O8" s="33"/>
      <c r="P8" s="33"/>
      <c r="R8" s="32"/>
    </row>
    <row r="9" spans="1:18">
      <c r="A9" s="32" t="s">
        <v>50</v>
      </c>
      <c r="B9" s="37">
        <f t="shared" si="0"/>
        <v>765.423</v>
      </c>
      <c r="C9" s="33"/>
      <c r="D9" s="37">
        <f>IF(ISERROR(TER_gezond_gas_kWh/1000),0,TER_gezond_gas_kWh/1000)*0.902</f>
        <v>1269.5496659999999</v>
      </c>
      <c r="E9" s="33">
        <f>$C$29*'E Balans VL '!I10/100/3.6*1000000</f>
        <v>1.4346519345514239</v>
      </c>
      <c r="F9" s="33">
        <f>$C$29*('E Balans VL '!L10+'E Balans VL '!N10)/100/3.6*1000000</f>
        <v>62.924754546738754</v>
      </c>
      <c r="G9" s="34"/>
      <c r="H9" s="33"/>
      <c r="I9" s="33"/>
      <c r="J9" s="33">
        <f>$C$29*('E Balans VL '!D10+'E Balans VL '!E10)/100/3.6*1000000</f>
        <v>0</v>
      </c>
      <c r="K9" s="33"/>
      <c r="L9" s="33"/>
      <c r="M9" s="33"/>
      <c r="N9" s="33">
        <f>$C$29*'E Balans VL '!Y10/100/3.6*1000000</f>
        <v>5.955562027615839</v>
      </c>
      <c r="O9" s="33"/>
      <c r="P9" s="33"/>
      <c r="R9" s="32"/>
    </row>
    <row r="10" spans="1:18">
      <c r="A10" s="32" t="s">
        <v>49</v>
      </c>
      <c r="B10" s="37">
        <f t="shared" si="0"/>
        <v>765.81865200000004</v>
      </c>
      <c r="C10" s="33"/>
      <c r="D10" s="37">
        <f>IF(ISERROR(TER_ander_gas_kWh/1000),0,TER_ander_gas_kWh/1000)*0.902</f>
        <v>532.07627000000002</v>
      </c>
      <c r="E10" s="33">
        <f>$C$30*'E Balans VL '!I14/100/3.6*1000000</f>
        <v>1.1805172119784999</v>
      </c>
      <c r="F10" s="33">
        <f>$C$30*('E Balans VL '!L14+'E Balans VL '!N14)/100/3.6*1000000</f>
        <v>118.89355713886226</v>
      </c>
      <c r="G10" s="34"/>
      <c r="H10" s="33"/>
      <c r="I10" s="33"/>
      <c r="J10" s="33">
        <f>$C$30*('E Balans VL '!D14+'E Balans VL '!E14)/100/3.6*1000000</f>
        <v>1.3000579269042571E-2</v>
      </c>
      <c r="K10" s="33"/>
      <c r="L10" s="33"/>
      <c r="M10" s="33"/>
      <c r="N10" s="33">
        <f>$C$30*'E Balans VL '!Y14/100/3.6*1000000</f>
        <v>506.64107585964206</v>
      </c>
      <c r="O10" s="33"/>
      <c r="P10" s="33"/>
      <c r="R10" s="32"/>
    </row>
    <row r="11" spans="1:18">
      <c r="A11" s="32" t="s">
        <v>54</v>
      </c>
      <c r="B11" s="37">
        <f t="shared" si="0"/>
        <v>331.15600000000001</v>
      </c>
      <c r="C11" s="33"/>
      <c r="D11" s="37">
        <f>IF(ISERROR(TER_onderwijs_gas_kWh/1000),0,TER_onderwijs_gas_kWh/1000)*0.902</f>
        <v>333.02200800000003</v>
      </c>
      <c r="E11" s="33">
        <f>$C$31*'E Balans VL '!I11/100/3.6*1000000</f>
        <v>8.4467398141682413</v>
      </c>
      <c r="F11" s="33">
        <f>$C$31*('E Balans VL '!L11+'E Balans VL '!N11)/100/3.6*1000000</f>
        <v>39.82462595896996</v>
      </c>
      <c r="G11" s="34"/>
      <c r="H11" s="33"/>
      <c r="I11" s="33"/>
      <c r="J11" s="33">
        <f>$C$31*('E Balans VL '!D11+'E Balans VL '!E11)/100/3.6*1000000</f>
        <v>0</v>
      </c>
      <c r="K11" s="33"/>
      <c r="L11" s="33"/>
      <c r="M11" s="33"/>
      <c r="N11" s="33">
        <f>$C$31*'E Balans VL '!Y11/100/3.6*1000000</f>
        <v>0.73648286372397498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7945.4571299999998</v>
      </c>
      <c r="C16" s="21">
        <f t="shared" ca="1" si="1"/>
        <v>0</v>
      </c>
      <c r="D16" s="21">
        <f t="shared" ca="1" si="1"/>
        <v>6581.801454800001</v>
      </c>
      <c r="E16" s="21">
        <f t="shared" si="1"/>
        <v>123.97693104293538</v>
      </c>
      <c r="F16" s="21">
        <f t="shared" ca="1" si="1"/>
        <v>876.23662988097374</v>
      </c>
      <c r="G16" s="21">
        <f t="shared" si="1"/>
        <v>0</v>
      </c>
      <c r="H16" s="21">
        <f t="shared" si="1"/>
        <v>0</v>
      </c>
      <c r="I16" s="21">
        <f t="shared" si="1"/>
        <v>0</v>
      </c>
      <c r="J16" s="21">
        <f t="shared" si="1"/>
        <v>1.3000579269042571E-2</v>
      </c>
      <c r="K16" s="21">
        <f t="shared" si="1"/>
        <v>0</v>
      </c>
      <c r="L16" s="21">
        <f t="shared" ca="1" si="1"/>
        <v>0</v>
      </c>
      <c r="M16" s="21">
        <f t="shared" si="1"/>
        <v>0</v>
      </c>
      <c r="N16" s="21">
        <f t="shared" ca="1" si="1"/>
        <v>515.68517146251475</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0.18134941494615342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1440.9040020052432</v>
      </c>
      <c r="C20" s="23">
        <f t="shared" ref="C20:P20" ca="1" si="2">C16*C18</f>
        <v>0</v>
      </c>
      <c r="D20" s="23">
        <f t="shared" ca="1" si="2"/>
        <v>1329.5238938696002</v>
      </c>
      <c r="E20" s="23">
        <f t="shared" si="2"/>
        <v>28.142763346746332</v>
      </c>
      <c r="F20" s="23">
        <f t="shared" ca="1" si="2"/>
        <v>233.95518017821999</v>
      </c>
      <c r="G20" s="23">
        <f t="shared" si="2"/>
        <v>0</v>
      </c>
      <c r="H20" s="23">
        <f t="shared" si="2"/>
        <v>0</v>
      </c>
      <c r="I20" s="23">
        <f t="shared" si="2"/>
        <v>0</v>
      </c>
      <c r="J20" s="23">
        <f t="shared" si="2"/>
        <v>4.6022050612410702E-3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1659.1480570000001</v>
      </c>
      <c r="C26" s="39">
        <f>IF(ISERROR(B26*3.6/1000000/'E Balans VL '!Z12*100),0,B26*3.6/1000000/'E Balans VL '!Z12*100)</f>
        <v>3.5197308083094174E-2</v>
      </c>
      <c r="D26" s="237" t="s">
        <v>716</v>
      </c>
      <c r="F26" s="6"/>
    </row>
    <row r="27" spans="1:18">
      <c r="A27" s="231" t="s">
        <v>52</v>
      </c>
      <c r="B27" s="33">
        <f>IF(ISERROR(TER_horeca_ele_kWh/1000),0,TER_horeca_ele_kWh/1000)</f>
        <v>1190.0975349999999</v>
      </c>
      <c r="C27" s="39">
        <f>IF(ISERROR(B27*3.6/1000000/'E Balans VL '!Z9*100),0,B27*3.6/1000000/'E Balans VL '!Z9*100)</f>
        <v>8.9624886872317969E-2</v>
      </c>
      <c r="D27" s="237" t="s">
        <v>716</v>
      </c>
      <c r="F27" s="6"/>
    </row>
    <row r="28" spans="1:18">
      <c r="A28" s="171" t="s">
        <v>51</v>
      </c>
      <c r="B28" s="33">
        <f>IF(ISERROR(TER_handel_ele_kWh/1000),0,TER_handel_ele_kWh/1000)</f>
        <v>3233.8138859999999</v>
      </c>
      <c r="C28" s="39">
        <f>IF(ISERROR(B28*3.6/1000000/'E Balans VL '!Z13*100),0,B28*3.6/1000000/'E Balans VL '!Z13*100)</f>
        <v>9.386615881398494E-2</v>
      </c>
      <c r="D28" s="237" t="s">
        <v>716</v>
      </c>
      <c r="F28" s="6"/>
    </row>
    <row r="29" spans="1:18">
      <c r="A29" s="231" t="s">
        <v>50</v>
      </c>
      <c r="B29" s="33">
        <f>IF(ISERROR(TER_gezond_ele_kWh/1000),0,TER_gezond_ele_kWh/1000)</f>
        <v>765.423</v>
      </c>
      <c r="C29" s="39">
        <f>IF(ISERROR(B29*3.6/1000000/'E Balans VL '!Z10*100),0,B29*3.6/1000000/'E Balans VL '!Z10*100)</f>
        <v>7.7193822354105199E-2</v>
      </c>
      <c r="D29" s="237" t="s">
        <v>716</v>
      </c>
      <c r="F29" s="6"/>
    </row>
    <row r="30" spans="1:18">
      <c r="A30" s="231" t="s">
        <v>49</v>
      </c>
      <c r="B30" s="33">
        <f>IF(ISERROR(TER_ander_ele_kWh/1000),0,TER_ander_ele_kWh/1000)</f>
        <v>765.81865200000004</v>
      </c>
      <c r="C30" s="39">
        <f>IF(ISERROR(B30*3.6/1000000/'E Balans VL '!Z14*100),0,B30*3.6/1000000/'E Balans VL '!Z14*100)</f>
        <v>5.5570590884648892E-2</v>
      </c>
      <c r="D30" s="237" t="s">
        <v>716</v>
      </c>
      <c r="F30" s="6"/>
    </row>
    <row r="31" spans="1:18">
      <c r="A31" s="231" t="s">
        <v>54</v>
      </c>
      <c r="B31" s="33">
        <f>IF(ISERROR(TER_onderwijs_ele_kWh/1000),0,TER_onderwijs_ele_kWh/1000)</f>
        <v>331.15600000000001</v>
      </c>
      <c r="C31" s="39">
        <f>IF(ISERROR(B31*3.6/1000000/'E Balans VL '!Z11*100),0,B31*3.6/1000000/'E Balans VL '!Z11*100)</f>
        <v>9.4392945300244488E-2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6939.6373880000001</v>
      </c>
      <c r="C5" s="17">
        <f>IF(ISERROR('Eigen informatie GS &amp; warmtenet'!B61),0,'Eigen informatie GS &amp; warmtenet'!B61)</f>
        <v>0</v>
      </c>
      <c r="D5" s="30">
        <f>SUM(D6:D15)</f>
        <v>1769.3116055999999</v>
      </c>
      <c r="E5" s="17">
        <f>SUM(E6:E15)</f>
        <v>715.19994170748032</v>
      </c>
      <c r="F5" s="17">
        <f>SUM(F6:F15)</f>
        <v>2450.9086139151163</v>
      </c>
      <c r="G5" s="18"/>
      <c r="H5" s="17"/>
      <c r="I5" s="17"/>
      <c r="J5" s="17">
        <f>SUM(J6:J15)</f>
        <v>3.6164734616349481</v>
      </c>
      <c r="K5" s="17"/>
      <c r="L5" s="17"/>
      <c r="M5" s="17"/>
      <c r="N5" s="17">
        <f>SUM(N6:N15)</f>
        <v>284.47196438449208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3565.8090000000002</v>
      </c>
      <c r="C8" s="33"/>
      <c r="D8" s="37">
        <f>IF( ISERROR(IND_metaal_Gas_kWH/1000),0,IND_metaal_Gas_kWH/1000)*0.902</f>
        <v>218.39945599999999</v>
      </c>
      <c r="E8" s="33">
        <f>C30*'E Balans VL '!I18/100/3.6*1000000</f>
        <v>25.724809216340805</v>
      </c>
      <c r="F8" s="33">
        <f>C30*'E Balans VL '!L18/100/3.6*1000000+C30*'E Balans VL '!N18/100/3.6*1000000</f>
        <v>337.25978248776522</v>
      </c>
      <c r="G8" s="34"/>
      <c r="H8" s="33"/>
      <c r="I8" s="33"/>
      <c r="J8" s="40">
        <f>C30*'E Balans VL '!D18/100/3.6*1000000+C30*'E Balans VL '!E18/100/3.6*1000000</f>
        <v>3.5865114138225467</v>
      </c>
      <c r="K8" s="33"/>
      <c r="L8" s="33"/>
      <c r="M8" s="33"/>
      <c r="N8" s="33">
        <f>C30*'E Balans VL '!Y18/100/3.6*1000000</f>
        <v>45.081259959208992</v>
      </c>
      <c r="O8" s="33"/>
      <c r="P8" s="33"/>
      <c r="R8" s="32"/>
    </row>
    <row r="9" spans="1:18">
      <c r="A9" s="6" t="s">
        <v>32</v>
      </c>
      <c r="B9" s="37">
        <f t="shared" si="0"/>
        <v>2475.1493879999998</v>
      </c>
      <c r="C9" s="33"/>
      <c r="D9" s="37">
        <f>IF( ISERROR(IND_andere_gas_kWh/1000),0,IND_andere_gas_kWh/1000)*0.902</f>
        <v>1440.6020596000001</v>
      </c>
      <c r="E9" s="33">
        <f>C31*'E Balans VL '!I19/100/3.6*1000000</f>
        <v>685.89699230857002</v>
      </c>
      <c r="F9" s="33">
        <f>C31*'E Balans VL '!L19/100/3.6*1000000+C31*'E Balans VL '!N19/100/3.6*1000000</f>
        <v>2051.4091616134501</v>
      </c>
      <c r="G9" s="34"/>
      <c r="H9" s="33"/>
      <c r="I9" s="33"/>
      <c r="J9" s="40">
        <f>C31*'E Balans VL '!D19/100/3.6*1000000+C31*'E Balans VL '!E19/100/3.6*1000000</f>
        <v>0</v>
      </c>
      <c r="K9" s="33"/>
      <c r="L9" s="33"/>
      <c r="M9" s="33"/>
      <c r="N9" s="33">
        <f>C31*'E Balans VL '!Y19/100/3.6*1000000</f>
        <v>179.66557121433564</v>
      </c>
      <c r="O9" s="33"/>
      <c r="P9" s="33"/>
      <c r="R9" s="32"/>
    </row>
    <row r="10" spans="1:18">
      <c r="A10" s="6" t="s">
        <v>40</v>
      </c>
      <c r="B10" s="37">
        <f t="shared" si="0"/>
        <v>810.79925000000003</v>
      </c>
      <c r="C10" s="33"/>
      <c r="D10" s="37">
        <f>IF( ISERROR(IND_voed_gas_kWh/1000),0,IND_voed_gas_kWh/1000)*0.902</f>
        <v>0</v>
      </c>
      <c r="E10" s="33">
        <f>C32*'E Balans VL '!I20/100/3.6*1000000</f>
        <v>1.4353893078136313</v>
      </c>
      <c r="F10" s="33">
        <f>C32*'E Balans VL '!L20/100/3.6*1000000+C32*'E Balans VL '!N20/100/3.6*1000000</f>
        <v>43.790345549292823</v>
      </c>
      <c r="G10" s="34"/>
      <c r="H10" s="33"/>
      <c r="I10" s="33"/>
      <c r="J10" s="40">
        <f>C32*'E Balans VL '!D20/100/3.6*1000000+C32*'E Balans VL '!E20/100/3.6*1000000</f>
        <v>0</v>
      </c>
      <c r="K10" s="33"/>
      <c r="L10" s="33"/>
      <c r="M10" s="33"/>
      <c r="N10" s="33">
        <f>C32*'E Balans VL '!Y20/100/3.6*1000000</f>
        <v>47.11362857603195</v>
      </c>
      <c r="O10" s="33"/>
      <c r="P10" s="33"/>
      <c r="R10" s="32"/>
    </row>
    <row r="11" spans="1:18">
      <c r="A11" s="6" t="s">
        <v>39</v>
      </c>
      <c r="B11" s="37">
        <f t="shared" si="0"/>
        <v>42.796750000000003</v>
      </c>
      <c r="C11" s="33"/>
      <c r="D11" s="37">
        <f>IF( ISERROR(IND_textiel_gas_kWh/1000),0,IND_textiel_gas_kWh/1000)*0.902</f>
        <v>0</v>
      </c>
      <c r="E11" s="33">
        <f>C33*'E Balans VL '!I21/100/3.6*1000000</f>
        <v>0.15086298583738644</v>
      </c>
      <c r="F11" s="33">
        <f>C33*'E Balans VL '!L21/100/3.6*1000000+C33*'E Balans VL '!N21/100/3.6*1000000</f>
        <v>1.2561486091054601</v>
      </c>
      <c r="G11" s="34"/>
      <c r="H11" s="33"/>
      <c r="I11" s="33"/>
      <c r="J11" s="40">
        <f>C33*'E Balans VL '!D21/100/3.6*1000000+C33*'E Balans VL '!E21/100/3.6*1000000</f>
        <v>0</v>
      </c>
      <c r="K11" s="33"/>
      <c r="L11" s="33"/>
      <c r="M11" s="33"/>
      <c r="N11" s="33">
        <f>C33*'E Balans VL '!Y21/100/3.6*1000000</f>
        <v>1.8856186788045899</v>
      </c>
      <c r="O11" s="33"/>
      <c r="P11" s="33"/>
      <c r="R11" s="32"/>
    </row>
    <row r="12" spans="1:18">
      <c r="A12" s="6" t="s">
        <v>36</v>
      </c>
      <c r="B12" s="37">
        <f t="shared" si="0"/>
        <v>43.037999999999997</v>
      </c>
      <c r="C12" s="33"/>
      <c r="D12" s="37">
        <f>IF( ISERROR(IND_min_gas_kWh/1000),0,IND_min_gas_kWh/1000)*0.902</f>
        <v>0</v>
      </c>
      <c r="E12" s="33">
        <f>C34*'E Balans VL '!I22/100/3.6*1000000</f>
        <v>1.8952400019913347</v>
      </c>
      <c r="F12" s="33">
        <f>C34*'E Balans VL '!L22/100/3.6*1000000+C34*'E Balans VL '!N22/100/3.6*1000000</f>
        <v>16.829596113713265</v>
      </c>
      <c r="G12" s="34"/>
      <c r="H12" s="33"/>
      <c r="I12" s="33"/>
      <c r="J12" s="40">
        <f>C34*'E Balans VL '!D22/100/3.6*1000000+C34*'E Balans VL '!E22/100/3.6*1000000</f>
        <v>1.3067866196688769E-2</v>
      </c>
      <c r="K12" s="33"/>
      <c r="L12" s="33"/>
      <c r="M12" s="33"/>
      <c r="N12" s="33">
        <f>C34*'E Balans VL '!Y22/100/3.6*1000000</f>
        <v>10.646296929967333</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2.0449999999999999</v>
      </c>
      <c r="C15" s="33"/>
      <c r="D15" s="37">
        <f>IF( ISERROR(IND_rest_gas_kWh/1000),0,IND_rest_gas_kWh/1000)*0.902</f>
        <v>110.31009</v>
      </c>
      <c r="E15" s="33">
        <f>C37*'E Balans VL '!I15/100/3.6*1000000</f>
        <v>9.6647886927304819E-2</v>
      </c>
      <c r="F15" s="33">
        <f>C37*'E Balans VL '!L15/100/3.6*1000000+C37*'E Balans VL '!N15/100/3.6*1000000</f>
        <v>0.36357954178934071</v>
      </c>
      <c r="G15" s="34"/>
      <c r="H15" s="33"/>
      <c r="I15" s="33"/>
      <c r="J15" s="40">
        <f>C37*'E Balans VL '!D15/100/3.6*1000000+C37*'E Balans VL '!E15/100/3.6*1000000</f>
        <v>1.6894181615712298E-2</v>
      </c>
      <c r="K15" s="33"/>
      <c r="L15" s="33"/>
      <c r="M15" s="33"/>
      <c r="N15" s="33">
        <f>C37*'E Balans VL '!Y15/100/3.6*1000000</f>
        <v>7.9589026143613323E-2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6939.6373880000001</v>
      </c>
      <c r="C18" s="21">
        <f>C5+C16</f>
        <v>0</v>
      </c>
      <c r="D18" s="21">
        <f>MAX((D5+D16),0)</f>
        <v>1769.3116055999999</v>
      </c>
      <c r="E18" s="21">
        <f>MAX((E5+E16),0)</f>
        <v>715.19994170748032</v>
      </c>
      <c r="F18" s="21">
        <f>MAX((F5+F16),0)</f>
        <v>2450.9086139151163</v>
      </c>
      <c r="G18" s="21"/>
      <c r="H18" s="21"/>
      <c r="I18" s="21"/>
      <c r="J18" s="21">
        <f>MAX((J5+J16),0)</f>
        <v>3.6164734616349481</v>
      </c>
      <c r="K18" s="21"/>
      <c r="L18" s="21">
        <f>MAX((L5+L16),0)</f>
        <v>0</v>
      </c>
      <c r="M18" s="21"/>
      <c r="N18" s="21">
        <f>MAX((N5+N16),0)</f>
        <v>284.47196438449208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0.18134941494615342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1258.4991802522522</v>
      </c>
      <c r="C22" s="23">
        <f ca="1">C18*C20</f>
        <v>0</v>
      </c>
      <c r="D22" s="23">
        <f>D18*D20</f>
        <v>357.40094433119998</v>
      </c>
      <c r="E22" s="23">
        <f>E18*E20</f>
        <v>162.35038676759802</v>
      </c>
      <c r="F22" s="23">
        <f>F18*F20</f>
        <v>654.39259991533606</v>
      </c>
      <c r="G22" s="23"/>
      <c r="H22" s="23"/>
      <c r="I22" s="23"/>
      <c r="J22" s="23">
        <f>J18*J20</f>
        <v>1.2802316054187715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3565.8090000000002</v>
      </c>
      <c r="C30" s="39">
        <f>IF(ISERROR(B30*3.6/1000000/'E Balans VL '!Z18*100),0,B30*3.6/1000000/'E Balans VL '!Z18*100)</f>
        <v>0.20584858966824301</v>
      </c>
      <c r="D30" s="237" t="s">
        <v>716</v>
      </c>
    </row>
    <row r="31" spans="1:18">
      <c r="A31" s="6" t="s">
        <v>32</v>
      </c>
      <c r="B31" s="37">
        <f>IF( ISERROR(IND_ander_ele_kWh/1000),0,IND_ander_ele_kWh/1000)</f>
        <v>2475.1493879999998</v>
      </c>
      <c r="C31" s="39">
        <f>IF(ISERROR(B31*3.6/1000000/'E Balans VL '!Z19*100),0,B31*3.6/1000000/'E Balans VL '!Z19*100)</f>
        <v>0.12449199133031275</v>
      </c>
      <c r="D31" s="237" t="s">
        <v>716</v>
      </c>
    </row>
    <row r="32" spans="1:18">
      <c r="A32" s="171" t="s">
        <v>40</v>
      </c>
      <c r="B32" s="37">
        <f>IF( ISERROR(IND_voed_ele_kWh/1000),0,IND_voed_ele_kWh/1000)</f>
        <v>810.79925000000003</v>
      </c>
      <c r="C32" s="39">
        <f>IF(ISERROR(B32*3.6/1000000/'E Balans VL '!Z20*100),0,B32*3.6/1000000/'E Balans VL '!Z20*100)</f>
        <v>2.7004429752093929E-2</v>
      </c>
      <c r="D32" s="237" t="s">
        <v>716</v>
      </c>
    </row>
    <row r="33" spans="1:5">
      <c r="A33" s="171" t="s">
        <v>39</v>
      </c>
      <c r="B33" s="37">
        <f>IF( ISERROR(IND_textiel_ele_kWh/1000),0,IND_textiel_ele_kWh/1000)</f>
        <v>42.796750000000003</v>
      </c>
      <c r="C33" s="39">
        <f>IF(ISERROR(B33*3.6/1000000/'E Balans VL '!Z21*100),0,B33*3.6/1000000/'E Balans VL '!Z21*100)</f>
        <v>6.6725580177051155E-3</v>
      </c>
      <c r="D33" s="237" t="s">
        <v>716</v>
      </c>
    </row>
    <row r="34" spans="1:5">
      <c r="A34" s="171" t="s">
        <v>36</v>
      </c>
      <c r="B34" s="37">
        <f>IF( ISERROR(IND_min_ele_kWh/1000),0,IND_min_ele_kWh/1000)</f>
        <v>43.037999999999997</v>
      </c>
      <c r="C34" s="39">
        <f>IF(ISERROR(B34*3.6/1000000/'E Balans VL '!Z22*100),0,B34*3.6/1000000/'E Balans VL '!Z22*100)</f>
        <v>8.0280406669073524E-3</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2.0449999999999999</v>
      </c>
      <c r="C37" s="39">
        <f>IF(ISERROR(B37*3.6/1000000/'E Balans VL '!Z15*100),0,B37*3.6/1000000/'E Balans VL '!Z15*100)</f>
        <v>1.5956592320789911E-5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2420.4102640000001</v>
      </c>
      <c r="C5" s="17">
        <f>'Eigen informatie GS &amp; warmtenet'!B62</f>
        <v>0</v>
      </c>
      <c r="D5" s="30">
        <f>IF(ISERROR(SUM(LB_lb_gas_kWh,LB_rest_gas_kWh)/1000),0,SUM(LB_lb_gas_kWh,LB_rest_gas_kWh)/1000)*0.902</f>
        <v>55.552376000000002</v>
      </c>
      <c r="E5" s="17">
        <f>B17*'E Balans VL '!I25/3.6*1000000/100</f>
        <v>75.540206186601381</v>
      </c>
      <c r="F5" s="17">
        <f>B17*('E Balans VL '!L25/3.6*1000000+'E Balans VL '!N25/3.6*1000000)/100</f>
        <v>8553.9979987920851</v>
      </c>
      <c r="G5" s="18"/>
      <c r="H5" s="17"/>
      <c r="I5" s="17"/>
      <c r="J5" s="17">
        <f>('E Balans VL '!D25+'E Balans VL '!E25)/3.6*1000000*landbouw!B17/100</f>
        <v>666.83981313007473</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2420.4102640000001</v>
      </c>
      <c r="C8" s="21">
        <f>C5+C6</f>
        <v>62.357142857142847</v>
      </c>
      <c r="D8" s="21">
        <f>MAX((D5+D6),0)</f>
        <v>55.552376000000002</v>
      </c>
      <c r="E8" s="21">
        <f>MAX((E5+E6),0)</f>
        <v>75.540206186601381</v>
      </c>
      <c r="F8" s="21">
        <f>MAX((F5+F6),0)</f>
        <v>8553.9979987920851</v>
      </c>
      <c r="G8" s="21"/>
      <c r="H8" s="21"/>
      <c r="I8" s="21"/>
      <c r="J8" s="21">
        <f>MAX((J5+J6),0)</f>
        <v>666.83981313007473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0.18134941494615342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438.93998530606478</v>
      </c>
      <c r="C12" s="23">
        <f ca="1">C8*C10</f>
        <v>0</v>
      </c>
      <c r="D12" s="23">
        <f>D8*D10</f>
        <v>11.221579952000001</v>
      </c>
      <c r="E12" s="23">
        <f>E8*E10</f>
        <v>17.147626804358513</v>
      </c>
      <c r="F12" s="23">
        <f>F8*F10</f>
        <v>2283.9174656774867</v>
      </c>
      <c r="G12" s="23"/>
      <c r="H12" s="23"/>
      <c r="I12" s="23"/>
      <c r="J12" s="23">
        <f>J8*J10</f>
        <v>236.06129384804643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0.35981133688791056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519.74499052104636</v>
      </c>
      <c r="C26" s="247">
        <f>B26*'GWP N2O_CH4'!B5</f>
        <v>10914.644800941973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194.54156189843707</v>
      </c>
      <c r="C27" s="247">
        <f>B27*'GWP N2O_CH4'!B5</f>
        <v>4085.3727998671784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8.2312072996778358</v>
      </c>
      <c r="C28" s="247">
        <f>B28*'GWP N2O_CH4'!B4</f>
        <v>2551.6742629001292</v>
      </c>
      <c r="D28" s="50"/>
    </row>
    <row r="29" spans="1:4">
      <c r="A29" s="41" t="s">
        <v>276</v>
      </c>
      <c r="B29" s="247">
        <f>B34*'ha_N2O bodem landbouw'!B4</f>
        <v>31.549679896027644</v>
      </c>
      <c r="C29" s="247">
        <f>B29*'GWP N2O_CH4'!B4</f>
        <v>9780.4007677685695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6.9182767619845919E-3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2.2732927093499999E-4</v>
      </c>
      <c r="C5" s="463" t="s">
        <v>210</v>
      </c>
      <c r="D5" s="448">
        <f>SUM(D6:D11)</f>
        <v>9.3832478369506797E-4</v>
      </c>
      <c r="E5" s="448">
        <f>SUM(E6:E11)</f>
        <v>7.1971039223219999E-4</v>
      </c>
      <c r="F5" s="461" t="s">
        <v>210</v>
      </c>
      <c r="G5" s="448">
        <f>SUM(G6:G11)</f>
        <v>0.27545943982160481</v>
      </c>
      <c r="H5" s="448">
        <f>SUM(H6:H11)</f>
        <v>6.9785807685869339E-2</v>
      </c>
      <c r="I5" s="463" t="s">
        <v>210</v>
      </c>
      <c r="J5" s="463" t="s">
        <v>210</v>
      </c>
      <c r="K5" s="463" t="s">
        <v>210</v>
      </c>
      <c r="L5" s="463" t="s">
        <v>210</v>
      </c>
      <c r="M5" s="448">
        <f>SUM(M6:M11)</f>
        <v>2.0470162868099315E-2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1.7208524065499999E-4</v>
      </c>
      <c r="C6" s="449"/>
      <c r="D6" s="917">
        <f>vkm_2011_GW_PW*SUMIFS(TableVerdeelsleutelVkm[CNG],TableVerdeelsleutelVkm[Voertuigtype],"Lichte voertuigen")*SUMIFS(TableECFTransport[EnergieConsumptieFactor (PJ per km)],TableECFTransport[Index],CONCATENATE($A6,"_CNG_CNG"))</f>
        <v>5.9836969346338802E-4</v>
      </c>
      <c r="E6" s="917">
        <f>vkm_2011_GW_PW*SUMIFS(TableVerdeelsleutelVkm[LPG],TableVerdeelsleutelVkm[Voertuigtype],"Lichte voertuigen")*SUMIFS(TableECFTransport[EnergieConsumptieFactor (PJ per km)],TableECFTransport[Index],CONCATENATE($A6,"_LPG_LPG"))</f>
        <v>4.7141673393959996E-4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0.12832511634851645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4.4905267568060916E-2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1.0351604252280839E-2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7.7910441524492918E-2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1.9628150872934347E-5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4.4925594674720829E-3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5.5244030279999992E-5</v>
      </c>
      <c r="C8" s="449"/>
      <c r="D8" s="451">
        <f>vkm_2011_NGW_PW*SUMIFS(TableVerdeelsleutelVkm[CNG],TableVerdeelsleutelVkm[Voertuigtype],"Lichte voertuigen")*SUMIFS(TableECFTransport[EnergieConsumptieFactor (PJ per km)],TableECFTransport[Index],CONCATENATE($A8,"_CNG_CNG"))</f>
        <v>3.3995509023168E-4</v>
      </c>
      <c r="E8" s="451">
        <f>vkm_2011_NGW_PW*SUMIFS(TableVerdeelsleutelVkm[LPG],TableVerdeelsleutelVkm[Voertuigtype],"Lichte voertuigen")*SUMIFS(TableECFTransport[EnergieConsumptieFactor (PJ per km)],TableECFTransport[Index],CONCATENATE($A8,"_LPG_LPG"))</f>
        <v>2.4829365829260003E-4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6.2719994405694035E-2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2.4859365915864479E-2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5.2509707573945522E-3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6.5038875429014121E-3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1.546051071011703E-6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3.7502839095183971E-4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63.147019704166659</v>
      </c>
      <c r="C14" s="21"/>
      <c r="D14" s="21">
        <f t="shared" ref="D14:M14" si="0">((D5)*10^9/3600)+D12</f>
        <v>260.64577324863001</v>
      </c>
      <c r="E14" s="21">
        <f t="shared" si="0"/>
        <v>199.91955339783334</v>
      </c>
      <c r="F14" s="21"/>
      <c r="G14" s="21">
        <f t="shared" si="0"/>
        <v>76516.511061556885</v>
      </c>
      <c r="H14" s="21">
        <f t="shared" si="0"/>
        <v>19384.946579408148</v>
      </c>
      <c r="I14" s="21"/>
      <c r="J14" s="21"/>
      <c r="K14" s="21"/>
      <c r="L14" s="21"/>
      <c r="M14" s="21">
        <f t="shared" si="0"/>
        <v>5686.1563522498091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0.18134941494615342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11.451675078943845</v>
      </c>
      <c r="C18" s="23"/>
      <c r="D18" s="23">
        <f t="shared" ref="D18:M18" si="1">D14*D16</f>
        <v>52.650446196223264</v>
      </c>
      <c r="E18" s="23">
        <f t="shared" si="1"/>
        <v>45.381738621308166</v>
      </c>
      <c r="F18" s="23"/>
      <c r="G18" s="23">
        <f t="shared" si="1"/>
        <v>20429.908453435688</v>
      </c>
      <c r="H18" s="23">
        <f t="shared" si="1"/>
        <v>4826.8516982726287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6.0000359572813366E-3</v>
      </c>
      <c r="H50" s="321">
        <f t="shared" si="2"/>
        <v>0</v>
      </c>
      <c r="I50" s="321">
        <f t="shared" si="2"/>
        <v>0</v>
      </c>
      <c r="J50" s="321">
        <f t="shared" si="2"/>
        <v>0</v>
      </c>
      <c r="K50" s="321">
        <f t="shared" si="2"/>
        <v>0</v>
      </c>
      <c r="L50" s="321">
        <f t="shared" si="2"/>
        <v>0</v>
      </c>
      <c r="M50" s="321">
        <f t="shared" si="2"/>
        <v>3.3348266237320578E-4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6.0000359572813366E-3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3.3348266237320578E-4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1666.6766548003711</v>
      </c>
      <c r="H54" s="21">
        <f t="shared" si="3"/>
        <v>0</v>
      </c>
      <c r="I54" s="21">
        <f t="shared" si="3"/>
        <v>0</v>
      </c>
      <c r="J54" s="21">
        <f t="shared" si="3"/>
        <v>0</v>
      </c>
      <c r="K54" s="21">
        <f t="shared" si="3"/>
        <v>0</v>
      </c>
      <c r="L54" s="21">
        <f t="shared" si="3"/>
        <v>0</v>
      </c>
      <c r="M54" s="21">
        <f t="shared" si="3"/>
        <v>92.634072881446045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0.18134941494615342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445.00266683169912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8701.8941300000006</v>
      </c>
      <c r="D10" s="712">
        <f ca="1">tertiair!C16</f>
        <v>0</v>
      </c>
      <c r="E10" s="712">
        <f ca="1">tertiair!D16</f>
        <v>6581.801454800001</v>
      </c>
      <c r="F10" s="712">
        <f>tertiair!E16</f>
        <v>123.97693104293538</v>
      </c>
      <c r="G10" s="712">
        <f ca="1">tertiair!F16</f>
        <v>876.23662988097374</v>
      </c>
      <c r="H10" s="712">
        <f>tertiair!G16</f>
        <v>0</v>
      </c>
      <c r="I10" s="712">
        <f>tertiair!H16</f>
        <v>0</v>
      </c>
      <c r="J10" s="712">
        <f>tertiair!I16</f>
        <v>0</v>
      </c>
      <c r="K10" s="712">
        <f>tertiair!J16</f>
        <v>1.3000579269042571E-2</v>
      </c>
      <c r="L10" s="712">
        <f>tertiair!K16</f>
        <v>0</v>
      </c>
      <c r="M10" s="712">
        <f ca="1">tertiair!L16</f>
        <v>0</v>
      </c>
      <c r="N10" s="712">
        <f>tertiair!M16</f>
        <v>0</v>
      </c>
      <c r="O10" s="712">
        <f ca="1">tertiair!N16</f>
        <v>515.68517146251475</v>
      </c>
      <c r="P10" s="712">
        <f>tertiair!O16</f>
        <v>4.8972607658411542</v>
      </c>
      <c r="Q10" s="713">
        <f>tertiair!P16</f>
        <v>105.07827661299004</v>
      </c>
      <c r="R10" s="715">
        <f ca="1">SUM(C10:Q10)</f>
        <v>16909.582855144523</v>
      </c>
      <c r="S10" s="67"/>
    </row>
    <row r="11" spans="1:19" s="474" customFormat="1">
      <c r="A11" s="834" t="s">
        <v>224</v>
      </c>
      <c r="B11" s="839"/>
      <c r="C11" s="712">
        <f>huishoudens!B8</f>
        <v>22529.923227608168</v>
      </c>
      <c r="D11" s="712">
        <f>huishoudens!C8</f>
        <v>0</v>
      </c>
      <c r="E11" s="712">
        <f>huishoudens!D8</f>
        <v>26430.611054100002</v>
      </c>
      <c r="F11" s="712">
        <f>huishoudens!E8</f>
        <v>4979.1547866838546</v>
      </c>
      <c r="G11" s="712">
        <f>huishoudens!F8</f>
        <v>43313.930396196462</v>
      </c>
      <c r="H11" s="712">
        <f>huishoudens!G8</f>
        <v>0</v>
      </c>
      <c r="I11" s="712">
        <f>huishoudens!H8</f>
        <v>0</v>
      </c>
      <c r="J11" s="712">
        <f>huishoudens!I8</f>
        <v>0</v>
      </c>
      <c r="K11" s="712">
        <f>huishoudens!J8</f>
        <v>0</v>
      </c>
      <c r="L11" s="712">
        <f>huishoudens!K8</f>
        <v>0</v>
      </c>
      <c r="M11" s="712">
        <f>huishoudens!L8</f>
        <v>0</v>
      </c>
      <c r="N11" s="712">
        <f>huishoudens!M8</f>
        <v>0</v>
      </c>
      <c r="O11" s="712">
        <f>huishoudens!N8</f>
        <v>17530.33489677875</v>
      </c>
      <c r="P11" s="712">
        <f>huishoudens!O8</f>
        <v>674.54579459159083</v>
      </c>
      <c r="Q11" s="713">
        <f>huishoudens!P8</f>
        <v>537.23192469193623</v>
      </c>
      <c r="R11" s="715">
        <f>SUM(C11:Q11)</f>
        <v>115995.73208065075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6939.6373880000001</v>
      </c>
      <c r="D13" s="712">
        <f>industrie!C18</f>
        <v>0</v>
      </c>
      <c r="E13" s="712">
        <f>industrie!D18</f>
        <v>1769.3116055999999</v>
      </c>
      <c r="F13" s="712">
        <f>industrie!E18</f>
        <v>715.19994170748032</v>
      </c>
      <c r="G13" s="712">
        <f>industrie!F18</f>
        <v>2450.9086139151163</v>
      </c>
      <c r="H13" s="712">
        <f>industrie!G18</f>
        <v>0</v>
      </c>
      <c r="I13" s="712">
        <f>industrie!H18</f>
        <v>0</v>
      </c>
      <c r="J13" s="712">
        <f>industrie!I18</f>
        <v>0</v>
      </c>
      <c r="K13" s="712">
        <f>industrie!J18</f>
        <v>3.6164734616349481</v>
      </c>
      <c r="L13" s="712">
        <f>industrie!K18</f>
        <v>0</v>
      </c>
      <c r="M13" s="712">
        <f>industrie!L18</f>
        <v>0</v>
      </c>
      <c r="N13" s="712">
        <f>industrie!M18</f>
        <v>0</v>
      </c>
      <c r="O13" s="712">
        <f>industrie!N18</f>
        <v>284.47196438449208</v>
      </c>
      <c r="P13" s="712">
        <f>industrie!O18</f>
        <v>0</v>
      </c>
      <c r="Q13" s="713">
        <f>industrie!P18</f>
        <v>0</v>
      </c>
      <c r="R13" s="715">
        <f>SUM(C13:Q13)</f>
        <v>12163.145987068723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38171.454745608171</v>
      </c>
      <c r="D16" s="748">
        <f t="shared" ref="D16:R16" ca="1" si="0">SUM(D9:D15)</f>
        <v>0</v>
      </c>
      <c r="E16" s="748">
        <f t="shared" ca="1" si="0"/>
        <v>34781.724114500001</v>
      </c>
      <c r="F16" s="748">
        <f t="shared" si="0"/>
        <v>5818.3316594342705</v>
      </c>
      <c r="G16" s="748">
        <f t="shared" ca="1" si="0"/>
        <v>46641.075639992552</v>
      </c>
      <c r="H16" s="748">
        <f t="shared" si="0"/>
        <v>0</v>
      </c>
      <c r="I16" s="748">
        <f t="shared" si="0"/>
        <v>0</v>
      </c>
      <c r="J16" s="748">
        <f t="shared" si="0"/>
        <v>0</v>
      </c>
      <c r="K16" s="748">
        <f t="shared" si="0"/>
        <v>3.6294740409039905</v>
      </c>
      <c r="L16" s="748">
        <f t="shared" si="0"/>
        <v>0</v>
      </c>
      <c r="M16" s="748">
        <f t="shared" ca="1" si="0"/>
        <v>0</v>
      </c>
      <c r="N16" s="748">
        <f t="shared" si="0"/>
        <v>0</v>
      </c>
      <c r="O16" s="748">
        <f t="shared" ca="1" si="0"/>
        <v>18330.492032625756</v>
      </c>
      <c r="P16" s="748">
        <f t="shared" si="0"/>
        <v>679.44305535743194</v>
      </c>
      <c r="Q16" s="748">
        <f t="shared" si="0"/>
        <v>642.3102013049263</v>
      </c>
      <c r="R16" s="748">
        <f t="shared" ca="1" si="0"/>
        <v>145068.46092286397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1666.6766548003711</v>
      </c>
      <c r="I19" s="712">
        <f>transport!H54</f>
        <v>0</v>
      </c>
      <c r="J19" s="712">
        <f>transport!I54</f>
        <v>0</v>
      </c>
      <c r="K19" s="712">
        <f>transport!J54</f>
        <v>0</v>
      </c>
      <c r="L19" s="712">
        <f>transport!K54</f>
        <v>0</v>
      </c>
      <c r="M19" s="712">
        <f>transport!L54</f>
        <v>0</v>
      </c>
      <c r="N19" s="712">
        <f>transport!M54</f>
        <v>92.634072881446045</v>
      </c>
      <c r="O19" s="712">
        <f>transport!N54</f>
        <v>0</v>
      </c>
      <c r="P19" s="712">
        <f>transport!O54</f>
        <v>0</v>
      </c>
      <c r="Q19" s="713">
        <f>transport!P54</f>
        <v>0</v>
      </c>
      <c r="R19" s="715">
        <f>SUM(C19:Q19)</f>
        <v>1759.3107276818171</v>
      </c>
      <c r="S19" s="67"/>
    </row>
    <row r="20" spans="1:19" s="474" customFormat="1">
      <c r="A20" s="834" t="s">
        <v>306</v>
      </c>
      <c r="B20" s="839"/>
      <c r="C20" s="712">
        <f>transport!B14</f>
        <v>63.147019704166659</v>
      </c>
      <c r="D20" s="712">
        <f>transport!C14</f>
        <v>0</v>
      </c>
      <c r="E20" s="712">
        <f>transport!D14</f>
        <v>260.64577324863001</v>
      </c>
      <c r="F20" s="712">
        <f>transport!E14</f>
        <v>199.91955339783334</v>
      </c>
      <c r="G20" s="712">
        <f>transport!F14</f>
        <v>0</v>
      </c>
      <c r="H20" s="712">
        <f>transport!G14</f>
        <v>76516.511061556885</v>
      </c>
      <c r="I20" s="712">
        <f>transport!H14</f>
        <v>19384.946579408148</v>
      </c>
      <c r="J20" s="712">
        <f>transport!I14</f>
        <v>0</v>
      </c>
      <c r="K20" s="712">
        <f>transport!J14</f>
        <v>0</v>
      </c>
      <c r="L20" s="712">
        <f>transport!K14</f>
        <v>0</v>
      </c>
      <c r="M20" s="712">
        <f>transport!L14</f>
        <v>0</v>
      </c>
      <c r="N20" s="712">
        <f>transport!M14</f>
        <v>5686.1563522498091</v>
      </c>
      <c r="O20" s="712">
        <f>transport!N14</f>
        <v>0</v>
      </c>
      <c r="P20" s="712">
        <f>transport!O14</f>
        <v>0</v>
      </c>
      <c r="Q20" s="713">
        <f>transport!P14</f>
        <v>0</v>
      </c>
      <c r="R20" s="715">
        <f>SUM(C20:Q20)</f>
        <v>102111.32633956546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63.147019704166659</v>
      </c>
      <c r="D22" s="837">
        <f t="shared" ref="D22:R22" si="1">SUM(D18:D21)</f>
        <v>0</v>
      </c>
      <c r="E22" s="837">
        <f t="shared" si="1"/>
        <v>260.64577324863001</v>
      </c>
      <c r="F22" s="837">
        <f t="shared" si="1"/>
        <v>199.91955339783334</v>
      </c>
      <c r="G22" s="837">
        <f t="shared" si="1"/>
        <v>0</v>
      </c>
      <c r="H22" s="837">
        <f t="shared" si="1"/>
        <v>78183.18771635725</v>
      </c>
      <c r="I22" s="837">
        <f t="shared" si="1"/>
        <v>19384.946579408148</v>
      </c>
      <c r="J22" s="837">
        <f t="shared" si="1"/>
        <v>0</v>
      </c>
      <c r="K22" s="837">
        <f t="shared" si="1"/>
        <v>0</v>
      </c>
      <c r="L22" s="837">
        <f t="shared" si="1"/>
        <v>0</v>
      </c>
      <c r="M22" s="837">
        <f t="shared" si="1"/>
        <v>0</v>
      </c>
      <c r="N22" s="837">
        <f t="shared" si="1"/>
        <v>5778.7904251312548</v>
      </c>
      <c r="O22" s="837">
        <f t="shared" si="1"/>
        <v>0</v>
      </c>
      <c r="P22" s="837">
        <f t="shared" si="1"/>
        <v>0</v>
      </c>
      <c r="Q22" s="837">
        <f t="shared" si="1"/>
        <v>0</v>
      </c>
      <c r="R22" s="837">
        <f t="shared" si="1"/>
        <v>103870.63706724728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2420.4102640000001</v>
      </c>
      <c r="D24" s="712">
        <f>+landbouw!C8</f>
        <v>62.357142857142847</v>
      </c>
      <c r="E24" s="712">
        <f>+landbouw!D8</f>
        <v>55.552376000000002</v>
      </c>
      <c r="F24" s="712">
        <f>+landbouw!E8</f>
        <v>75.540206186601381</v>
      </c>
      <c r="G24" s="712">
        <f>+landbouw!F8</f>
        <v>8553.9979987920851</v>
      </c>
      <c r="H24" s="712">
        <f>+landbouw!G8</f>
        <v>0</v>
      </c>
      <c r="I24" s="712">
        <f>+landbouw!H8</f>
        <v>0</v>
      </c>
      <c r="J24" s="712">
        <f>+landbouw!I8</f>
        <v>0</v>
      </c>
      <c r="K24" s="712">
        <f>+landbouw!J8</f>
        <v>666.83981313007473</v>
      </c>
      <c r="L24" s="712">
        <f>+landbouw!K8</f>
        <v>0</v>
      </c>
      <c r="M24" s="712">
        <f>+landbouw!L8</f>
        <v>0</v>
      </c>
      <c r="N24" s="712">
        <f>+landbouw!M8</f>
        <v>0</v>
      </c>
      <c r="O24" s="712">
        <f>+landbouw!N8</f>
        <v>0</v>
      </c>
      <c r="P24" s="712">
        <f>+landbouw!O8</f>
        <v>0</v>
      </c>
      <c r="Q24" s="713">
        <f>+landbouw!P8</f>
        <v>0</v>
      </c>
      <c r="R24" s="715">
        <f>SUM(C24:Q24)</f>
        <v>11834.697800965903</v>
      </c>
      <c r="S24" s="67"/>
    </row>
    <row r="25" spans="1:19" s="474" customFormat="1" ht="15" thickBot="1">
      <c r="A25" s="856" t="s">
        <v>734</v>
      </c>
      <c r="B25" s="982"/>
      <c r="C25" s="983">
        <f>IF(Onbekend_ele_kWh="---",0,Onbekend_ele_kWh)/1000+IF(REST_rest_ele_kWh="---",0,REST_rest_ele_kWh)/1000</f>
        <v>368.1977</v>
      </c>
      <c r="D25" s="983"/>
      <c r="E25" s="983">
        <f>IF(onbekend_gas_kWh="---",0,onbekend_gas_kWh)/1000+IF(REST_rest_gas_kWh="---",0,REST_rest_gas_kWh)/1000</f>
        <v>768.40985000000001</v>
      </c>
      <c r="F25" s="983"/>
      <c r="G25" s="983"/>
      <c r="H25" s="983"/>
      <c r="I25" s="983"/>
      <c r="J25" s="983"/>
      <c r="K25" s="983"/>
      <c r="L25" s="983"/>
      <c r="M25" s="983"/>
      <c r="N25" s="983"/>
      <c r="O25" s="983"/>
      <c r="P25" s="983"/>
      <c r="Q25" s="984"/>
      <c r="R25" s="715">
        <f>SUM(C25:Q25)</f>
        <v>1136.6075499999999</v>
      </c>
      <c r="S25" s="67"/>
    </row>
    <row r="26" spans="1:19" s="474" customFormat="1" ht="15.75" thickBot="1">
      <c r="A26" s="720" t="s">
        <v>735</v>
      </c>
      <c r="B26" s="842"/>
      <c r="C26" s="837">
        <f>SUM(C24:C25)</f>
        <v>2788.6079640000003</v>
      </c>
      <c r="D26" s="837">
        <f t="shared" ref="D26:R26" si="2">SUM(D24:D25)</f>
        <v>62.357142857142847</v>
      </c>
      <c r="E26" s="837">
        <f t="shared" si="2"/>
        <v>823.96222599999999</v>
      </c>
      <c r="F26" s="837">
        <f t="shared" si="2"/>
        <v>75.540206186601381</v>
      </c>
      <c r="G26" s="837">
        <f t="shared" si="2"/>
        <v>8553.9979987920851</v>
      </c>
      <c r="H26" s="837">
        <f t="shared" si="2"/>
        <v>0</v>
      </c>
      <c r="I26" s="837">
        <f t="shared" si="2"/>
        <v>0</v>
      </c>
      <c r="J26" s="837">
        <f t="shared" si="2"/>
        <v>0</v>
      </c>
      <c r="K26" s="837">
        <f t="shared" si="2"/>
        <v>666.83981313007473</v>
      </c>
      <c r="L26" s="837">
        <f t="shared" si="2"/>
        <v>0</v>
      </c>
      <c r="M26" s="837">
        <f t="shared" si="2"/>
        <v>0</v>
      </c>
      <c r="N26" s="837">
        <f t="shared" si="2"/>
        <v>0</v>
      </c>
      <c r="O26" s="837">
        <f t="shared" si="2"/>
        <v>0</v>
      </c>
      <c r="P26" s="837">
        <f t="shared" si="2"/>
        <v>0</v>
      </c>
      <c r="Q26" s="837">
        <f t="shared" si="2"/>
        <v>0</v>
      </c>
      <c r="R26" s="837">
        <f t="shared" si="2"/>
        <v>12971.305350965904</v>
      </c>
      <c r="S26" s="67"/>
    </row>
    <row r="27" spans="1:19" s="474" customFormat="1" ht="17.25" thickTop="1" thickBot="1">
      <c r="A27" s="721" t="s">
        <v>115</v>
      </c>
      <c r="B27" s="829"/>
      <c r="C27" s="722">
        <f ca="1">C22+C16+C26</f>
        <v>41023.209729312337</v>
      </c>
      <c r="D27" s="722">
        <f t="shared" ref="D27:R27" ca="1" si="3">D22+D16+D26</f>
        <v>62.357142857142847</v>
      </c>
      <c r="E27" s="722">
        <f t="shared" ca="1" si="3"/>
        <v>35866.332113748635</v>
      </c>
      <c r="F27" s="722">
        <f t="shared" si="3"/>
        <v>6093.7914190187057</v>
      </c>
      <c r="G27" s="722">
        <f t="shared" ca="1" si="3"/>
        <v>55195.073638784641</v>
      </c>
      <c r="H27" s="722">
        <f t="shared" si="3"/>
        <v>78183.18771635725</v>
      </c>
      <c r="I27" s="722">
        <f t="shared" si="3"/>
        <v>19384.946579408148</v>
      </c>
      <c r="J27" s="722">
        <f t="shared" si="3"/>
        <v>0</v>
      </c>
      <c r="K27" s="722">
        <f t="shared" si="3"/>
        <v>670.46928717097876</v>
      </c>
      <c r="L27" s="722">
        <f t="shared" si="3"/>
        <v>0</v>
      </c>
      <c r="M27" s="722">
        <f t="shared" ca="1" si="3"/>
        <v>0</v>
      </c>
      <c r="N27" s="722">
        <f t="shared" si="3"/>
        <v>5778.7904251312548</v>
      </c>
      <c r="O27" s="722">
        <f t="shared" ca="1" si="3"/>
        <v>18330.492032625756</v>
      </c>
      <c r="P27" s="722">
        <f t="shared" si="3"/>
        <v>679.44305535743194</v>
      </c>
      <c r="Q27" s="722">
        <f t="shared" si="3"/>
        <v>642.3102013049263</v>
      </c>
      <c r="R27" s="722">
        <f t="shared" ca="1" si="3"/>
        <v>261910.40334107718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1578.0834093988667</v>
      </c>
      <c r="D40" s="712">
        <f ca="1">tertiair!C20</f>
        <v>0</v>
      </c>
      <c r="E40" s="712">
        <f ca="1">tertiair!D20</f>
        <v>1329.5238938696002</v>
      </c>
      <c r="F40" s="712">
        <f>tertiair!E20</f>
        <v>28.142763346746332</v>
      </c>
      <c r="G40" s="712">
        <f ca="1">tertiair!F20</f>
        <v>233.95518017821999</v>
      </c>
      <c r="H40" s="712">
        <f>tertiair!G20</f>
        <v>0</v>
      </c>
      <c r="I40" s="712">
        <f>tertiair!H20</f>
        <v>0</v>
      </c>
      <c r="J40" s="712">
        <f>tertiair!I20</f>
        <v>0</v>
      </c>
      <c r="K40" s="712">
        <f>tertiair!J20</f>
        <v>4.6022050612410702E-3</v>
      </c>
      <c r="L40" s="712">
        <f>tertiair!K20</f>
        <v>0</v>
      </c>
      <c r="M40" s="712">
        <f ca="1">tertiair!L20</f>
        <v>0</v>
      </c>
      <c r="N40" s="712">
        <f>tertiair!M20</f>
        <v>0</v>
      </c>
      <c r="O40" s="712">
        <f ca="1">tertiair!N20</f>
        <v>0</v>
      </c>
      <c r="P40" s="712">
        <f>tertiair!O20</f>
        <v>0</v>
      </c>
      <c r="Q40" s="795">
        <f>tertiair!P20</f>
        <v>0</v>
      </c>
      <c r="R40" s="875">
        <f t="shared" ca="1" si="4"/>
        <v>3169.7098489984946</v>
      </c>
    </row>
    <row r="41" spans="1:18">
      <c r="A41" s="847" t="s">
        <v>224</v>
      </c>
      <c r="B41" s="854"/>
      <c r="C41" s="712">
        <f ca="1">huishoudens!B12</f>
        <v>4085.7883961084935</v>
      </c>
      <c r="D41" s="712">
        <f ca="1">huishoudens!C12</f>
        <v>0</v>
      </c>
      <c r="E41" s="712">
        <f>huishoudens!D12</f>
        <v>5338.9834329282003</v>
      </c>
      <c r="F41" s="712">
        <f>huishoudens!E12</f>
        <v>1130.2681365772351</v>
      </c>
      <c r="G41" s="712">
        <f>huishoudens!F12</f>
        <v>11564.819415784455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22119.859381398383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1258.4991802522522</v>
      </c>
      <c r="D43" s="712">
        <f ca="1">industrie!C22</f>
        <v>0</v>
      </c>
      <c r="E43" s="712">
        <f>industrie!D22</f>
        <v>357.40094433119998</v>
      </c>
      <c r="F43" s="712">
        <f>industrie!E22</f>
        <v>162.35038676759802</v>
      </c>
      <c r="G43" s="712">
        <f>industrie!F22</f>
        <v>654.39259991533606</v>
      </c>
      <c r="H43" s="712">
        <f>industrie!G22</f>
        <v>0</v>
      </c>
      <c r="I43" s="712">
        <f>industrie!H22</f>
        <v>0</v>
      </c>
      <c r="J43" s="712">
        <f>industrie!I22</f>
        <v>0</v>
      </c>
      <c r="K43" s="712">
        <f>industrie!J22</f>
        <v>1.2802316054187715</v>
      </c>
      <c r="L43" s="712">
        <f>industrie!K22</f>
        <v>0</v>
      </c>
      <c r="M43" s="712">
        <f>industrie!L22</f>
        <v>0</v>
      </c>
      <c r="N43" s="712">
        <f>industrie!M22</f>
        <v>0</v>
      </c>
      <c r="O43" s="712">
        <f>industrie!N22</f>
        <v>0</v>
      </c>
      <c r="P43" s="712">
        <f>industrie!O22</f>
        <v>0</v>
      </c>
      <c r="Q43" s="795">
        <f>industrie!P22</f>
        <v>0</v>
      </c>
      <c r="R43" s="874">
        <f t="shared" ca="1" si="4"/>
        <v>2433.9233428718053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6922.3709857596132</v>
      </c>
      <c r="D46" s="748">
        <f t="shared" ref="D46:Q46" ca="1" si="5">SUM(D39:D45)</f>
        <v>0</v>
      </c>
      <c r="E46" s="748">
        <f t="shared" ca="1" si="5"/>
        <v>7025.9082711290002</v>
      </c>
      <c r="F46" s="748">
        <f t="shared" si="5"/>
        <v>1320.7612866915792</v>
      </c>
      <c r="G46" s="748">
        <f t="shared" ca="1" si="5"/>
        <v>12453.167195878012</v>
      </c>
      <c r="H46" s="748">
        <f t="shared" si="5"/>
        <v>0</v>
      </c>
      <c r="I46" s="748">
        <f t="shared" si="5"/>
        <v>0</v>
      </c>
      <c r="J46" s="748">
        <f t="shared" si="5"/>
        <v>0</v>
      </c>
      <c r="K46" s="748">
        <f t="shared" si="5"/>
        <v>1.2848338104800126</v>
      </c>
      <c r="L46" s="748">
        <f t="shared" si="5"/>
        <v>0</v>
      </c>
      <c r="M46" s="748">
        <f t="shared" ca="1" si="5"/>
        <v>0</v>
      </c>
      <c r="N46" s="748">
        <f t="shared" si="5"/>
        <v>0</v>
      </c>
      <c r="O46" s="748">
        <f t="shared" ca="1" si="5"/>
        <v>0</v>
      </c>
      <c r="P46" s="748">
        <f t="shared" si="5"/>
        <v>0</v>
      </c>
      <c r="Q46" s="748">
        <f t="shared" si="5"/>
        <v>0</v>
      </c>
      <c r="R46" s="748">
        <f ca="1">SUM(R39:R45)</f>
        <v>27723.492573268682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445.00266683169912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445.00266683169912</v>
      </c>
    </row>
    <row r="50" spans="1:18">
      <c r="A50" s="850" t="s">
        <v>306</v>
      </c>
      <c r="B50" s="860"/>
      <c r="C50" s="718">
        <f ca="1">transport!B18</f>
        <v>11.451675078943845</v>
      </c>
      <c r="D50" s="718">
        <f>transport!C18</f>
        <v>0</v>
      </c>
      <c r="E50" s="718">
        <f>transport!D18</f>
        <v>52.650446196223264</v>
      </c>
      <c r="F50" s="718">
        <f>transport!E18</f>
        <v>45.381738621308166</v>
      </c>
      <c r="G50" s="718">
        <f>transport!F18</f>
        <v>0</v>
      </c>
      <c r="H50" s="718">
        <f>transport!G18</f>
        <v>20429.908453435688</v>
      </c>
      <c r="I50" s="718">
        <f>transport!H18</f>
        <v>4826.8516982726287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25366.244011604791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11.451675078943845</v>
      </c>
      <c r="D52" s="748">
        <f t="shared" ref="D52:Q52" ca="1" si="6">SUM(D48:D51)</f>
        <v>0</v>
      </c>
      <c r="E52" s="748">
        <f t="shared" si="6"/>
        <v>52.650446196223264</v>
      </c>
      <c r="F52" s="748">
        <f t="shared" si="6"/>
        <v>45.381738621308166</v>
      </c>
      <c r="G52" s="748">
        <f t="shared" si="6"/>
        <v>0</v>
      </c>
      <c r="H52" s="748">
        <f t="shared" si="6"/>
        <v>20874.911120267388</v>
      </c>
      <c r="I52" s="748">
        <f t="shared" si="6"/>
        <v>4826.8516982726287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25811.246678436491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438.93998530606478</v>
      </c>
      <c r="D54" s="718">
        <f ca="1">+landbouw!C12</f>
        <v>0</v>
      </c>
      <c r="E54" s="718">
        <f>+landbouw!D12</f>
        <v>11.221579952000001</v>
      </c>
      <c r="F54" s="718">
        <f>+landbouw!E12</f>
        <v>17.147626804358513</v>
      </c>
      <c r="G54" s="718">
        <f>+landbouw!F12</f>
        <v>2283.9174656774867</v>
      </c>
      <c r="H54" s="718">
        <f>+landbouw!G12</f>
        <v>0</v>
      </c>
      <c r="I54" s="718">
        <f>+landbouw!H12</f>
        <v>0</v>
      </c>
      <c r="J54" s="718">
        <f>+landbouw!I12</f>
        <v>0</v>
      </c>
      <c r="K54" s="718">
        <f>+landbouw!J12</f>
        <v>236.06129384804643</v>
      </c>
      <c r="L54" s="718">
        <f>+landbouw!K12</f>
        <v>0</v>
      </c>
      <c r="M54" s="718">
        <f>+landbouw!L12</f>
        <v>0</v>
      </c>
      <c r="N54" s="718">
        <f>+landbouw!M12</f>
        <v>0</v>
      </c>
      <c r="O54" s="718">
        <f>+landbouw!N12</f>
        <v>0</v>
      </c>
      <c r="P54" s="718">
        <f>+landbouw!O12</f>
        <v>0</v>
      </c>
      <c r="Q54" s="719">
        <f>+landbouw!P12</f>
        <v>0</v>
      </c>
      <c r="R54" s="747">
        <f ca="1">SUM(C54:Q54)</f>
        <v>2987.2879515879563</v>
      </c>
    </row>
    <row r="55" spans="1:18" ht="15" thickBot="1">
      <c r="A55" s="850" t="s">
        <v>734</v>
      </c>
      <c r="B55" s="860"/>
      <c r="C55" s="718">
        <f ca="1">C25*'EF ele_warmte'!B12</f>
        <v>66.772437479519311</v>
      </c>
      <c r="D55" s="718"/>
      <c r="E55" s="718">
        <f>E25*EF_CO2_aardgas</f>
        <v>155.2187897</v>
      </c>
      <c r="F55" s="718"/>
      <c r="G55" s="718"/>
      <c r="H55" s="718"/>
      <c r="I55" s="718"/>
      <c r="J55" s="718"/>
      <c r="K55" s="718"/>
      <c r="L55" s="718"/>
      <c r="M55" s="718"/>
      <c r="N55" s="718"/>
      <c r="O55" s="718"/>
      <c r="P55" s="718"/>
      <c r="Q55" s="719"/>
      <c r="R55" s="747">
        <f ca="1">SUM(C55:Q55)</f>
        <v>221.99122717951931</v>
      </c>
    </row>
    <row r="56" spans="1:18" ht="15.75" thickBot="1">
      <c r="A56" s="848" t="s">
        <v>735</v>
      </c>
      <c r="B56" s="861"/>
      <c r="C56" s="748">
        <f ca="1">SUM(C54:C55)</f>
        <v>505.71242278558407</v>
      </c>
      <c r="D56" s="748">
        <f t="shared" ref="D56:Q56" ca="1" si="7">SUM(D54:D55)</f>
        <v>0</v>
      </c>
      <c r="E56" s="748">
        <f t="shared" si="7"/>
        <v>166.44036965200002</v>
      </c>
      <c r="F56" s="748">
        <f t="shared" si="7"/>
        <v>17.147626804358513</v>
      </c>
      <c r="G56" s="748">
        <f t="shared" si="7"/>
        <v>2283.9174656774867</v>
      </c>
      <c r="H56" s="748">
        <f t="shared" si="7"/>
        <v>0</v>
      </c>
      <c r="I56" s="748">
        <f t="shared" si="7"/>
        <v>0</v>
      </c>
      <c r="J56" s="748">
        <f t="shared" si="7"/>
        <v>0</v>
      </c>
      <c r="K56" s="748">
        <f t="shared" si="7"/>
        <v>236.06129384804643</v>
      </c>
      <c r="L56" s="748">
        <f t="shared" si="7"/>
        <v>0</v>
      </c>
      <c r="M56" s="748">
        <f t="shared" si="7"/>
        <v>0</v>
      </c>
      <c r="N56" s="748">
        <f t="shared" si="7"/>
        <v>0</v>
      </c>
      <c r="O56" s="748">
        <f t="shared" si="7"/>
        <v>0</v>
      </c>
      <c r="P56" s="748">
        <f t="shared" si="7"/>
        <v>0</v>
      </c>
      <c r="Q56" s="749">
        <f t="shared" si="7"/>
        <v>0</v>
      </c>
      <c r="R56" s="750">
        <f ca="1">SUM(R54:R55)</f>
        <v>3209.2791787674755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7439.5350836241405</v>
      </c>
      <c r="D61" s="756">
        <f t="shared" ref="D61:Q61" ca="1" si="8">D46+D52+D56</f>
        <v>0</v>
      </c>
      <c r="E61" s="756">
        <f t="shared" ca="1" si="8"/>
        <v>7244.9990869772237</v>
      </c>
      <c r="F61" s="756">
        <f t="shared" si="8"/>
        <v>1383.2906521172458</v>
      </c>
      <c r="G61" s="756">
        <f t="shared" ca="1" si="8"/>
        <v>14737.084661555498</v>
      </c>
      <c r="H61" s="756">
        <f t="shared" si="8"/>
        <v>20874.911120267388</v>
      </c>
      <c r="I61" s="756">
        <f t="shared" si="8"/>
        <v>4826.8516982726287</v>
      </c>
      <c r="J61" s="756">
        <f t="shared" si="8"/>
        <v>0</v>
      </c>
      <c r="K61" s="756">
        <f t="shared" si="8"/>
        <v>237.34612765852646</v>
      </c>
      <c r="L61" s="756">
        <f t="shared" si="8"/>
        <v>0</v>
      </c>
      <c r="M61" s="756">
        <f t="shared" ca="1" si="8"/>
        <v>0</v>
      </c>
      <c r="N61" s="756">
        <f t="shared" si="8"/>
        <v>0</v>
      </c>
      <c r="O61" s="756">
        <f t="shared" ca="1" si="8"/>
        <v>0</v>
      </c>
      <c r="P61" s="756">
        <f t="shared" si="8"/>
        <v>0</v>
      </c>
      <c r="Q61" s="756">
        <f t="shared" si="8"/>
        <v>0</v>
      </c>
      <c r="R61" s="756">
        <f ca="1">R46+R52+R56</f>
        <v>56744.01843047265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0.18134941494615339</v>
      </c>
      <c r="D63" s="802">
        <f t="shared" ca="1" si="9"/>
        <v>0</v>
      </c>
      <c r="E63" s="1008">
        <f t="shared" ca="1" si="9"/>
        <v>0.20199999999999999</v>
      </c>
      <c r="F63" s="802">
        <f t="shared" si="9"/>
        <v>0.22699999999999995</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7316.5050522800229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7360.1550522800226</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7316.5050522800229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7360.1550522800226</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72040</v>
      </c>
      <c r="C28" s="817">
        <v>3670</v>
      </c>
      <c r="D28" s="666" t="s">
        <v>886</v>
      </c>
      <c r="E28" s="665" t="s">
        <v>887</v>
      </c>
      <c r="F28" s="665" t="s">
        <v>888</v>
      </c>
      <c r="G28" s="665" t="s">
        <v>889</v>
      </c>
      <c r="H28" s="665" t="s">
        <v>890</v>
      </c>
      <c r="I28" s="665" t="s">
        <v>891</v>
      </c>
      <c r="J28" s="816">
        <v>41282</v>
      </c>
      <c r="K28" s="816">
        <v>41282</v>
      </c>
      <c r="L28" s="665" t="s">
        <v>892</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22529.923227608168</v>
      </c>
      <c r="C4" s="478">
        <f>huishoudens!C8</f>
        <v>0</v>
      </c>
      <c r="D4" s="478">
        <f>huishoudens!D8</f>
        <v>26430.611054100002</v>
      </c>
      <c r="E4" s="478">
        <f>huishoudens!E8</f>
        <v>4979.1547866838546</v>
      </c>
      <c r="F4" s="478">
        <f>huishoudens!F8</f>
        <v>43313.930396196462</v>
      </c>
      <c r="G4" s="478">
        <f>huishoudens!G8</f>
        <v>0</v>
      </c>
      <c r="H4" s="478">
        <f>huishoudens!H8</f>
        <v>0</v>
      </c>
      <c r="I4" s="478">
        <f>huishoudens!I8</f>
        <v>0</v>
      </c>
      <c r="J4" s="478">
        <f>huishoudens!J8</f>
        <v>0</v>
      </c>
      <c r="K4" s="478">
        <f>huishoudens!K8</f>
        <v>0</v>
      </c>
      <c r="L4" s="478">
        <f>huishoudens!L8</f>
        <v>0</v>
      </c>
      <c r="M4" s="478">
        <f>huishoudens!M8</f>
        <v>0</v>
      </c>
      <c r="N4" s="478">
        <f>huishoudens!N8</f>
        <v>17530.33489677875</v>
      </c>
      <c r="O4" s="478">
        <f>huishoudens!O8</f>
        <v>674.54579459159083</v>
      </c>
      <c r="P4" s="479">
        <f>huishoudens!P8</f>
        <v>537.23192469193623</v>
      </c>
      <c r="Q4" s="480">
        <f>SUM(B4:P4)</f>
        <v>115995.73208065075</v>
      </c>
    </row>
    <row r="5" spans="1:17">
      <c r="A5" s="477" t="s">
        <v>155</v>
      </c>
      <c r="B5" s="478">
        <f ca="1">tertiair!B16</f>
        <v>7945.4571299999998</v>
      </c>
      <c r="C5" s="478">
        <f ca="1">tertiair!C16</f>
        <v>0</v>
      </c>
      <c r="D5" s="478">
        <f ca="1">tertiair!D16</f>
        <v>6581.801454800001</v>
      </c>
      <c r="E5" s="478">
        <f>tertiair!E16</f>
        <v>123.97693104293538</v>
      </c>
      <c r="F5" s="478">
        <f ca="1">tertiair!F16</f>
        <v>876.23662988097374</v>
      </c>
      <c r="G5" s="478">
        <f>tertiair!G16</f>
        <v>0</v>
      </c>
      <c r="H5" s="478">
        <f>tertiair!H16</f>
        <v>0</v>
      </c>
      <c r="I5" s="478">
        <f>tertiair!I16</f>
        <v>0</v>
      </c>
      <c r="J5" s="478">
        <f>tertiair!J16</f>
        <v>1.3000579269042571E-2</v>
      </c>
      <c r="K5" s="478">
        <f>tertiair!K16</f>
        <v>0</v>
      </c>
      <c r="L5" s="478">
        <f ca="1">tertiair!L16</f>
        <v>0</v>
      </c>
      <c r="M5" s="478">
        <f>tertiair!M16</f>
        <v>0</v>
      </c>
      <c r="N5" s="478">
        <f ca="1">tertiair!N16</f>
        <v>515.68517146251475</v>
      </c>
      <c r="O5" s="478">
        <f>tertiair!O16</f>
        <v>4.8972607658411542</v>
      </c>
      <c r="P5" s="479">
        <f>tertiair!P16</f>
        <v>105.07827661299004</v>
      </c>
      <c r="Q5" s="477">
        <f t="shared" ref="Q5:Q14" ca="1" si="0">SUM(B5:P5)</f>
        <v>16153.145855144527</v>
      </c>
    </row>
    <row r="6" spans="1:17">
      <c r="A6" s="477" t="s">
        <v>193</v>
      </c>
      <c r="B6" s="478">
        <f>'openbare verlichting'!B8</f>
        <v>756.43700000000001</v>
      </c>
      <c r="C6" s="478"/>
      <c r="D6" s="478"/>
      <c r="E6" s="478"/>
      <c r="F6" s="478"/>
      <c r="G6" s="478"/>
      <c r="H6" s="478"/>
      <c r="I6" s="478"/>
      <c r="J6" s="478"/>
      <c r="K6" s="478"/>
      <c r="L6" s="478"/>
      <c r="M6" s="478"/>
      <c r="N6" s="478"/>
      <c r="O6" s="478"/>
      <c r="P6" s="479"/>
      <c r="Q6" s="477">
        <f t="shared" si="0"/>
        <v>756.43700000000001</v>
      </c>
    </row>
    <row r="7" spans="1:17">
      <c r="A7" s="477" t="s">
        <v>111</v>
      </c>
      <c r="B7" s="478">
        <f>landbouw!B8</f>
        <v>2420.4102640000001</v>
      </c>
      <c r="C7" s="478">
        <f>landbouw!C8</f>
        <v>62.357142857142847</v>
      </c>
      <c r="D7" s="478">
        <f>landbouw!D8</f>
        <v>55.552376000000002</v>
      </c>
      <c r="E7" s="478">
        <f>landbouw!E8</f>
        <v>75.540206186601381</v>
      </c>
      <c r="F7" s="478">
        <f>landbouw!F8</f>
        <v>8553.9979987920851</v>
      </c>
      <c r="G7" s="478">
        <f>landbouw!G8</f>
        <v>0</v>
      </c>
      <c r="H7" s="478">
        <f>landbouw!H8</f>
        <v>0</v>
      </c>
      <c r="I7" s="478">
        <f>landbouw!I8</f>
        <v>0</v>
      </c>
      <c r="J7" s="478">
        <f>landbouw!J8</f>
        <v>666.83981313007473</v>
      </c>
      <c r="K7" s="478">
        <f>landbouw!K8</f>
        <v>0</v>
      </c>
      <c r="L7" s="478">
        <f>landbouw!L8</f>
        <v>0</v>
      </c>
      <c r="M7" s="478">
        <f>landbouw!M8</f>
        <v>0</v>
      </c>
      <c r="N7" s="478">
        <f>landbouw!N8</f>
        <v>0</v>
      </c>
      <c r="O7" s="478">
        <f>landbouw!O8</f>
        <v>0</v>
      </c>
      <c r="P7" s="479">
        <f>landbouw!P8</f>
        <v>0</v>
      </c>
      <c r="Q7" s="477">
        <f t="shared" si="0"/>
        <v>11834.697800965903</v>
      </c>
    </row>
    <row r="8" spans="1:17">
      <c r="A8" s="477" t="s">
        <v>629</v>
      </c>
      <c r="B8" s="478">
        <f>industrie!B18</f>
        <v>6939.6373880000001</v>
      </c>
      <c r="C8" s="478">
        <f>industrie!C18</f>
        <v>0</v>
      </c>
      <c r="D8" s="478">
        <f>industrie!D18</f>
        <v>1769.3116055999999</v>
      </c>
      <c r="E8" s="478">
        <f>industrie!E18</f>
        <v>715.19994170748032</v>
      </c>
      <c r="F8" s="478">
        <f>industrie!F18</f>
        <v>2450.9086139151163</v>
      </c>
      <c r="G8" s="478">
        <f>industrie!G18</f>
        <v>0</v>
      </c>
      <c r="H8" s="478">
        <f>industrie!H18</f>
        <v>0</v>
      </c>
      <c r="I8" s="478">
        <f>industrie!I18</f>
        <v>0</v>
      </c>
      <c r="J8" s="478">
        <f>industrie!J18</f>
        <v>3.6164734616349481</v>
      </c>
      <c r="K8" s="478">
        <f>industrie!K18</f>
        <v>0</v>
      </c>
      <c r="L8" s="478">
        <f>industrie!L18</f>
        <v>0</v>
      </c>
      <c r="M8" s="478">
        <f>industrie!M18</f>
        <v>0</v>
      </c>
      <c r="N8" s="478">
        <f>industrie!N18</f>
        <v>284.47196438449208</v>
      </c>
      <c r="O8" s="478">
        <f>industrie!O18</f>
        <v>0</v>
      </c>
      <c r="P8" s="479">
        <f>industrie!P18</f>
        <v>0</v>
      </c>
      <c r="Q8" s="477">
        <f t="shared" si="0"/>
        <v>12163.145987068723</v>
      </c>
    </row>
    <row r="9" spans="1:17" s="483" customFormat="1">
      <c r="A9" s="481" t="s">
        <v>555</v>
      </c>
      <c r="B9" s="482">
        <f>transport!B14</f>
        <v>63.147019704166659</v>
      </c>
      <c r="C9" s="482">
        <f>transport!C14</f>
        <v>0</v>
      </c>
      <c r="D9" s="482">
        <f>transport!D14</f>
        <v>260.64577324863001</v>
      </c>
      <c r="E9" s="482">
        <f>transport!E14</f>
        <v>199.91955339783334</v>
      </c>
      <c r="F9" s="482">
        <f>transport!F14</f>
        <v>0</v>
      </c>
      <c r="G9" s="482">
        <f>transport!G14</f>
        <v>76516.511061556885</v>
      </c>
      <c r="H9" s="482">
        <f>transport!H14</f>
        <v>19384.946579408148</v>
      </c>
      <c r="I9" s="482">
        <f>transport!I14</f>
        <v>0</v>
      </c>
      <c r="J9" s="482">
        <f>transport!J14</f>
        <v>0</v>
      </c>
      <c r="K9" s="482">
        <f>transport!K14</f>
        <v>0</v>
      </c>
      <c r="L9" s="482">
        <f>transport!L14</f>
        <v>0</v>
      </c>
      <c r="M9" s="482">
        <f>transport!M14</f>
        <v>5686.1563522498091</v>
      </c>
      <c r="N9" s="482">
        <f>transport!N14</f>
        <v>0</v>
      </c>
      <c r="O9" s="482">
        <f>transport!O14</f>
        <v>0</v>
      </c>
      <c r="P9" s="482">
        <f>transport!P14</f>
        <v>0</v>
      </c>
      <c r="Q9" s="481">
        <f>SUM(B9:P9)</f>
        <v>102111.32633956546</v>
      </c>
    </row>
    <row r="10" spans="1:17">
      <c r="A10" s="477" t="s">
        <v>545</v>
      </c>
      <c r="B10" s="478">
        <f>transport!B54</f>
        <v>0</v>
      </c>
      <c r="C10" s="478">
        <f>transport!C54</f>
        <v>0</v>
      </c>
      <c r="D10" s="478">
        <f>transport!D54</f>
        <v>0</v>
      </c>
      <c r="E10" s="478">
        <f>transport!E54</f>
        <v>0</v>
      </c>
      <c r="F10" s="478">
        <f>transport!F54</f>
        <v>0</v>
      </c>
      <c r="G10" s="478">
        <f>transport!G54</f>
        <v>1666.6766548003711</v>
      </c>
      <c r="H10" s="478">
        <f>transport!H54</f>
        <v>0</v>
      </c>
      <c r="I10" s="478">
        <f>transport!I54</f>
        <v>0</v>
      </c>
      <c r="J10" s="478">
        <f>transport!J54</f>
        <v>0</v>
      </c>
      <c r="K10" s="478">
        <f>transport!K54</f>
        <v>0</v>
      </c>
      <c r="L10" s="478">
        <f>transport!L54</f>
        <v>0</v>
      </c>
      <c r="M10" s="478">
        <f>transport!M54</f>
        <v>92.634072881446045</v>
      </c>
      <c r="N10" s="478">
        <f>transport!N54</f>
        <v>0</v>
      </c>
      <c r="O10" s="478">
        <f>transport!O54</f>
        <v>0</v>
      </c>
      <c r="P10" s="479">
        <f>transport!P54</f>
        <v>0</v>
      </c>
      <c r="Q10" s="477">
        <f t="shared" si="0"/>
        <v>1759.3107276818171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368.1977</v>
      </c>
      <c r="C14" s="485"/>
      <c r="D14" s="485">
        <f>'SEAP template'!E25</f>
        <v>768.40985000000001</v>
      </c>
      <c r="E14" s="485"/>
      <c r="F14" s="485"/>
      <c r="G14" s="485"/>
      <c r="H14" s="485"/>
      <c r="I14" s="485"/>
      <c r="J14" s="485"/>
      <c r="K14" s="485"/>
      <c r="L14" s="485"/>
      <c r="M14" s="485"/>
      <c r="N14" s="485"/>
      <c r="O14" s="485"/>
      <c r="P14" s="486"/>
      <c r="Q14" s="477">
        <f t="shared" si="0"/>
        <v>1136.6075499999999</v>
      </c>
    </row>
    <row r="15" spans="1:17" s="489" customFormat="1">
      <c r="A15" s="487" t="s">
        <v>549</v>
      </c>
      <c r="B15" s="488">
        <f ca="1">SUM(B4:B14)</f>
        <v>41023.20972931233</v>
      </c>
      <c r="C15" s="488">
        <f t="shared" ref="C15:Q15" ca="1" si="1">SUM(C4:C14)</f>
        <v>62.357142857142847</v>
      </c>
      <c r="D15" s="488">
        <f t="shared" ca="1" si="1"/>
        <v>35866.332113748635</v>
      </c>
      <c r="E15" s="488">
        <f t="shared" si="1"/>
        <v>6093.7914190187057</v>
      </c>
      <c r="F15" s="488">
        <f t="shared" ca="1" si="1"/>
        <v>55195.073638784641</v>
      </c>
      <c r="G15" s="488">
        <f t="shared" si="1"/>
        <v>78183.18771635725</v>
      </c>
      <c r="H15" s="488">
        <f t="shared" si="1"/>
        <v>19384.946579408148</v>
      </c>
      <c r="I15" s="488">
        <f t="shared" si="1"/>
        <v>0</v>
      </c>
      <c r="J15" s="488">
        <f t="shared" si="1"/>
        <v>670.46928717097876</v>
      </c>
      <c r="K15" s="488">
        <f t="shared" si="1"/>
        <v>0</v>
      </c>
      <c r="L15" s="488">
        <f t="shared" ca="1" si="1"/>
        <v>0</v>
      </c>
      <c r="M15" s="488">
        <f t="shared" si="1"/>
        <v>5778.7904251312548</v>
      </c>
      <c r="N15" s="488">
        <f t="shared" ca="1" si="1"/>
        <v>18330.492032625756</v>
      </c>
      <c r="O15" s="488">
        <f t="shared" si="1"/>
        <v>679.44305535743194</v>
      </c>
      <c r="P15" s="488">
        <f t="shared" si="1"/>
        <v>642.3102013049263</v>
      </c>
      <c r="Q15" s="488">
        <f t="shared" ca="1" si="1"/>
        <v>261910.40334107715</v>
      </c>
    </row>
    <row r="17" spans="1:17">
      <c r="A17" s="490" t="s">
        <v>550</v>
      </c>
      <c r="B17" s="807">
        <f ca="1">huishoudens!B10</f>
        <v>0.18134941494615342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4085.7883961084935</v>
      </c>
      <c r="C22" s="478">
        <f t="shared" ref="C22:C32" ca="1" si="3">C4*$C$17</f>
        <v>0</v>
      </c>
      <c r="D22" s="478">
        <f t="shared" ref="D22:D32" si="4">D4*$D$17</f>
        <v>5338.9834329282003</v>
      </c>
      <c r="E22" s="478">
        <f t="shared" ref="E22:E32" si="5">E4*$E$17</f>
        <v>1130.2681365772351</v>
      </c>
      <c r="F22" s="478">
        <f t="shared" ref="F22:F32" si="6">F4*$F$17</f>
        <v>11564.819415784455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22119.859381398383</v>
      </c>
    </row>
    <row r="23" spans="1:17">
      <c r="A23" s="477" t="s">
        <v>155</v>
      </c>
      <c r="B23" s="478">
        <f t="shared" ca="1" si="2"/>
        <v>1440.9040020052432</v>
      </c>
      <c r="C23" s="478">
        <f t="shared" ca="1" si="3"/>
        <v>0</v>
      </c>
      <c r="D23" s="478">
        <f t="shared" ca="1" si="4"/>
        <v>1329.5238938696002</v>
      </c>
      <c r="E23" s="478">
        <f t="shared" si="5"/>
        <v>28.142763346746332</v>
      </c>
      <c r="F23" s="478">
        <f t="shared" ca="1" si="6"/>
        <v>233.95518017821999</v>
      </c>
      <c r="G23" s="478">
        <f t="shared" si="7"/>
        <v>0</v>
      </c>
      <c r="H23" s="478">
        <f t="shared" si="8"/>
        <v>0</v>
      </c>
      <c r="I23" s="478">
        <f t="shared" si="9"/>
        <v>0</v>
      </c>
      <c r="J23" s="478">
        <f t="shared" si="10"/>
        <v>4.6022050612410702E-3</v>
      </c>
      <c r="K23" s="478">
        <f t="shared" si="11"/>
        <v>0</v>
      </c>
      <c r="L23" s="478">
        <f t="shared" ca="1" si="12"/>
        <v>0</v>
      </c>
      <c r="M23" s="478">
        <f t="shared" si="13"/>
        <v>0</v>
      </c>
      <c r="N23" s="478">
        <f t="shared" ca="1" si="14"/>
        <v>0</v>
      </c>
      <c r="O23" s="478">
        <f t="shared" si="15"/>
        <v>0</v>
      </c>
      <c r="P23" s="479">
        <f t="shared" si="16"/>
        <v>0</v>
      </c>
      <c r="Q23" s="477">
        <f t="shared" ref="Q23:Q31" ca="1" si="17">SUM(B23:P23)</f>
        <v>3032.5304416048712</v>
      </c>
    </row>
    <row r="24" spans="1:17">
      <c r="A24" s="477" t="s">
        <v>193</v>
      </c>
      <c r="B24" s="478">
        <f t="shared" ca="1" si="2"/>
        <v>137.17940739362345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137.17940739362345</v>
      </c>
    </row>
    <row r="25" spans="1:17">
      <c r="A25" s="477" t="s">
        <v>111</v>
      </c>
      <c r="B25" s="478">
        <f t="shared" ca="1" si="2"/>
        <v>438.93998530606478</v>
      </c>
      <c r="C25" s="478">
        <f t="shared" ca="1" si="3"/>
        <v>0</v>
      </c>
      <c r="D25" s="478">
        <f t="shared" si="4"/>
        <v>11.221579952000001</v>
      </c>
      <c r="E25" s="478">
        <f t="shared" si="5"/>
        <v>17.147626804358513</v>
      </c>
      <c r="F25" s="478">
        <f t="shared" si="6"/>
        <v>2283.9174656774867</v>
      </c>
      <c r="G25" s="478">
        <f t="shared" si="7"/>
        <v>0</v>
      </c>
      <c r="H25" s="478">
        <f t="shared" si="8"/>
        <v>0</v>
      </c>
      <c r="I25" s="478">
        <f t="shared" si="9"/>
        <v>0</v>
      </c>
      <c r="J25" s="478">
        <f t="shared" si="10"/>
        <v>236.06129384804643</v>
      </c>
      <c r="K25" s="478">
        <f t="shared" si="11"/>
        <v>0</v>
      </c>
      <c r="L25" s="478">
        <f t="shared" si="12"/>
        <v>0</v>
      </c>
      <c r="M25" s="478">
        <f t="shared" si="13"/>
        <v>0</v>
      </c>
      <c r="N25" s="478">
        <f t="shared" si="14"/>
        <v>0</v>
      </c>
      <c r="O25" s="478">
        <f t="shared" si="15"/>
        <v>0</v>
      </c>
      <c r="P25" s="479">
        <f t="shared" si="16"/>
        <v>0</v>
      </c>
      <c r="Q25" s="477">
        <f t="shared" ca="1" si="17"/>
        <v>2987.2879515879563</v>
      </c>
    </row>
    <row r="26" spans="1:17">
      <c r="A26" s="477" t="s">
        <v>629</v>
      </c>
      <c r="B26" s="478">
        <f t="shared" ca="1" si="2"/>
        <v>1258.4991802522522</v>
      </c>
      <c r="C26" s="478">
        <f t="shared" ca="1" si="3"/>
        <v>0</v>
      </c>
      <c r="D26" s="478">
        <f t="shared" si="4"/>
        <v>357.40094433119998</v>
      </c>
      <c r="E26" s="478">
        <f t="shared" si="5"/>
        <v>162.35038676759802</v>
      </c>
      <c r="F26" s="478">
        <f t="shared" si="6"/>
        <v>654.39259991533606</v>
      </c>
      <c r="G26" s="478">
        <f t="shared" si="7"/>
        <v>0</v>
      </c>
      <c r="H26" s="478">
        <f t="shared" si="8"/>
        <v>0</v>
      </c>
      <c r="I26" s="478">
        <f t="shared" si="9"/>
        <v>0</v>
      </c>
      <c r="J26" s="478">
        <f t="shared" si="10"/>
        <v>1.2802316054187715</v>
      </c>
      <c r="K26" s="478">
        <f t="shared" si="11"/>
        <v>0</v>
      </c>
      <c r="L26" s="478">
        <f t="shared" si="12"/>
        <v>0</v>
      </c>
      <c r="M26" s="478">
        <f t="shared" si="13"/>
        <v>0</v>
      </c>
      <c r="N26" s="478">
        <f t="shared" si="14"/>
        <v>0</v>
      </c>
      <c r="O26" s="478">
        <f t="shared" si="15"/>
        <v>0</v>
      </c>
      <c r="P26" s="479">
        <f t="shared" si="16"/>
        <v>0</v>
      </c>
      <c r="Q26" s="477">
        <f t="shared" ca="1" si="17"/>
        <v>2433.9233428718053</v>
      </c>
    </row>
    <row r="27" spans="1:17" s="483" customFormat="1">
      <c r="A27" s="481" t="s">
        <v>555</v>
      </c>
      <c r="B27" s="801">
        <f t="shared" ca="1" si="2"/>
        <v>11.451675078943845</v>
      </c>
      <c r="C27" s="482">
        <f t="shared" ca="1" si="3"/>
        <v>0</v>
      </c>
      <c r="D27" s="482">
        <f t="shared" si="4"/>
        <v>52.650446196223264</v>
      </c>
      <c r="E27" s="482">
        <f t="shared" si="5"/>
        <v>45.381738621308166</v>
      </c>
      <c r="F27" s="482">
        <f t="shared" si="6"/>
        <v>0</v>
      </c>
      <c r="G27" s="482">
        <f t="shared" si="7"/>
        <v>20429.908453435688</v>
      </c>
      <c r="H27" s="482">
        <f t="shared" si="8"/>
        <v>4826.8516982726287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25366.244011604791</v>
      </c>
    </row>
    <row r="28" spans="1:17" ht="16.5" customHeight="1">
      <c r="A28" s="477" t="s">
        <v>545</v>
      </c>
      <c r="B28" s="478">
        <f t="shared" ca="1" si="2"/>
        <v>0</v>
      </c>
      <c r="C28" s="478">
        <f t="shared" ca="1" si="3"/>
        <v>0</v>
      </c>
      <c r="D28" s="478">
        <f t="shared" si="4"/>
        <v>0</v>
      </c>
      <c r="E28" s="478">
        <f t="shared" si="5"/>
        <v>0</v>
      </c>
      <c r="F28" s="478">
        <f t="shared" si="6"/>
        <v>0</v>
      </c>
      <c r="G28" s="478">
        <f t="shared" si="7"/>
        <v>445.00266683169912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445.00266683169912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66.772437479519311</v>
      </c>
      <c r="C32" s="478">
        <f t="shared" ca="1" si="3"/>
        <v>0</v>
      </c>
      <c r="D32" s="478">
        <f t="shared" si="4"/>
        <v>155.2187897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221.99122717951931</v>
      </c>
    </row>
    <row r="33" spans="1:17" s="489" customFormat="1">
      <c r="A33" s="487" t="s">
        <v>549</v>
      </c>
      <c r="B33" s="488">
        <f ca="1">SUM(B22:B32)</f>
        <v>7439.5350836241396</v>
      </c>
      <c r="C33" s="488">
        <f t="shared" ref="C33:Q33" ca="1" si="19">SUM(C22:C32)</f>
        <v>0</v>
      </c>
      <c r="D33" s="488">
        <f t="shared" ca="1" si="19"/>
        <v>7244.9990869772237</v>
      </c>
      <c r="E33" s="488">
        <f t="shared" si="19"/>
        <v>1383.2906521172458</v>
      </c>
      <c r="F33" s="488">
        <f t="shared" ca="1" si="19"/>
        <v>14737.084661555498</v>
      </c>
      <c r="G33" s="488">
        <f t="shared" si="19"/>
        <v>20874.911120267388</v>
      </c>
      <c r="H33" s="488">
        <f t="shared" si="19"/>
        <v>4826.8516982726287</v>
      </c>
      <c r="I33" s="488">
        <f t="shared" si="19"/>
        <v>0</v>
      </c>
      <c r="J33" s="488">
        <f t="shared" si="19"/>
        <v>237.34612765852646</v>
      </c>
      <c r="K33" s="488">
        <f t="shared" si="19"/>
        <v>0</v>
      </c>
      <c r="L33" s="488">
        <f t="shared" ca="1" si="19"/>
        <v>0</v>
      </c>
      <c r="M33" s="488">
        <f t="shared" si="19"/>
        <v>0</v>
      </c>
      <c r="N33" s="488">
        <f t="shared" ca="1" si="19"/>
        <v>0</v>
      </c>
      <c r="O33" s="488">
        <f t="shared" si="19"/>
        <v>0</v>
      </c>
      <c r="P33" s="488">
        <f t="shared" si="19"/>
        <v>0</v>
      </c>
      <c r="Q33" s="488">
        <f t="shared" ca="1" si="19"/>
        <v>56744.018430472643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7316.5050522800229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7360.1550522800226</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0.18134941494615342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0.18134941494615342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2019-08-12T08:41:43Z</dcterms:modified>
</cp:coreProperties>
</file>