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0" i="16" l="1"/>
  <c r="B22" s="1"/>
  <c r="B17" i="19"/>
  <c r="B19" s="1"/>
  <c r="C39" i="14" s="1"/>
  <c r="R39" s="1"/>
  <c r="C12" i="59"/>
  <c r="B29" i="20"/>
  <c r="B31" s="1"/>
  <c r="C48" i="14" s="1"/>
  <c r="R48" s="1"/>
  <c r="B10" i="9"/>
  <c r="B12" s="1"/>
  <c r="C55" i="14"/>
  <c r="R55" s="1"/>
  <c r="B10" i="13"/>
  <c r="B56" i="22"/>
  <c r="B58" s="1"/>
  <c r="B17" i="49"/>
  <c r="B19" s="1"/>
  <c r="B10" i="17"/>
  <c r="B12" s="1"/>
  <c r="C54" i="14" s="1"/>
  <c r="R54" s="1"/>
  <c r="R56" s="1"/>
  <c r="C43"/>
  <c r="R43" s="1"/>
  <c r="C49"/>
  <c r="R49" s="1"/>
  <c r="C42"/>
  <c r="R42"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<sst xmlns="http://schemas.openxmlformats.org/spreadsheetml/2006/main" count="2391" uniqueCount="891">
  <si>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</si>
  <si>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</si>
  <si>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</si>
  <si>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</si>
  <si>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</si>
  <si>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</si>
  <si>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</si>
  <si>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</si>
  <si>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</si>
  <si>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</si>
  <si>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</si>
  <si>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</si>
  <si>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</si>
  <si>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</si>
  <si>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</si>
  <si>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</si>
  <si>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</si>
  <si>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</si>
  <si>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</si>
  <si>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</si>
  <si>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</si>
  <si>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</si>
  <si>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</si>
  <si>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</si>
  <si>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</si>
  <si>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</si>
  <si>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</si>
  <si>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</si>
  <si>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</si>
  <si>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</si>
  <si>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</si>
  <si>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</si>
  <si>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</si>
  <si>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</si>
  <si>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</si>
  <si>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</si>
  <si>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</si>
  <si>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</si>
  <si>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</si>
  <si>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</si>
  <si>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</si>
  <si>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</si>
  <si>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</si>
  <si>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</si>
  <si>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</si>
  <si>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</si>
  <si>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</si>
  <si>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</si>
  <si>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</si>
  <si>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</si>
  <si>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</si>
  <si>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</si>
  <si>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</si>
  <si>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</si>
  <si>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</si>
  <si>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</si>
  <si>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</si>
  <si>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</si>
  <si>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</si>
  <si>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</si>
  <si>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</si>
  <si>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</si>
  <si>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</si>
  <si>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</si>
  <si>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</si>
  <si>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</si>
  <si>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</si>
  <si>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</si>
  <si>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</si>
  <si>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</si>
  <si>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</si>
  <si>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</si>
  <si>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</si>
  <si>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</si>
  <si>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</si>
  <si>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</si>
  <si>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</si>
  <si>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</si>
  <si>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</si>
  <si>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</si>
  <si>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</si>
  <si>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</si>
  <si>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</si>
  <si>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</si>
  <si>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</si>
  <si>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</si>
  <si>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</si>
  <si>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</si>
  <si>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</si>
  <si>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</si>
  <si>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</si>
  <si>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</si>
  <si>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</si>
  <si>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</si>
  <si>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</si>
  <si>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</si>
  <si>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</si>
  <si>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</si>
  <si>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</si>
  <si>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</si>
  <si>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</si>
  <si>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</si>
  <si>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</si>
  <si>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</si>
  <si>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</si>
  <si>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</si>
  <si>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</si>
  <si>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</si>
  <si>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</si>
  <si>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</si>
  <si>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</si>
  <si>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</si>
  <si>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</si>
  <si>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</si>
  <si>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</si>
  <si>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</si>
  <si>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</si>
  <si>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</si>
  <si>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</si>
  <si>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</si>
  <si>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</si>
  <si>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</si>
  <si>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</si>
  <si>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</si>
  <si>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</si>
  <si>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</si>
  <si>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</si>
  <si>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</si>
  <si>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</si>
  <si>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</si>
  <si>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</si>
  <si>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</si>
  <si>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</si>
  <si>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</si>
  <si>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</si>
  <si>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</si>
  <si>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</si>
  <si>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</si>
  <si>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</si>
  <si>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</si>
  <si>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</si>
  <si>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</si>
  <si>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</si>
  <si>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</si>
  <si>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</si>
  <si>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</si>
  <si>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</si>
  <si>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</si>
  <si>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</si>
  <si>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</si>
  <si>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</si>
  <si>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</si>
  <si>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</si>
  <si>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</si>
  <si>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</si>
  <si>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</si>
  <si>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</si>
  <si>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</si>
  <si>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</si>
  <si>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</si>
  <si>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</si>
  <si>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</si>
  <si>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</si>
  <si>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</si>
  <si>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</si>
  <si>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</si>
  <si>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</si>
  <si>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</si>
  <si>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</si>
  <si>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</si>
  <si>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</si>
  <si>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</si>
  <si>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</si>
  <si>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</si>
  <si>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</si>
  <si>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</si>
  <si>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</si>
  <si>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</si>
  <si>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</si>
  <si>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</si>
  <si>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</si>
  <si>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</si>
  <si>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</si>
  <si>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</si>
  <si>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</si>
  <si>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</si>
  <si>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</si>
  <si>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</si>
  <si>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</si>
  <si>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</si>
  <si>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</si>
  <si>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</si>
  <si>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</si>
  <si>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</si>
  <si>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</si>
  <si>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</si>
  <si>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</si>
  <si>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</si>
  <si>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</si>
  <si>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</si>
  <si>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</si>
  <si>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</si>
  <si>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</si>
  <si>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</si>
  <si>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</si>
  <si>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</si>
  <si>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</si>
  <si>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</si>
  <si>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</si>
  <si>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</si>
  <si>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</si>
  <si>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</si>
  <si>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</si>
  <si>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</si>
  <si>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</si>
  <si>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</si>
  <si>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</si>
  <si>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</si>
  <si>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</si>
  <si>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</si>
  <si>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</si>
  <si>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</si>
  <si>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</si>
  <si>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</si>
  <si>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</si>
  <si>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</si>
  <si>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</si>
  <si>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</si>
  <si>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</si>
  <si>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</si>
  <si>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</si>
  <si>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</si>
  <si>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</si>
  <si>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</si>
  <si>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</si>
  <si>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</si>
  <si>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</si>
  <si>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</si>
  <si>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</si>
  <si>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</si>
  <si>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</si>
  <si>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</si>
  <si>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</si>
  <si>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</si>
  <si>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</si>
  <si>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</si>
  <si>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</si>
  <si>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</si>
  <si>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</si>
  <si>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</si>
  <si>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</si>
  <si>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</si>
  <si>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</si>
  <si>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</si>
  <si>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</si>
  <si>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</si>
  <si>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</si>
  <si>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</si>
  <si>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</si>
  <si>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</si>
  <si>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</si>
  <si>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</si>
  <si>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</si>
  <si>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</si>
  <si>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</si>
  <si>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</si>
  <si>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</si>
  <si>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</si>
  <si>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</si>
  <si>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</si>
  <si>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</si>
  <si>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</si>
  <si>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</si>
  <si>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</si>
  <si>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</si>
  <si>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</si>
  <si>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</si>
  <si>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</si>
  <si>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</si>
  <si>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</si>
  <si>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</si>
  <si>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</si>
  <si>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</si>
  <si>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</si>
  <si>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</si>
  <si>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</si>
  <si>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</si>
  <si>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</si>
  <si>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</si>
  <si>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</si>
  <si>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</si>
  <si>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</si>
  <si>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</si>
  <si>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</si>
  <si>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</si>
  <si>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</si>
  <si>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</si>
  <si>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</si>
  <si>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</si>
  <si>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</si>
  <si>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</si>
  <si>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</si>
  <si>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</si>
  <si>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</si>
  <si>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</si>
  <si>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</si>
  <si>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</si>
  <si>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</si>
  <si>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</si>
  <si>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</si>
  <si>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</si>
  <si>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</si>
  <si>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</si>
  <si>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</si>
  <si>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</si>
  <si>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</si>
  <si>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</si>
  <si>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</si>
  <si>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</si>
  <si>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</si>
  <si>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</si>
  <si>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</si>
  <si>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</si>
  <si>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</si>
  <si>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</si>
  <si>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</si>
  <si>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</si>
  <si>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</si>
  <si>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</si>
  <si>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</si>
  <si>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</si>
  <si>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</si>
  <si>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</si>
  <si>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</si>
  <si>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</si>
  <si>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</si>
  <si>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</si>
  <si>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</si>
  <si>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</si>
  <si>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</si>
  <si>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</si>
  <si>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</si>
  <si>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</si>
  <si>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</si>
  <si>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</si>
  <si>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</si>
  <si>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</si>
  <si>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</si>
  <si>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</si>
  <si>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</si>
  <si>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</si>
  <si>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</si>
  <si>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</si>
  <si>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</si>
  <si>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</si>
  <si>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</si>
  <si>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</si>
  <si>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</si>
  <si>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</si>
  <si>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</si>
  <si>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</si>
  <si>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</si>
  <si>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</si>
  <si>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</si>
  <si>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</si>
  <si>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</si>
  <si>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</si>
  <si>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</si>
  <si>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</si>
  <si>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</si>
  <si>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</si>
  <si>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</si>
  <si>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</si>
  <si>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</si>
  <si>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</si>
  <si>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</si>
  <si>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</si>
  <si>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</si>
  <si>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</si>
  <si>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</si>
  <si>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</si>
  <si>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</si>
  <si>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</si>
  <si>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</si>
  <si>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</si>
  <si>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</si>
  <si>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</si>
  <si>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</si>
  <si>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</si>
  <si>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</si>
  <si>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</si>
  <si>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</si>
  <si>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</si>
  <si>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</si>
  <si>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</si>
  <si>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</si>
  <si>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</si>
  <si>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</si>
  <si>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</si>
  <si>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</si>
  <si>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</si>
  <si>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</si>
  <si>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</si>
  <si>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</si>
  <si>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</si>
  <si>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</si>
  <si>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</si>
  <si>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</si>
  <si>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</si>
  <si>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</si>
  <si>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</si>
  <si>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</si>
  <si>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</si>
  <si>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</si>
  <si>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</si>
  <si>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</si>
  <si>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</si>
  <si>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</si>
  <si>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</si>
  <si>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</si>
  <si>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</si>
  <si>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</si>
  <si>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</si>
  <si>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</si>
  <si>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</si>
  <si>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</si>
  <si>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</si>
  <si>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</si>
  <si>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</si>
  <si>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</si>
  <si>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</si>
  <si>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</si>
  <si>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</si>
  <si>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</si>
  <si>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</si>
  <si>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</si>
  <si>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</si>
  <si>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</si>
  <si>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</si>
  <si>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</si>
  <si>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</si>
  <si>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</si>
  <si>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</si>
  <si>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</si>
  <si>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</si>
  <si>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</si>
  <si>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</si>
  <si>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</si>
  <si>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</si>
  <si>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</si>
  <si>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</si>
  <si>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</si>
  <si>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</si>
  <si>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</si>
  <si>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</si>
  <si>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</si>
  <si>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</si>
  <si>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</si>
  <si>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</si>
  <si>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</si>
  <si>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</si>
  <si>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</si>
  <si>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</si>
  <si>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</si>
  <si>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</si>
  <si>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</si>
  <si>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</si>
  <si>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</si>
  <si>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</si>
  <si>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</si>
  <si>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</si>
  <si>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</si>
  <si>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</si>
  <si>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</si>
  <si>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</si>
  <si>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</si>
  <si>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</si>
  <si>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</si>
  <si>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</si>
  <si>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</si>
  <si>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</si>
  <si>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</si>
  <si>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</si>
  <si>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</si>
  <si>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</si>
  <si>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</si>
  <si>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</si>
  <si>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</si>
  <si>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</si>
  <si>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</si>
  <si>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</si>
  <si>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</si>
  <si>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</si>
  <si>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</si>
  <si>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</si>
  <si>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</si>
  <si>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</si>
  <si>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</si>
  <si>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</si>
  <si>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</si>
  <si>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</si>
  <si>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</si>
  <si>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</si>
  <si>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</si>
  <si>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</si>
  <si>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</si>
  <si>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</si>
  <si>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</si>
  <si>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</si>
  <si>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</si>
  <si>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</si>
  <si>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</si>
  <si>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</si>
  <si>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</si>
  <si>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</si>
  <si>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</si>
  <si>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</si>
  <si>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</si>
  <si>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</si>
  <si>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</si>
  <si>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</si>
  <si>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</si>
  <si>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</si>
  <si>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</si>
  <si>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</si>
  <si>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</si>
  <si>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</si>
  <si>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</si>
  <si>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</si>
  <si>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</si>
  <si>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</si>
  <si>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</si>
  <si>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</si>
  <si>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</si>
  <si>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</si>
  <si>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</si>
  <si>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</si>
  <si>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</si>
  <si>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</si>
  <si>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</si>
  <si>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</si>
  <si>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</si>
  <si>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</si>
  <si>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</si>
  <si>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</si>
  <si>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</si>
  <si>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</si>
  <si>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</si>
  <si>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</si>
  <si>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</si>
  <si>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</si>
  <si>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</si>
  <si>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</si>
  <si>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</si>
  <si>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</si>
  <si>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</si>
  <si>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</si>
  <si>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</si>
  <si>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</si>
  <si>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</si>
  <si>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</si>
  <si>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</si>
  <si>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</si>
  <si>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</si>
  <si>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</si>
  <si>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</si>
  <si>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</si>
  <si>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</si>
  <si>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</si>
  <si>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</si>
  <si>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</si>
  <si>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</si>
  <si>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</si>
  <si>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</si>
  <si>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</si>
  <si>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</si>
  <si>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</si>
  <si>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</si>
  <si>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</si>
  <si>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</si>
  <si>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</si>
  <si>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</si>
  <si>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</si>
  <si>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</si>
  <si>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</si>
  <si>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</si>
  <si>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</si>
  <si>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</si>
  <si>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</si>
  <si>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</si>
  <si>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</si>
  <si>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</si>
  <si>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</si>
  <si>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</si>
  <si>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</si>
  <si>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</si>
  <si>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</si>
  <si>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</si>
  <si>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</si>
  <si>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</si>
  <si>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</si>
  <si>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</si>
  <si>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</si>
  <si>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</si>
  <si>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</si>
  <si>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</si>
  <si>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</si>
  <si>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</si>
  <si>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</si>
  <si>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</si>
  <si>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</si>
  <si>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</si>
  <si>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</si>
  <si>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</si>
  <si>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</si>
  <si>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</si>
  <si>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</si>
  <si>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</si>
  <si>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</si>
  <si>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</si>
  <si>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</si>
  <si>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</si>
  <si>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</si>
  <si>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</si>
  <si>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</si>
  <si>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</si>
  <si>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</si>
  <si>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</si>
  <si>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</si>
  <si>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</si>
  <si>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</si>
  <si>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</si>
  <si>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</si>
  <si>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</si>
  <si>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</si>
  <si>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</si>
  <si>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</si>
  <si>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</si>
  <si>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</si>
  <si>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</si>
  <si>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</si>
  <si>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</si>
  <si>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</si>
  <si>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</si>
  <si>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</si>
  <si>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</si>
  <si>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</si>
  <si>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</si>
  <si>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</si>
  <si>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</si>
  <si>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</si>
  <si>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</si>
  <si>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</si>
  <si>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</si>
  <si>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</si>
  <si>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</si>
  <si>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</si>
  <si>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</si>
  <si>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</si>
  <si>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</si>
  <si>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</si>
  <si>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</si>
  <si>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</si>
  <si>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</si>
  <si>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</si>
  <si>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</si>
  <si>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</si>
  <si>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</si>
  <si>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</si>
  <si>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</si>
  <si>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</si>
  <si>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</si>
  <si>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</si>
  <si>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</si>
  <si>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</si>
  <si>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</si>
  <si>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</si>
  <si>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</si>
  <si>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</si>
  <si>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</si>
  <si>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</si>
  <si>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</si>
  <si>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</si>
  <si>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</si>
  <si>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</si>
  <si>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</si>
  <si>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</si>
  <si>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</si>
  <si>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</si>
  <si>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</si>
  <si>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</si>
  <si>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</si>
  <si>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</si>
  <si>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</si>
  <si>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</si>
  <si>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</si>
  <si>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</si>
  <si>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</si>
  <si>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</si>
  <si>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</si>
  <si>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</si>
  <si>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</si>
  <si>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</si>
  <si>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</si>
  <si>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</si>
  <si>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</si>
  <si>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</si>
  <si>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</si>
  <si>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</si>
  <si>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</si>
  <si>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</si>
  <si>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</si>
  <si>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</si>
  <si>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</si>
  <si>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</si>
  <si>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</si>
  <si>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</si>
  <si>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</si>
  <si>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</si>
  <si>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</si>
  <si>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</si>
  <si>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</si>
  <si>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</si>
  <si>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</si>
  <si>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</si>
  <si>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</si>
  <si>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</si>
  <si>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</si>
  <si>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</si>
  <si>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</si>
  <si>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</si>
  <si>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</si>
  <si>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</si>
  <si>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</si>
  <si>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</si>
  <si>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</si>
  <si>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</si>
  <si>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</si>
  <si>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</si>
  <si>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</si>
  <si>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</si>
  <si>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</si>
  <si>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</si>
  <si>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</si>
  <si>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</si>
  <si>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</si>
  <si>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</si>
  <si>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</si>
  <si>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</si>
  <si>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</si>
  <si>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</si>
  <si>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</si>
  <si>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</si>
  <si>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</si>
  <si>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</si>
  <si>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</si>
  <si>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</si>
  <si>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</si>
  <si>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</si>
  <si>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</si>
  <si>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</si>
  <si>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</si>
  <si>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</si>
  <si>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</si>
  <si>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</si>
  <si>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</si>
  <si>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</si>
  <si>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</si>
  <si>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</si>
  <si>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</si>
  <si>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</si>
  <si>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</si>
  <si>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</si>
  <si>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</si>
  <si>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</si>
  <si>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</si>
  <si>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</si>
  <si>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</si>
  <si>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</si>
  <si>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</si>
  <si>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</si>
  <si>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</si>
  <si>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</si>
  <si>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</si>
  <si>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</si>
  <si>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</si>
  <si>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</si>
  <si>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</si>
  <si>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</si>
  <si>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</si>
  <si>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</si>
  <si>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</si>
  <si>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</si>
  <si>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</si>
  <si>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</si>
  <si>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</si>
  <si>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</si>
  <si>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</si>
  <si>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</si>
  <si>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</si>
  <si>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</si>
  <si>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</si>
  <si>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</si>
  <si>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</si>
  <si>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</si>
  <si>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</si>
  <si>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</si>
  <si>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</si>
  <si>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</si>
  <si>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</si>
  <si>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</si>
  <si>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</si>
  <si>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</si>
  <si>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</si>
  <si>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</si>
  <si>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</si>
  <si>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</si>
  <si>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</si>
  <si>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</si>
  <si>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</si>
  <si>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</si>
  <si>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</si>
  <si>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</si>
  <si>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</si>
  <si>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</si>
  <si>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</si>
  <si>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</si>
  <si>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</si>
  <si>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</si>
  <si>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</si>
  <si>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</si>
  <si>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</si>
  <si>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</si>
  <si>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</si>
  <si>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</si>
  <si>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</si>
  <si>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</si>
  <si>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</si>
  <si>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</si>
  <si>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</si>
  <si>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</si>
  <si>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</si>
  <si>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</si>
  <si>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</si>
  <si>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</si>
  <si>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</si>
  <si>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</si>
  <si>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</si>
  <si>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</si>
  <si>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</si>
  <si>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</si>
  <si>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</si>
  <si>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</si>
  <si>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</si>
  <si>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</si>
  <si>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</si>
  <si>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</si>
  <si>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</si>
  <si>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</si>
  <si>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</si>
  <si>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</si>
  <si>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</si>
  <si>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</si>
  <si>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</si>
  <si>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</si>
  <si>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</si>
  <si>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</si>
  <si>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</si>
  <si>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</si>
  <si>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</si>
  <si>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</si>
  <si>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</si>
  <si>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</si>
  <si>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</si>
  <si>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</si>
  <si>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</si>
  <si>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</si>
  <si>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</si>
  <si>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72038</t>
  </si>
  <si>
    <t>HECHTEL-EKSEL</t>
  </si>
  <si>
    <t>Mestbank (maart 2019)</t>
  </si>
  <si>
    <t>Fluvius (februari 2019)</t>
  </si>
  <si>
    <t>referentietaak LNE (2017); Jaarverslag De Lijn (2018)</t>
  </si>
  <si>
    <t>VEA (30 april 2019)</t>
  </si>
  <si>
    <t>VEA (mei 2018)</t>
  </si>
  <si>
    <t>VEA (mei 2019)</t>
  </si>
  <si>
    <t>WKK-0664 VitaS</t>
  </si>
  <si>
    <t>interne verbrandingsmotor</t>
  </si>
  <si>
    <t>WKK interne verbrandinsgmotor (gas)</t>
  </si>
  <si>
    <t>Nieuwstraat 17 , 3940 Hechtel-Eksel</t>
  </si>
  <si>
    <t>Inter-Energa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</si>
</sst>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107199.70700055573</c:v>
                </c:pt>
                <c:pt idx="1">
                  <c:v>14873.930425493634</c:v>
                </c:pt>
                <c:pt idx="2">
                  <c:v>975.226</c:v>
                </c:pt>
                <c:pt idx="3">
                  <c:v>6627.4874738217513</c:v>
                </c:pt>
                <c:pt idx="4">
                  <c:v>7862.0239979320295</c:v>
                </c:pt>
                <c:pt idx="5">
                  <c:v>114948.13065531939</c:v>
                </c:pt>
                <c:pt idx="6">
                  <c:v>2028.2328436226155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9552"/>
        <c:axId val="180841088"/>
      </c:barChart>
      <c:catAx>
        <c:axId val="180839552"/>
        <c:scaling>
          <c:orientation val="minMax"/>
        </c:scaling>
        <c:axPos val="b"/>
        <c:numFmt formatCode="General" sourceLinked="0"/>
        <c:tickLblPos val="nextTo"/>
        <c:crossAx val="180841088"/>
        <c:crosses val="autoZero"/>
        <c:auto val="1"/>
        <c:lblAlgn val="ctr"/>
        <c:lblOffset val="100"/>
      </c:catAx>
      <c:valAx>
        <c:axId val="180841088"/>
        <c:scaling>
          <c:orientation val="minMax"/>
        </c:scaling>
        <c:axPos val="l"/>
        <c:majorGridlines/>
        <c:numFmt formatCode="#,##0" sourceLinked="1"/>
        <c:tickLblPos val="nextTo"/>
        <c:crossAx val="18083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107199.70700055573</c:v>
                </c:pt>
                <c:pt idx="1">
                  <c:v>14873.930425493634</c:v>
                </c:pt>
                <c:pt idx="2">
                  <c:v>975.226</c:v>
                </c:pt>
                <c:pt idx="3">
                  <c:v>6627.4874738217513</c:v>
                </c:pt>
                <c:pt idx="4">
                  <c:v>7862.0239979320295</c:v>
                </c:pt>
                <c:pt idx="5">
                  <c:v>114948.13065531939</c:v>
                </c:pt>
                <c:pt idx="6">
                  <c:v>2028.2328436226155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19882.120538179493</c:v>
                </c:pt>
                <c:pt idx="1">
                  <c:v>2786.6265917788728</c:v>
                </c:pt>
                <c:pt idx="2">
                  <c:v>174.8456698378715</c:v>
                </c:pt>
                <c:pt idx="3">
                  <c:v>1618.2366556717789</c:v>
                </c:pt>
                <c:pt idx="4">
                  <c:v>1570.9809423844979</c:v>
                </c:pt>
                <c:pt idx="5">
                  <c:v>28597.402666953574</c:v>
                </c:pt>
                <c:pt idx="6">
                  <c:v>513.02422600298041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19882.120538179493</c:v>
                </c:pt>
                <c:pt idx="1">
                  <c:v>2786.6265917788728</c:v>
                </c:pt>
                <c:pt idx="2">
                  <c:v>174.8456698378715</c:v>
                </c:pt>
                <c:pt idx="3">
                  <c:v>1618.2366556717789</c:v>
                </c:pt>
                <c:pt idx="4">
                  <c:v>1570.9809423844979</c:v>
                </c:pt>
                <c:pt idx="5">
                  <c:v>28597.402666953574</c:v>
                </c:pt>
                <c:pt idx="6">
                  <c:v>513.02422600298041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72038</v>
      </c>
      <c r="B6" s="415"/>
      <c r="C6" s="416"/>
    </row>
    <row r="7" spans="1:7" s="413" customFormat="1" ht="15.75" customHeight="1">
      <c r="A7" s="417" t="str">
        <f>txtMunicipality</f>
        <v>HECHTEL-EKSEL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8237.1192819999997</v>
      </c>
      <c r="D10" s="712">
        <f ca="1">tertiair!C16</f>
        <v>128.57142857142858</v>
      </c>
      <c r="E10" s="712">
        <f ca="1">tertiair!D16</f>
        <v>6020.6965491571436</v>
      </c>
      <c r="F10" s="712">
        <f>tertiair!E16</f>
        <v>108.78318840127504</v>
      </c>
      <c r="G10" s="712">
        <f ca="1">tertiair!F16</f>
        <v>798.60325469326915</v>
      </c>
      <c r="H10" s="712">
        <f>tertiair!G16</f>
        <v>0</v>
      </c>
      <c r="I10" s="712">
        <f>tertiair!H16</f>
        <v>0</v>
      </c>
      <c r="J10" s="712">
        <f>tertiair!I16</f>
        <v>0</v>
      </c>
      <c r="K10" s="712">
        <f>tertiair!J16</f>
        <v>1.3915376921918115E-2</v>
      </c>
      <c r="L10" s="712">
        <f>tertiair!K16</f>
        <v>0</v>
      </c>
      <c r="M10" s="712">
        <f ca="1">tertiair!L16</f>
        <v>0</v>
      </c>
      <c r="N10" s="712">
        <f>tertiair!M16</f>
        <v>0</v>
      </c>
      <c r="O10" s="712">
        <f ca="1">tertiair!N16</f>
        <v>550.47154652775441</v>
      </c>
      <c r="P10" s="712">
        <f>tertiair!O16</f>
        <v>4.8972607658411542</v>
      </c>
      <c r="Q10" s="713">
        <f>tertiair!P16</f>
        <v>0</v>
      </c>
      <c r="R10" s="715">
        <f ca="1">SUM(C10:Q10)</f>
        <v>15849.156425493637</v>
      </c>
      <c r="S10" s="67"/>
    </row>
    <row r="11" spans="1:19" s="474" customFormat="1">
      <c r="A11" s="834" t="s">
        <v>224</v>
      </c>
      <c r="B11" s="839"/>
      <c r="C11" s="712">
        <f>huishoudens!B8</f>
        <v>21725.769573506823</v>
      </c>
      <c r="D11" s="712">
        <f>huishoudens!C8</f>
        <v>0</v>
      </c>
      <c r="E11" s="712">
        <f>huishoudens!D8</f>
        <v>35238.636814700003</v>
      </c>
      <c r="F11" s="712">
        <f>huishoudens!E8</f>
        <v>8741.7813322213624</v>
      </c>
      <c r="G11" s="712">
        <f>huishoudens!F8</f>
        <v>25784.180628035345</v>
      </c>
      <c r="H11" s="712">
        <f>huishoudens!G8</f>
        <v>0</v>
      </c>
      <c r="I11" s="712">
        <f>huishoudens!H8</f>
        <v>0</v>
      </c>
      <c r="J11" s="712">
        <f>huishoudens!I8</f>
        <v>0</v>
      </c>
      <c r="K11" s="712">
        <f>huishoudens!J8</f>
        <v>0</v>
      </c>
      <c r="L11" s="712">
        <f>huishoudens!K8</f>
        <v>0</v>
      </c>
      <c r="M11" s="712">
        <f>huishoudens!L8</f>
        <v>0</v>
      </c>
      <c r="N11" s="712">
        <f>huishoudens!M8</f>
        <v>0</v>
      </c>
      <c r="O11" s="712">
        <f>huishoudens!N8</f>
        <v>14275.68526527432</v>
      </c>
      <c r="P11" s="712">
        <f>huishoudens!O8</f>
        <v>527.73288635695042</v>
      </c>
      <c r="Q11" s="713">
        <f>huishoudens!P8</f>
        <v>905.92050046091197</v>
      </c>
      <c r="R11" s="715">
        <f>SUM(C11:Q11)</f>
        <v>107199.70700055573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3514.0251069999995</v>
      </c>
      <c r="D13" s="712">
        <f>industrie!C18</f>
        <v>0</v>
      </c>
      <c r="E13" s="712">
        <f>industrie!D18</f>
        <v>2542.770116612</v>
      </c>
      <c r="F13" s="712">
        <f>industrie!E18</f>
        <v>378.91534392473005</v>
      </c>
      <c r="G13" s="712">
        <f>industrie!F18</f>
        <v>1270.5592107058592</v>
      </c>
      <c r="H13" s="712">
        <f>industrie!G18</f>
        <v>0</v>
      </c>
      <c r="I13" s="712">
        <f>industrie!H18</f>
        <v>0</v>
      </c>
      <c r="J13" s="712">
        <f>industrie!I18</f>
        <v>0</v>
      </c>
      <c r="K13" s="712">
        <f>industrie!J18</f>
        <v>5.8420693620951729</v>
      </c>
      <c r="L13" s="712">
        <f>industrie!K18</f>
        <v>0</v>
      </c>
      <c r="M13" s="712">
        <f>industrie!L18</f>
        <v>0</v>
      </c>
      <c r="N13" s="712">
        <f>industrie!M18</f>
        <v>0</v>
      </c>
      <c r="O13" s="712">
        <f>industrie!N18</f>
        <v>149.91215032734436</v>
      </c>
      <c r="P13" s="712">
        <f>industrie!O18</f>
        <v>0</v>
      </c>
      <c r="Q13" s="713">
        <f>industrie!P18</f>
        <v>0</v>
      </c>
      <c r="R13" s="715">
        <f>SUM(C13:Q13)</f>
        <v>7862.0239979320295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33476.91396250682</v>
      </c>
      <c r="D16" s="748">
        <f t="shared" ref="D16:R16" ca="1" si="0">SUM(D9:D15)</f>
        <v>128.57142857142858</v>
      </c>
      <c r="E16" s="748">
        <f t="shared" ca="1" si="0"/>
        <v>43802.103480469152</v>
      </c>
      <c r="F16" s="748">
        <f t="shared" si="0"/>
        <v>9229.4798645473675</v>
      </c>
      <c r="G16" s="748">
        <f t="shared" ca="1" si="0"/>
        <v>27853.343093434472</v>
      </c>
      <c r="H16" s="748">
        <f t="shared" si="0"/>
        <v>0</v>
      </c>
      <c r="I16" s="748">
        <f t="shared" si="0"/>
        <v>0</v>
      </c>
      <c r="J16" s="748">
        <f t="shared" si="0"/>
        <v>0</v>
      </c>
      <c r="K16" s="748">
        <f t="shared" si="0"/>
        <v>5.8559847390170914</v>
      </c>
      <c r="L16" s="748">
        <f t="shared" si="0"/>
        <v>0</v>
      </c>
      <c r="M16" s="748">
        <f t="shared" ca="1" si="0"/>
        <v>0</v>
      </c>
      <c r="N16" s="748">
        <f t="shared" si="0"/>
        <v>0</v>
      </c>
      <c r="O16" s="748">
        <f t="shared" ca="1" si="0"/>
        <v>14976.068962129419</v>
      </c>
      <c r="P16" s="748">
        <f t="shared" si="0"/>
        <v>532.63014712279153</v>
      </c>
      <c r="Q16" s="748">
        <f t="shared" si="0"/>
        <v>905.92050046091197</v>
      </c>
      <c r="R16" s="748">
        <f t="shared" ca="1" si="0"/>
        <v>130910.8874239814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1921.4390487003011</v>
      </c>
      <c r="I19" s="712">
        <f>transport!H54</f>
        <v>0</v>
      </c>
      <c r="J19" s="712">
        <f>transport!I54</f>
        <v>0</v>
      </c>
      <c r="K19" s="712">
        <f>transport!J54</f>
        <v>0</v>
      </c>
      <c r="L19" s="712">
        <f>transport!K54</f>
        <v>0</v>
      </c>
      <c r="M19" s="712">
        <f>transport!L54</f>
        <v>0</v>
      </c>
      <c r="N19" s="712">
        <f>transport!M54</f>
        <v>106.79379492231452</v>
      </c>
      <c r="O19" s="712">
        <f>transport!N54</f>
        <v>0</v>
      </c>
      <c r="P19" s="712">
        <f>transport!O54</f>
        <v>0</v>
      </c>
      <c r="Q19" s="713">
        <f>transport!P54</f>
        <v>0</v>
      </c>
      <c r="R19" s="715">
        <f>SUM(C19:Q19)</f>
        <v>2028.2328436226155</v>
      </c>
      <c r="S19" s="67"/>
    </row>
    <row r="20" spans="1:19" s="474" customFormat="1">
      <c r="A20" s="834" t="s">
        <v>306</v>
      </c>
      <c r="B20" s="839"/>
      <c r="C20" s="712">
        <f>transport!B14</f>
        <v>72.15871765</v>
      </c>
      <c r="D20" s="712">
        <f>transport!C14</f>
        <v>0</v>
      </c>
      <c r="E20" s="712">
        <f>transport!D14</f>
        <v>264.51624289500666</v>
      </c>
      <c r="F20" s="712">
        <f>transport!E14</f>
        <v>206.5973740629305</v>
      </c>
      <c r="G20" s="712">
        <f>transport!F14</f>
        <v>0</v>
      </c>
      <c r="H20" s="712">
        <f>transport!G14</f>
        <v>88217.949251276499</v>
      </c>
      <c r="I20" s="712">
        <f>transport!H14</f>
        <v>19798.968625521356</v>
      </c>
      <c r="J20" s="712">
        <f>transport!I14</f>
        <v>0</v>
      </c>
      <c r="K20" s="712">
        <f>transport!J14</f>
        <v>0</v>
      </c>
      <c r="L20" s="712">
        <f>transport!K14</f>
        <v>0</v>
      </c>
      <c r="M20" s="712">
        <f>transport!L14</f>
        <v>0</v>
      </c>
      <c r="N20" s="712">
        <f>transport!M14</f>
        <v>6387.9404439135815</v>
      </c>
      <c r="O20" s="712">
        <f>transport!N14</f>
        <v>0</v>
      </c>
      <c r="P20" s="712">
        <f>transport!O14</f>
        <v>0</v>
      </c>
      <c r="Q20" s="713">
        <f>transport!P14</f>
        <v>0</v>
      </c>
      <c r="R20" s="715">
        <f>SUM(C20:Q20)</f>
        <v>114948.13065531939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72.15871765</v>
      </c>
      <c r="D22" s="837">
        <f t="shared" ref="D22:R22" si="1">SUM(D18:D21)</f>
        <v>0</v>
      </c>
      <c r="E22" s="837">
        <f t="shared" si="1"/>
        <v>264.51624289500666</v>
      </c>
      <c r="F22" s="837">
        <f t="shared" si="1"/>
        <v>206.5973740629305</v>
      </c>
      <c r="G22" s="837">
        <f t="shared" si="1"/>
        <v>0</v>
      </c>
      <c r="H22" s="837">
        <f t="shared" si="1"/>
        <v>90139.388299976796</v>
      </c>
      <c r="I22" s="837">
        <f t="shared" si="1"/>
        <v>19798.968625521356</v>
      </c>
      <c r="J22" s="837">
        <f t="shared" si="1"/>
        <v>0</v>
      </c>
      <c r="K22" s="837">
        <f t="shared" si="1"/>
        <v>0</v>
      </c>
      <c r="L22" s="837">
        <f t="shared" si="1"/>
        <v>0</v>
      </c>
      <c r="M22" s="837">
        <f t="shared" si="1"/>
        <v>0</v>
      </c>
      <c r="N22" s="837">
        <f t="shared" si="1"/>
        <v>6494.7342388358957</v>
      </c>
      <c r="O22" s="837">
        <f t="shared" si="1"/>
        <v>0</v>
      </c>
      <c r="P22" s="837">
        <f t="shared" si="1"/>
        <v>0</v>
      </c>
      <c r="Q22" s="837">
        <f t="shared" si="1"/>
        <v>0</v>
      </c>
      <c r="R22" s="837">
        <f t="shared" si="1"/>
        <v>116976.363498942</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1119.451</v>
      </c>
      <c r="D24" s="712">
        <f>+landbouw!C8</f>
        <v>0</v>
      </c>
      <c r="E24" s="712">
        <f>+landbouw!D8</f>
        <v>1208.41842</v>
      </c>
      <c r="F24" s="712">
        <f>+landbouw!E8</f>
        <v>34.937696560601381</v>
      </c>
      <c r="G24" s="712">
        <f>+landbouw!F8</f>
        <v>3956.2638434365017</v>
      </c>
      <c r="H24" s="712">
        <f>+landbouw!G8</f>
        <v>0</v>
      </c>
      <c r="I24" s="712">
        <f>+landbouw!H8</f>
        <v>0</v>
      </c>
      <c r="J24" s="712">
        <f>+landbouw!I8</f>
        <v>0</v>
      </c>
      <c r="K24" s="712">
        <f>+landbouw!J8</f>
        <v>308.41651382464772</v>
      </c>
      <c r="L24" s="712">
        <f>+landbouw!K8</f>
        <v>0</v>
      </c>
      <c r="M24" s="712">
        <f>+landbouw!L8</f>
        <v>0</v>
      </c>
      <c r="N24" s="712">
        <f>+landbouw!M8</f>
        <v>0</v>
      </c>
      <c r="O24" s="712">
        <f>+landbouw!N8</f>
        <v>0</v>
      </c>
      <c r="P24" s="712">
        <f>+landbouw!O8</f>
        <v>0</v>
      </c>
      <c r="Q24" s="713">
        <f>+landbouw!P8</f>
        <v>0</v>
      </c>
      <c r="R24" s="715">
        <f>SUM(C24:Q24)</f>
        <v>6627.4874738217513</v>
      </c>
      <c r="S24" s="67"/>
    </row>
    <row r="25" spans="1:19" s="474" customFormat="1" ht="15" thickBot="1">
      <c r="A25" s="856" t="s">
        <v>734</v>
      </c>
      <c r="B25" s="982"/>
      <c r="C25" s="983">
        <f>IF(Onbekend_ele_kWh="---",0,Onbekend_ele_kWh)/1000+IF(REST_rest_ele_kWh="---",0,REST_rest_ele_kWh)/1000</f>
        <v>269.98009999999999</v>
      </c>
      <c r="D25" s="983"/>
      <c r="E25" s="983">
        <f>IF(onbekend_gas_kWh="---",0,onbekend_gas_kWh)/1000+IF(REST_rest_gas_kWh="---",0,REST_rest_gas_kWh)/1000</f>
        <v>426.3716</v>
      </c>
      <c r="F25" s="983"/>
      <c r="G25" s="983"/>
      <c r="H25" s="983"/>
      <c r="I25" s="983"/>
      <c r="J25" s="983"/>
      <c r="K25" s="983"/>
      <c r="L25" s="983"/>
      <c r="M25" s="983"/>
      <c r="N25" s="983"/>
      <c r="O25" s="983"/>
      <c r="P25" s="983"/>
      <c r="Q25" s="984"/>
      <c r="R25" s="715">
        <f>SUM(C25:Q25)</f>
        <v>696.35169999999994</v>
      </c>
      <c r="S25" s="67"/>
    </row>
    <row r="26" spans="1:19" s="474" customFormat="1" ht="15.75" thickBot="1">
      <c r="A26" s="720" t="s">
        <v>735</v>
      </c>
      <c r="B26" s="842"/>
      <c r="C26" s="837">
        <f>SUM(C24:C25)</f>
        <v>1389.4311</v>
      </c>
      <c r="D26" s="837">
        <f t="shared" ref="D26:R26" si="2">SUM(D24:D25)</f>
        <v>0</v>
      </c>
      <c r="E26" s="837">
        <f t="shared" si="2"/>
        <v>1634.7900199999999</v>
      </c>
      <c r="F26" s="837">
        <f t="shared" si="2"/>
        <v>34.937696560601381</v>
      </c>
      <c r="G26" s="837">
        <f t="shared" si="2"/>
        <v>3956.2638434365017</v>
      </c>
      <c r="H26" s="837">
        <f t="shared" si="2"/>
        <v>0</v>
      </c>
      <c r="I26" s="837">
        <f t="shared" si="2"/>
        <v>0</v>
      </c>
      <c r="J26" s="837">
        <f t="shared" si="2"/>
        <v>0</v>
      </c>
      <c r="K26" s="837">
        <f t="shared" si="2"/>
        <v>308.41651382464772</v>
      </c>
      <c r="L26" s="837">
        <f t="shared" si="2"/>
        <v>0</v>
      </c>
      <c r="M26" s="837">
        <f t="shared" si="2"/>
        <v>0</v>
      </c>
      <c r="N26" s="837">
        <f t="shared" si="2"/>
        <v>0</v>
      </c>
      <c r="O26" s="837">
        <f t="shared" si="2"/>
        <v>0</v>
      </c>
      <c r="P26" s="837">
        <f t="shared" si="2"/>
        <v>0</v>
      </c>
      <c r="Q26" s="837">
        <f t="shared" si="2"/>
        <v>0</v>
      </c>
      <c r="R26" s="837">
        <f t="shared" si="2"/>
        <v>7323.8391738217515</v>
      </c>
      <c r="S26" s="67"/>
    </row>
    <row r="27" spans="1:19" s="474" customFormat="1" ht="17.25" thickTop="1" thickBot="1">
      <c r="A27" s="721" t="s">
        <v>115</v>
      </c>
      <c r="B27" s="829"/>
      <c r="C27" s="722">
        <f ca="1">C22+C16+C26</f>
        <v>34938.503780156825</v>
      </c>
      <c r="D27" s="722">
        <f t="shared" ref="D27:R27" ca="1" si="3">D22+D16+D26</f>
        <v>128.57142857142858</v>
      </c>
      <c r="E27" s="722">
        <f t="shared" ca="1" si="3"/>
        <v>45701.409743364158</v>
      </c>
      <c r="F27" s="722">
        <f t="shared" si="3"/>
        <v>9471.0149351708988</v>
      </c>
      <c r="G27" s="722">
        <f t="shared" ca="1" si="3"/>
        <v>31809.606936870972</v>
      </c>
      <c r="H27" s="722">
        <f t="shared" si="3"/>
        <v>90139.388299976796</v>
      </c>
      <c r="I27" s="722">
        <f t="shared" si="3"/>
        <v>19798.968625521356</v>
      </c>
      <c r="J27" s="722">
        <f t="shared" si="3"/>
        <v>0</v>
      </c>
      <c r="K27" s="722">
        <f t="shared" si="3"/>
        <v>314.27249856366484</v>
      </c>
      <c r="L27" s="722">
        <f t="shared" si="3"/>
        <v>0</v>
      </c>
      <c r="M27" s="722">
        <f t="shared" ca="1" si="3"/>
        <v>0</v>
      </c>
      <c r="N27" s="722">
        <f t="shared" si="3"/>
        <v>6494.7342388358957</v>
      </c>
      <c r="O27" s="722">
        <f t="shared" ca="1" si="3"/>
        <v>14976.068962129419</v>
      </c>
      <c r="P27" s="722">
        <f t="shared" si="3"/>
        <v>532.63014712279153</v>
      </c>
      <c r="Q27" s="722">
        <f t="shared" si="3"/>
        <v>905.92050046091197</v>
      </c>
      <c r="R27" s="722">
        <f t="shared" ca="1" si="3"/>
        <v>255211.09009674515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1476.8111580246393</v>
      </c>
      <c r="D40" s="712">
        <f ca="1">tertiair!C20</f>
        <v>30.554621848739504</v>
      </c>
      <c r="E40" s="712">
        <f ca="1">tertiair!D20</f>
        <v>1216.1807029297431</v>
      </c>
      <c r="F40" s="712">
        <f>tertiair!E20</f>
        <v>24.693783767089435</v>
      </c>
      <c r="G40" s="712">
        <f ca="1">tertiair!F20</f>
        <v>213.22706900310288</v>
      </c>
      <c r="H40" s="712">
        <f>tertiair!G20</f>
        <v>0</v>
      </c>
      <c r="I40" s="712">
        <f>tertiair!H20</f>
        <v>0</v>
      </c>
      <c r="J40" s="712">
        <f>tertiair!I20</f>
        <v>0</v>
      </c>
      <c r="K40" s="712">
        <f>tertiair!J20</f>
        <v>4.9260434303590121E-3</v>
      </c>
      <c r="L40" s="712">
        <f>tertiair!K20</f>
        <v>0</v>
      </c>
      <c r="M40" s="712">
        <f ca="1">tertiair!L20</f>
        <v>0</v>
      </c>
      <c r="N40" s="712">
        <f>tertiair!M20</f>
        <v>0</v>
      </c>
      <c r="O40" s="712">
        <f ca="1">tertiair!N20</f>
        <v>0</v>
      </c>
      <c r="P40" s="712">
        <f>tertiair!O20</f>
        <v>0</v>
      </c>
      <c r="Q40" s="795">
        <f>tertiair!P20</f>
        <v>0</v>
      </c>
      <c r="R40" s="875">
        <f t="shared" ca="1" si="4"/>
        <v>2961.4722616167442</v>
      </c>
    </row>
    <row r="41" spans="1:18">
      <c r="A41" s="847" t="s">
        <v>224</v>
      </c>
      <c r="B41" s="854"/>
      <c r="C41" s="712">
        <f ca="1">huishoudens!B12</f>
        <v>3895.155311510407</v>
      </c>
      <c r="D41" s="712">
        <f ca="1">huishoudens!C12</f>
        <v>0</v>
      </c>
      <c r="E41" s="712">
        <f>huishoudens!D12</f>
        <v>7118.2046365694014</v>
      </c>
      <c r="F41" s="712">
        <f>huishoudens!E12</f>
        <v>1984.3843624142494</v>
      </c>
      <c r="G41" s="712">
        <f>huishoudens!F12</f>
        <v>6884.3762276854377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19882.120538179493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630.02019394531419</v>
      </c>
      <c r="D43" s="712">
        <f ca="1">industrie!C22</f>
        <v>0</v>
      </c>
      <c r="E43" s="712">
        <f>industrie!D22</f>
        <v>513.63956355562402</v>
      </c>
      <c r="F43" s="712">
        <f>industrie!E22</f>
        <v>86.013783070913718</v>
      </c>
      <c r="G43" s="712">
        <f>industrie!F22</f>
        <v>339.2393092584644</v>
      </c>
      <c r="H43" s="712">
        <f>industrie!G22</f>
        <v>0</v>
      </c>
      <c r="I43" s="712">
        <f>industrie!H22</f>
        <v>0</v>
      </c>
      <c r="J43" s="712">
        <f>industrie!I22</f>
        <v>0</v>
      </c>
      <c r="K43" s="712">
        <f>industrie!J22</f>
        <v>2.0680925541816912</v>
      </c>
      <c r="L43" s="712">
        <f>industrie!K22</f>
        <v>0</v>
      </c>
      <c r="M43" s="712">
        <f>industrie!L22</f>
        <v>0</v>
      </c>
      <c r="N43" s="712">
        <f>industrie!M22</f>
        <v>0</v>
      </c>
      <c r="O43" s="712">
        <f>industrie!N22</f>
        <v>0</v>
      </c>
      <c r="P43" s="712">
        <f>industrie!O22</f>
        <v>0</v>
      </c>
      <c r="Q43" s="795">
        <f>industrie!P22</f>
        <v>0</v>
      </c>
      <c r="R43" s="874">
        <f t="shared" ca="1" si="4"/>
        <v>1570.9809423844979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6001.9866634803611</v>
      </c>
      <c r="D46" s="748">
        <f t="shared" ref="D46:Q46" ca="1" si="5">SUM(D39:D45)</f>
        <v>30.554621848739504</v>
      </c>
      <c r="E46" s="748">
        <f t="shared" ca="1" si="5"/>
        <v>8848.0249030547675</v>
      </c>
      <c r="F46" s="748">
        <f t="shared" si="5"/>
        <v>2095.0919292522526</v>
      </c>
      <c r="G46" s="748">
        <f t="shared" ca="1" si="5"/>
        <v>7436.8426059470048</v>
      </c>
      <c r="H46" s="748">
        <f t="shared" si="5"/>
        <v>0</v>
      </c>
      <c r="I46" s="748">
        <f t="shared" si="5"/>
        <v>0</v>
      </c>
      <c r="J46" s="748">
        <f t="shared" si="5"/>
        <v>0</v>
      </c>
      <c r="K46" s="748">
        <f t="shared" si="5"/>
        <v>2.0730185976120503</v>
      </c>
      <c r="L46" s="748">
        <f t="shared" si="5"/>
        <v>0</v>
      </c>
      <c r="M46" s="748">
        <f t="shared" ca="1" si="5"/>
        <v>0</v>
      </c>
      <c r="N46" s="748">
        <f t="shared" si="5"/>
        <v>0</v>
      </c>
      <c r="O46" s="748">
        <f t="shared" ca="1" si="5"/>
        <v>0</v>
      </c>
      <c r="P46" s="748">
        <f t="shared" si="5"/>
        <v>0</v>
      </c>
      <c r="Q46" s="748">
        <f t="shared" si="5"/>
        <v>0</v>
      </c>
      <c r="R46" s="748">
        <f ca="1">SUM(R39:R45)</f>
        <v>24414.573742180735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513.02422600298041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513.02422600298041</v>
      </c>
    </row>
    <row r="50" spans="1:18">
      <c r="A50" s="850" t="s">
        <v>306</v>
      </c>
      <c r="B50" s="860"/>
      <c r="C50" s="718">
        <f ca="1">transport!B18</f>
        <v>12.937144130853865</v>
      </c>
      <c r="D50" s="718">
        <f>transport!C18</f>
        <v>0</v>
      </c>
      <c r="E50" s="718">
        <f>transport!D18</f>
        <v>53.432281064791347</v>
      </c>
      <c r="F50" s="718">
        <f>transport!E18</f>
        <v>46.897603912285227</v>
      </c>
      <c r="G50" s="718">
        <f>transport!F18</f>
        <v>0</v>
      </c>
      <c r="H50" s="718">
        <f>transport!G18</f>
        <v>23554.192450090828</v>
      </c>
      <c r="I50" s="718">
        <f>transport!H18</f>
        <v>4929.9431877548177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28597.402666953574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12.937144130853865</v>
      </c>
      <c r="D52" s="748">
        <f t="shared" ref="D52:Q52" ca="1" si="6">SUM(D48:D51)</f>
        <v>0</v>
      </c>
      <c r="E52" s="748">
        <f t="shared" si="6"/>
        <v>53.432281064791347</v>
      </c>
      <c r="F52" s="748">
        <f t="shared" si="6"/>
        <v>46.897603912285227</v>
      </c>
      <c r="G52" s="748">
        <f t="shared" si="6"/>
        <v>0</v>
      </c>
      <c r="H52" s="748">
        <f t="shared" si="6"/>
        <v>24067.216676093809</v>
      </c>
      <c r="I52" s="748">
        <f t="shared" si="6"/>
        <v>4929.9431877548177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29110.426892956555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200.70338562105101</v>
      </c>
      <c r="D54" s="718">
        <f ca="1">+landbouw!C12</f>
        <v>0</v>
      </c>
      <c r="E54" s="718">
        <f>+landbouw!D12</f>
        <v>244.10052084</v>
      </c>
      <c r="F54" s="718">
        <f>+landbouw!E12</f>
        <v>7.9308571192565136</v>
      </c>
      <c r="G54" s="718">
        <f>+landbouw!F12</f>
        <v>1056.322446197546</v>
      </c>
      <c r="H54" s="718">
        <f>+landbouw!G12</f>
        <v>0</v>
      </c>
      <c r="I54" s="718">
        <f>+landbouw!H12</f>
        <v>0</v>
      </c>
      <c r="J54" s="718">
        <f>+landbouw!I12</f>
        <v>0</v>
      </c>
      <c r="K54" s="718">
        <f>+landbouw!J12</f>
        <v>109.17944589392529</v>
      </c>
      <c r="L54" s="718">
        <f>+landbouw!K12</f>
        <v>0</v>
      </c>
      <c r="M54" s="718">
        <f>+landbouw!L12</f>
        <v>0</v>
      </c>
      <c r="N54" s="718">
        <f>+landbouw!M12</f>
        <v>0</v>
      </c>
      <c r="O54" s="718">
        <f>+landbouw!N12</f>
        <v>0</v>
      </c>
      <c r="P54" s="718">
        <f>+landbouw!O12</f>
        <v>0</v>
      </c>
      <c r="Q54" s="719">
        <f>+landbouw!P12</f>
        <v>0</v>
      </c>
      <c r="R54" s="747">
        <f ca="1">SUM(C54:Q54)</f>
        <v>1618.2366556717789</v>
      </c>
    </row>
    <row r="55" spans="1:18" ht="15" thickBot="1">
      <c r="A55" s="850" t="s">
        <v>734</v>
      </c>
      <c r="B55" s="860"/>
      <c r="C55" s="718">
        <f ca="1">C25*'EF ele_warmte'!B12</f>
        <v>48.404012431370298</v>
      </c>
      <c r="D55" s="718"/>
      <c r="E55" s="718">
        <f>E25*EF_CO2_aardgas</f>
        <v>86.127063200000009</v>
      </c>
      <c r="F55" s="718"/>
      <c r="G55" s="718"/>
      <c r="H55" s="718"/>
      <c r="I55" s="718"/>
      <c r="J55" s="718"/>
      <c r="K55" s="718"/>
      <c r="L55" s="718"/>
      <c r="M55" s="718"/>
      <c r="N55" s="718"/>
      <c r="O55" s="718"/>
      <c r="P55" s="718"/>
      <c r="Q55" s="719"/>
      <c r="R55" s="747">
        <f ca="1">SUM(C55:Q55)</f>
        <v>134.5310756313703</v>
      </c>
    </row>
    <row r="56" spans="1:18" ht="15.75" thickBot="1">
      <c r="A56" s="848" t="s">
        <v>735</v>
      </c>
      <c r="B56" s="861"/>
      <c r="C56" s="748">
        <f ca="1">SUM(C54:C55)</f>
        <v>249.1073980524213</v>
      </c>
      <c r="D56" s="748">
        <f t="shared" ref="D56:Q56" ca="1" si="7">SUM(D54:D55)</f>
        <v>0</v>
      </c>
      <c r="E56" s="748">
        <f t="shared" si="7"/>
        <v>330.22758404000001</v>
      </c>
      <c r="F56" s="748">
        <f t="shared" si="7"/>
        <v>7.9308571192565136</v>
      </c>
      <c r="G56" s="748">
        <f t="shared" si="7"/>
        <v>1056.322446197546</v>
      </c>
      <c r="H56" s="748">
        <f t="shared" si="7"/>
        <v>0</v>
      </c>
      <c r="I56" s="748">
        <f t="shared" si="7"/>
        <v>0</v>
      </c>
      <c r="J56" s="748">
        <f t="shared" si="7"/>
        <v>0</v>
      </c>
      <c r="K56" s="748">
        <f t="shared" si="7"/>
        <v>109.17944589392529</v>
      </c>
      <c r="L56" s="748">
        <f t="shared" si="7"/>
        <v>0</v>
      </c>
      <c r="M56" s="748">
        <f t="shared" si="7"/>
        <v>0</v>
      </c>
      <c r="N56" s="748">
        <f t="shared" si="7"/>
        <v>0</v>
      </c>
      <c r="O56" s="748">
        <f t="shared" si="7"/>
        <v>0</v>
      </c>
      <c r="P56" s="748">
        <f t="shared" si="7"/>
        <v>0</v>
      </c>
      <c r="Q56" s="749">
        <f t="shared" si="7"/>
        <v>0</v>
      </c>
      <c r="R56" s="750">
        <f ca="1">SUM(R54:R55)</f>
        <v>1752.767731303149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6264.0312056636367</v>
      </c>
      <c r="D61" s="756">
        <f t="shared" ref="D61:Q61" ca="1" si="8">D46+D52+D56</f>
        <v>30.554621848739504</v>
      </c>
      <c r="E61" s="756">
        <f t="shared" ca="1" si="8"/>
        <v>9231.6847681595591</v>
      </c>
      <c r="F61" s="756">
        <f t="shared" si="8"/>
        <v>2149.9203902837944</v>
      </c>
      <c r="G61" s="756">
        <f t="shared" ca="1" si="8"/>
        <v>8493.1650521445517</v>
      </c>
      <c r="H61" s="756">
        <f t="shared" si="8"/>
        <v>24067.216676093809</v>
      </c>
      <c r="I61" s="756">
        <f t="shared" si="8"/>
        <v>4929.9431877548177</v>
      </c>
      <c r="J61" s="756">
        <f t="shared" si="8"/>
        <v>0</v>
      </c>
      <c r="K61" s="756">
        <f t="shared" si="8"/>
        <v>111.25246449153734</v>
      </c>
      <c r="L61" s="756">
        <f t="shared" si="8"/>
        <v>0</v>
      </c>
      <c r="M61" s="756">
        <f t="shared" ca="1" si="8"/>
        <v>0</v>
      </c>
      <c r="N61" s="756">
        <f t="shared" si="8"/>
        <v>0</v>
      </c>
      <c r="O61" s="756">
        <f t="shared" ca="1" si="8"/>
        <v>0</v>
      </c>
      <c r="P61" s="756">
        <f t="shared" si="8"/>
        <v>0</v>
      </c>
      <c r="Q61" s="756">
        <f t="shared" si="8"/>
        <v>0</v>
      </c>
      <c r="R61" s="756">
        <f ca="1">R46+R52+R56</f>
        <v>55277.768366440432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0.17928733425674817</v>
      </c>
      <c r="D63" s="802">
        <f t="shared" ca="1" si="9"/>
        <v>0.23764705882352946</v>
      </c>
      <c r="E63" s="1008">
        <f t="shared" ca="1" si="9"/>
        <v>0.20199999999999999</v>
      </c>
      <c r="F63" s="802">
        <f t="shared" si="9"/>
        <v>0.22700000000000004</v>
      </c>
      <c r="G63" s="802">
        <f t="shared" ca="1" si="9"/>
        <v>0.26700000000000007</v>
      </c>
      <c r="H63" s="802">
        <f t="shared" si="9"/>
        <v>0.26700000000000007</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6601.2505205662465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90</v>
      </c>
      <c r="D76" s="991">
        <f>'lokale energieproductie'!C8</f>
        <v>105.88235294117648</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21.388235294117649</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6601.2505205662465</v>
      </c>
      <c r="C78" s="774">
        <f>SUM(C72:C77)</f>
        <v>90</v>
      </c>
      <c r="D78" s="775">
        <f t="shared" ref="D78:H78" si="10">SUM(D76:D77)</f>
        <v>105.88235294117648</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21.388235294117649</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128.57142857142858</v>
      </c>
      <c r="D87" s="798">
        <f>'lokale energieproductie'!C17</f>
        <v>151.2605042016807</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30.554621848739504</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128.57142857142858</v>
      </c>
      <c r="D90" s="774">
        <f t="shared" ref="D90:H90" si="12">SUM(D87:D89)</f>
        <v>151.2605042016807</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30.554621848739504</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21725.769573506823</v>
      </c>
      <c r="C4" s="478">
        <f>huishoudens!C8</f>
        <v>0</v>
      </c>
      <c r="D4" s="478">
        <f>huishoudens!D8</f>
        <v>35238.636814700003</v>
      </c>
      <c r="E4" s="478">
        <f>huishoudens!E8</f>
        <v>8741.7813322213624</v>
      </c>
      <c r="F4" s="478">
        <f>huishoudens!F8</f>
        <v>25784.180628035345</v>
      </c>
      <c r="G4" s="478">
        <f>huishoudens!G8</f>
        <v>0</v>
      </c>
      <c r="H4" s="478">
        <f>huishoudens!H8</f>
        <v>0</v>
      </c>
      <c r="I4" s="478">
        <f>huishoudens!I8</f>
        <v>0</v>
      </c>
      <c r="J4" s="478">
        <f>huishoudens!J8</f>
        <v>0</v>
      </c>
      <c r="K4" s="478">
        <f>huishoudens!K8</f>
        <v>0</v>
      </c>
      <c r="L4" s="478">
        <f>huishoudens!L8</f>
        <v>0</v>
      </c>
      <c r="M4" s="478">
        <f>huishoudens!M8</f>
        <v>0</v>
      </c>
      <c r="N4" s="478">
        <f>huishoudens!N8</f>
        <v>14275.68526527432</v>
      </c>
      <c r="O4" s="478">
        <f>huishoudens!O8</f>
        <v>527.73288635695042</v>
      </c>
      <c r="P4" s="479">
        <f>huishoudens!P8</f>
        <v>905.92050046091197</v>
      </c>
      <c r="Q4" s="480">
        <f>SUM(B4:P4)</f>
        <v>107199.70700055573</v>
      </c>
    </row>
    <row r="5" spans="1:17">
      <c r="A5" s="477" t="s">
        <v>155</v>
      </c>
      <c r="B5" s="478">
        <f ca="1">tertiair!B16</f>
        <v>7261.8932819999991</v>
      </c>
      <c r="C5" s="478">
        <f ca="1">tertiair!C16</f>
        <v>128.57142857142858</v>
      </c>
      <c r="D5" s="478">
        <f ca="1">tertiair!D16</f>
        <v>6020.6965491571436</v>
      </c>
      <c r="E5" s="478">
        <f>tertiair!E16</f>
        <v>108.78318840127504</v>
      </c>
      <c r="F5" s="478">
        <f ca="1">tertiair!F16</f>
        <v>798.60325469326915</v>
      </c>
      <c r="G5" s="478">
        <f>tertiair!G16</f>
        <v>0</v>
      </c>
      <c r="H5" s="478">
        <f>tertiair!H16</f>
        <v>0</v>
      </c>
      <c r="I5" s="478">
        <f>tertiair!I16</f>
        <v>0</v>
      </c>
      <c r="J5" s="478">
        <f>tertiair!J16</f>
        <v>1.3915376921918115E-2</v>
      </c>
      <c r="K5" s="478">
        <f>tertiair!K16</f>
        <v>0</v>
      </c>
      <c r="L5" s="478">
        <f ca="1">tertiair!L16</f>
        <v>0</v>
      </c>
      <c r="M5" s="478">
        <f>tertiair!M16</f>
        <v>0</v>
      </c>
      <c r="N5" s="478">
        <f ca="1">tertiair!N16</f>
        <v>550.47154652775441</v>
      </c>
      <c r="O5" s="478">
        <f>tertiair!O16</f>
        <v>4.8972607658411542</v>
      </c>
      <c r="P5" s="479">
        <f>tertiair!P16</f>
        <v>0</v>
      </c>
      <c r="Q5" s="477">
        <f t="shared" ref="Q5:Q14" ca="1" si="0">SUM(B5:P5)</f>
        <v>14873.930425493634</v>
      </c>
    </row>
    <row r="6" spans="1:17">
      <c r="A6" s="477" t="s">
        <v>193</v>
      </c>
      <c r="B6" s="478">
        <f>'openbare verlichting'!B8</f>
        <v>975.226</v>
      </c>
      <c r="C6" s="478"/>
      <c r="D6" s="478"/>
      <c r="E6" s="478"/>
      <c r="F6" s="478"/>
      <c r="G6" s="478"/>
      <c r="H6" s="478"/>
      <c r="I6" s="478"/>
      <c r="J6" s="478"/>
      <c r="K6" s="478"/>
      <c r="L6" s="478"/>
      <c r="M6" s="478"/>
      <c r="N6" s="478"/>
      <c r="O6" s="478"/>
      <c r="P6" s="479"/>
      <c r="Q6" s="477">
        <f t="shared" si="0"/>
        <v>975.226</v>
      </c>
    </row>
    <row r="7" spans="1:17">
      <c r="A7" s="477" t="s">
        <v>111</v>
      </c>
      <c r="B7" s="478">
        <f>landbouw!B8</f>
        <v>1119.451</v>
      </c>
      <c r="C7" s="478">
        <f>landbouw!C8</f>
        <v>0</v>
      </c>
      <c r="D7" s="478">
        <f>landbouw!D8</f>
        <v>1208.41842</v>
      </c>
      <c r="E7" s="478">
        <f>landbouw!E8</f>
        <v>34.937696560601381</v>
      </c>
      <c r="F7" s="478">
        <f>landbouw!F8</f>
        <v>3956.2638434365017</v>
      </c>
      <c r="G7" s="478">
        <f>landbouw!G8</f>
        <v>0</v>
      </c>
      <c r="H7" s="478">
        <f>landbouw!H8</f>
        <v>0</v>
      </c>
      <c r="I7" s="478">
        <f>landbouw!I8</f>
        <v>0</v>
      </c>
      <c r="J7" s="478">
        <f>landbouw!J8</f>
        <v>308.41651382464772</v>
      </c>
      <c r="K7" s="478">
        <f>landbouw!K8</f>
        <v>0</v>
      </c>
      <c r="L7" s="478">
        <f>landbouw!L8</f>
        <v>0</v>
      </c>
      <c r="M7" s="478">
        <f>landbouw!M8</f>
        <v>0</v>
      </c>
      <c r="N7" s="478">
        <f>landbouw!N8</f>
        <v>0</v>
      </c>
      <c r="O7" s="478">
        <f>landbouw!O8</f>
        <v>0</v>
      </c>
      <c r="P7" s="479">
        <f>landbouw!P8</f>
        <v>0</v>
      </c>
      <c r="Q7" s="477">
        <f t="shared" si="0"/>
        <v>6627.4874738217513</v>
      </c>
    </row>
    <row r="8" spans="1:17">
      <c r="A8" s="477" t="s">
        <v>629</v>
      </c>
      <c r="B8" s="478">
        <f>industrie!B18</f>
        <v>3514.0251069999995</v>
      </c>
      <c r="C8" s="478">
        <f>industrie!C18</f>
        <v>0</v>
      </c>
      <c r="D8" s="478">
        <f>industrie!D18</f>
        <v>2542.770116612</v>
      </c>
      <c r="E8" s="478">
        <f>industrie!E18</f>
        <v>378.91534392473005</v>
      </c>
      <c r="F8" s="478">
        <f>industrie!F18</f>
        <v>1270.5592107058592</v>
      </c>
      <c r="G8" s="478">
        <f>industrie!G18</f>
        <v>0</v>
      </c>
      <c r="H8" s="478">
        <f>industrie!H18</f>
        <v>0</v>
      </c>
      <c r="I8" s="478">
        <f>industrie!I18</f>
        <v>0</v>
      </c>
      <c r="J8" s="478">
        <f>industrie!J18</f>
        <v>5.8420693620951729</v>
      </c>
      <c r="K8" s="478">
        <f>industrie!K18</f>
        <v>0</v>
      </c>
      <c r="L8" s="478">
        <f>industrie!L18</f>
        <v>0</v>
      </c>
      <c r="M8" s="478">
        <f>industrie!M18</f>
        <v>0</v>
      </c>
      <c r="N8" s="478">
        <f>industrie!N18</f>
        <v>149.91215032734436</v>
      </c>
      <c r="O8" s="478">
        <f>industrie!O18</f>
        <v>0</v>
      </c>
      <c r="P8" s="479">
        <f>industrie!P18</f>
        <v>0</v>
      </c>
      <c r="Q8" s="477">
        <f t="shared" si="0"/>
        <v>7862.0239979320295</v>
      </c>
    </row>
    <row r="9" spans="1:17" s="483" customFormat="1">
      <c r="A9" s="481" t="s">
        <v>555</v>
      </c>
      <c r="B9" s="482">
        <f>transport!B14</f>
        <v>72.15871765</v>
      </c>
      <c r="C9" s="482">
        <f>transport!C14</f>
        <v>0</v>
      </c>
      <c r="D9" s="482">
        <f>transport!D14</f>
        <v>264.51624289500666</v>
      </c>
      <c r="E9" s="482">
        <f>transport!E14</f>
        <v>206.5973740629305</v>
      </c>
      <c r="F9" s="482">
        <f>transport!F14</f>
        <v>0</v>
      </c>
      <c r="G9" s="482">
        <f>transport!G14</f>
        <v>88217.949251276499</v>
      </c>
      <c r="H9" s="482">
        <f>transport!H14</f>
        <v>19798.968625521356</v>
      </c>
      <c r="I9" s="482">
        <f>transport!I14</f>
        <v>0</v>
      </c>
      <c r="J9" s="482">
        <f>transport!J14</f>
        <v>0</v>
      </c>
      <c r="K9" s="482">
        <f>transport!K14</f>
        <v>0</v>
      </c>
      <c r="L9" s="482">
        <f>transport!L14</f>
        <v>0</v>
      </c>
      <c r="M9" s="482">
        <f>transport!M14</f>
        <v>6387.9404439135815</v>
      </c>
      <c r="N9" s="482">
        <f>transport!N14</f>
        <v>0</v>
      </c>
      <c r="O9" s="482">
        <f>transport!O14</f>
        <v>0</v>
      </c>
      <c r="P9" s="482">
        <f>transport!P14</f>
        <v>0</v>
      </c>
      <c r="Q9" s="481">
        <f>SUM(B9:P9)</f>
        <v>114948.13065531939</v>
      </c>
    </row>
    <row r="10" spans="1:17">
      <c r="A10" s="477" t="s">
        <v>545</v>
      </c>
      <c r="B10" s="478">
        <f>transport!B54</f>
        <v>0</v>
      </c>
      <c r="C10" s="478">
        <f>transport!C54</f>
        <v>0</v>
      </c>
      <c r="D10" s="478">
        <f>transport!D54</f>
        <v>0</v>
      </c>
      <c r="E10" s="478">
        <f>transport!E54</f>
        <v>0</v>
      </c>
      <c r="F10" s="478">
        <f>transport!F54</f>
        <v>0</v>
      </c>
      <c r="G10" s="478">
        <f>transport!G54</f>
        <v>1921.4390487003011</v>
      </c>
      <c r="H10" s="478">
        <f>transport!H54</f>
        <v>0</v>
      </c>
      <c r="I10" s="478">
        <f>transport!I54</f>
        <v>0</v>
      </c>
      <c r="J10" s="478">
        <f>transport!J54</f>
        <v>0</v>
      </c>
      <c r="K10" s="478">
        <f>transport!K54</f>
        <v>0</v>
      </c>
      <c r="L10" s="478">
        <f>transport!L54</f>
        <v>0</v>
      </c>
      <c r="M10" s="478">
        <f>transport!M54</f>
        <v>106.79379492231452</v>
      </c>
      <c r="N10" s="478">
        <f>transport!N54</f>
        <v>0</v>
      </c>
      <c r="O10" s="478">
        <f>transport!O54</f>
        <v>0</v>
      </c>
      <c r="P10" s="479">
        <f>transport!P54</f>
        <v>0</v>
      </c>
      <c r="Q10" s="477">
        <f t="shared" si="0"/>
        <v>2028.2328436226155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269.98009999999999</v>
      </c>
      <c r="C14" s="485"/>
      <c r="D14" s="485">
        <f>'SEAP template'!E25</f>
        <v>426.3716</v>
      </c>
      <c r="E14" s="485"/>
      <c r="F14" s="485"/>
      <c r="G14" s="485"/>
      <c r="H14" s="485"/>
      <c r="I14" s="485"/>
      <c r="J14" s="485"/>
      <c r="K14" s="485"/>
      <c r="L14" s="485"/>
      <c r="M14" s="485"/>
      <c r="N14" s="485"/>
      <c r="O14" s="485"/>
      <c r="P14" s="486"/>
      <c r="Q14" s="477">
        <f t="shared" si="0"/>
        <v>696.35169999999994</v>
      </c>
    </row>
    <row r="15" spans="1:17" s="489" customFormat="1">
      <c r="A15" s="487" t="s">
        <v>549</v>
      </c>
      <c r="B15" s="488">
        <f ca="1">SUM(B4:B14)</f>
        <v>34938.503780156825</v>
      </c>
      <c r="C15" s="488">
        <f t="shared" ref="C15:Q15" ca="1" si="1">SUM(C4:C14)</f>
        <v>128.57142857142858</v>
      </c>
      <c r="D15" s="488">
        <f t="shared" ca="1" si="1"/>
        <v>45701.409743364158</v>
      </c>
      <c r="E15" s="488">
        <f t="shared" si="1"/>
        <v>9471.0149351708988</v>
      </c>
      <c r="F15" s="488">
        <f t="shared" ca="1" si="1"/>
        <v>31809.606936870976</v>
      </c>
      <c r="G15" s="488">
        <f t="shared" si="1"/>
        <v>90139.388299976796</v>
      </c>
      <c r="H15" s="488">
        <f t="shared" si="1"/>
        <v>19798.968625521356</v>
      </c>
      <c r="I15" s="488">
        <f t="shared" si="1"/>
        <v>0</v>
      </c>
      <c r="J15" s="488">
        <f t="shared" si="1"/>
        <v>314.27249856366484</v>
      </c>
      <c r="K15" s="488">
        <f t="shared" si="1"/>
        <v>0</v>
      </c>
      <c r="L15" s="488">
        <f t="shared" ca="1" si="1"/>
        <v>0</v>
      </c>
      <c r="M15" s="488">
        <f t="shared" si="1"/>
        <v>6494.7342388358957</v>
      </c>
      <c r="N15" s="488">
        <f t="shared" ca="1" si="1"/>
        <v>14976.068962129419</v>
      </c>
      <c r="O15" s="488">
        <f t="shared" si="1"/>
        <v>532.63014712279153</v>
      </c>
      <c r="P15" s="488">
        <f t="shared" si="1"/>
        <v>905.92050046091197</v>
      </c>
      <c r="Q15" s="488">
        <f t="shared" ca="1" si="1"/>
        <v>255211.09009674512</v>
      </c>
    </row>
    <row r="17" spans="1:17">
      <c r="A17" s="490" t="s">
        <v>550</v>
      </c>
      <c r="B17" s="807">
        <f ca="1">huishoudens!B10</f>
        <v>0.17928733425674817</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3895.155311510407</v>
      </c>
      <c r="C22" s="478">
        <f t="shared" ref="C22:C32" ca="1" si="3">C4*$C$17</f>
        <v>0</v>
      </c>
      <c r="D22" s="478">
        <f t="shared" ref="D22:D32" si="4">D4*$D$17</f>
        <v>7118.2046365694014</v>
      </c>
      <c r="E22" s="478">
        <f t="shared" ref="E22:E32" si="5">E4*$E$17</f>
        <v>1984.3843624142494</v>
      </c>
      <c r="F22" s="478">
        <f t="shared" ref="F22:F32" si="6">F4*$F$17</f>
        <v>6884.3762276854377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19882.120538179493</v>
      </c>
    </row>
    <row r="23" spans="1:17">
      <c r="A23" s="477" t="s">
        <v>155</v>
      </c>
      <c r="B23" s="478">
        <f t="shared" ca="1" si="2"/>
        <v>1301.9654881867677</v>
      </c>
      <c r="C23" s="478">
        <f t="shared" ca="1" si="3"/>
        <v>30.554621848739504</v>
      </c>
      <c r="D23" s="478">
        <f t="shared" ca="1" si="4"/>
        <v>1216.1807029297431</v>
      </c>
      <c r="E23" s="478">
        <f t="shared" si="5"/>
        <v>24.693783767089435</v>
      </c>
      <c r="F23" s="478">
        <f t="shared" ca="1" si="6"/>
        <v>213.22706900310288</v>
      </c>
      <c r="G23" s="478">
        <f t="shared" si="7"/>
        <v>0</v>
      </c>
      <c r="H23" s="478">
        <f t="shared" si="8"/>
        <v>0</v>
      </c>
      <c r="I23" s="478">
        <f t="shared" si="9"/>
        <v>0</v>
      </c>
      <c r="J23" s="478">
        <f t="shared" si="10"/>
        <v>4.9260434303590121E-3</v>
      </c>
      <c r="K23" s="478">
        <f t="shared" si="11"/>
        <v>0</v>
      </c>
      <c r="L23" s="478">
        <f t="shared" ca="1" si="12"/>
        <v>0</v>
      </c>
      <c r="M23" s="478">
        <f t="shared" si="13"/>
        <v>0</v>
      </c>
      <c r="N23" s="478">
        <f t="shared" ca="1" si="14"/>
        <v>0</v>
      </c>
      <c r="O23" s="478">
        <f t="shared" si="15"/>
        <v>0</v>
      </c>
      <c r="P23" s="479">
        <f t="shared" si="16"/>
        <v>0</v>
      </c>
      <c r="Q23" s="477">
        <f t="shared" ref="Q23:Q31" ca="1" si="17">SUM(B23:P23)</f>
        <v>2786.6265917788728</v>
      </c>
    </row>
    <row r="24" spans="1:17">
      <c r="A24" s="477" t="s">
        <v>193</v>
      </c>
      <c r="B24" s="478">
        <f t="shared" ca="1" si="2"/>
        <v>174.8456698378715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174.8456698378715</v>
      </c>
    </row>
    <row r="25" spans="1:17">
      <c r="A25" s="477" t="s">
        <v>111</v>
      </c>
      <c r="B25" s="478">
        <f t="shared" ca="1" si="2"/>
        <v>200.70338562105101</v>
      </c>
      <c r="C25" s="478">
        <f t="shared" ca="1" si="3"/>
        <v>0</v>
      </c>
      <c r="D25" s="478">
        <f t="shared" si="4"/>
        <v>244.10052084</v>
      </c>
      <c r="E25" s="478">
        <f t="shared" si="5"/>
        <v>7.9308571192565136</v>
      </c>
      <c r="F25" s="478">
        <f t="shared" si="6"/>
        <v>1056.322446197546</v>
      </c>
      <c r="G25" s="478">
        <f t="shared" si="7"/>
        <v>0</v>
      </c>
      <c r="H25" s="478">
        <f t="shared" si="8"/>
        <v>0</v>
      </c>
      <c r="I25" s="478">
        <f t="shared" si="9"/>
        <v>0</v>
      </c>
      <c r="J25" s="478">
        <f t="shared" si="10"/>
        <v>109.17944589392529</v>
      </c>
      <c r="K25" s="478">
        <f t="shared" si="11"/>
        <v>0</v>
      </c>
      <c r="L25" s="478">
        <f t="shared" si="12"/>
        <v>0</v>
      </c>
      <c r="M25" s="478">
        <f t="shared" si="13"/>
        <v>0</v>
      </c>
      <c r="N25" s="478">
        <f t="shared" si="14"/>
        <v>0</v>
      </c>
      <c r="O25" s="478">
        <f t="shared" si="15"/>
        <v>0</v>
      </c>
      <c r="P25" s="479">
        <f t="shared" si="16"/>
        <v>0</v>
      </c>
      <c r="Q25" s="477">
        <f t="shared" ca="1" si="17"/>
        <v>1618.2366556717789</v>
      </c>
    </row>
    <row r="26" spans="1:17">
      <c r="A26" s="477" t="s">
        <v>629</v>
      </c>
      <c r="B26" s="478">
        <f t="shared" ca="1" si="2"/>
        <v>630.02019394531419</v>
      </c>
      <c r="C26" s="478">
        <f t="shared" ca="1" si="3"/>
        <v>0</v>
      </c>
      <c r="D26" s="478">
        <f t="shared" si="4"/>
        <v>513.63956355562402</v>
      </c>
      <c r="E26" s="478">
        <f t="shared" si="5"/>
        <v>86.013783070913718</v>
      </c>
      <c r="F26" s="478">
        <f t="shared" si="6"/>
        <v>339.2393092584644</v>
      </c>
      <c r="G26" s="478">
        <f t="shared" si="7"/>
        <v>0</v>
      </c>
      <c r="H26" s="478">
        <f t="shared" si="8"/>
        <v>0</v>
      </c>
      <c r="I26" s="478">
        <f t="shared" si="9"/>
        <v>0</v>
      </c>
      <c r="J26" s="478">
        <f t="shared" si="10"/>
        <v>2.0680925541816912</v>
      </c>
      <c r="K26" s="478">
        <f t="shared" si="11"/>
        <v>0</v>
      </c>
      <c r="L26" s="478">
        <f t="shared" si="12"/>
        <v>0</v>
      </c>
      <c r="M26" s="478">
        <f t="shared" si="13"/>
        <v>0</v>
      </c>
      <c r="N26" s="478">
        <f t="shared" si="14"/>
        <v>0</v>
      </c>
      <c r="O26" s="478">
        <f t="shared" si="15"/>
        <v>0</v>
      </c>
      <c r="P26" s="479">
        <f t="shared" si="16"/>
        <v>0</v>
      </c>
      <c r="Q26" s="477">
        <f t="shared" ca="1" si="17"/>
        <v>1570.9809423844979</v>
      </c>
    </row>
    <row r="27" spans="1:17" s="483" customFormat="1">
      <c r="A27" s="481" t="s">
        <v>555</v>
      </c>
      <c r="B27" s="801">
        <f t="shared" ca="1" si="2"/>
        <v>12.937144130853865</v>
      </c>
      <c r="C27" s="482">
        <f t="shared" ca="1" si="3"/>
        <v>0</v>
      </c>
      <c r="D27" s="482">
        <f t="shared" si="4"/>
        <v>53.432281064791347</v>
      </c>
      <c r="E27" s="482">
        <f t="shared" si="5"/>
        <v>46.897603912285227</v>
      </c>
      <c r="F27" s="482">
        <f t="shared" si="6"/>
        <v>0</v>
      </c>
      <c r="G27" s="482">
        <f t="shared" si="7"/>
        <v>23554.192450090828</v>
      </c>
      <c r="H27" s="482">
        <f t="shared" si="8"/>
        <v>4929.9431877548177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28597.402666953574</v>
      </c>
    </row>
    <row r="28" spans="1:17" ht="16.5" customHeight="1">
      <c r="A28" s="477" t="s">
        <v>545</v>
      </c>
      <c r="B28" s="478">
        <f t="shared" ca="1" si="2"/>
        <v>0</v>
      </c>
      <c r="C28" s="478">
        <f t="shared" ca="1" si="3"/>
        <v>0</v>
      </c>
      <c r="D28" s="478">
        <f t="shared" si="4"/>
        <v>0</v>
      </c>
      <c r="E28" s="478">
        <f t="shared" si="5"/>
        <v>0</v>
      </c>
      <c r="F28" s="478">
        <f t="shared" si="6"/>
        <v>0</v>
      </c>
      <c r="G28" s="478">
        <f t="shared" si="7"/>
        <v>513.02422600298041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513.02422600298041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48.404012431370298</v>
      </c>
      <c r="C32" s="478">
        <f t="shared" ca="1" si="3"/>
        <v>0</v>
      </c>
      <c r="D32" s="478">
        <f t="shared" si="4"/>
        <v>86.127063200000009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134.5310756313703</v>
      </c>
    </row>
    <row r="33" spans="1:17" s="489" customFormat="1">
      <c r="A33" s="487" t="s">
        <v>549</v>
      </c>
      <c r="B33" s="488">
        <f ca="1">SUM(B22:B32)</f>
        <v>6264.0312056636367</v>
      </c>
      <c r="C33" s="488">
        <f t="shared" ref="C33:Q33" ca="1" si="19">SUM(C22:C32)</f>
        <v>30.554621848739504</v>
      </c>
      <c r="D33" s="488">
        <f t="shared" ca="1" si="19"/>
        <v>9231.6847681595591</v>
      </c>
      <c r="E33" s="488">
        <f t="shared" si="19"/>
        <v>2149.9203902837944</v>
      </c>
      <c r="F33" s="488">
        <f t="shared" ca="1" si="19"/>
        <v>8493.1650521445517</v>
      </c>
      <c r="G33" s="488">
        <f t="shared" si="19"/>
        <v>24067.216676093809</v>
      </c>
      <c r="H33" s="488">
        <f t="shared" si="19"/>
        <v>4929.9431877548177</v>
      </c>
      <c r="I33" s="488">
        <f t="shared" si="19"/>
        <v>0</v>
      </c>
      <c r="J33" s="488">
        <f t="shared" si="19"/>
        <v>111.25246449153734</v>
      </c>
      <c r="K33" s="488">
        <f t="shared" si="19"/>
        <v>0</v>
      </c>
      <c r="L33" s="488">
        <f t="shared" ca="1" si="19"/>
        <v>0</v>
      </c>
      <c r="M33" s="488">
        <f t="shared" si="19"/>
        <v>0</v>
      </c>
      <c r="N33" s="488">
        <f t="shared" ca="1" si="19"/>
        <v>0</v>
      </c>
      <c r="O33" s="488">
        <f t="shared" si="19"/>
        <v>0</v>
      </c>
      <c r="P33" s="488">
        <f t="shared" si="19"/>
        <v>0</v>
      </c>
      <c r="Q33" s="488">
        <f t="shared" ca="1" si="19"/>
        <v>55277.768366440432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6601.2505205662465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90</v>
      </c>
      <c r="D8" s="1062">
        <f>'SEAP template'!D76</f>
        <v>105.88235294117648</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21.388235294117649</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6601.2505205662465</v>
      </c>
      <c r="C10" s="1064">
        <f>SUM(C4:C9)</f>
        <v>90</v>
      </c>
      <c r="D10" s="1064">
        <f t="shared" ref="D10:H10" si="0">SUM(D8:D9)</f>
        <v>105.88235294117648</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21.388235294117649</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0.17928733425674817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128.57142857142858</v>
      </c>
      <c r="D17" s="1063">
        <f>'SEAP template'!D87</f>
        <v>151.2605042016807</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30.554621848739504</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128.57142857142858</v>
      </c>
      <c r="D20" s="1064">
        <f t="shared" ref="D20:H20" si="2">SUM(D17:D19)</f>
        <v>151.2605042016807</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30.554621848739504</v>
      </c>
    </row>
    <row r="21" spans="1:16">
      <c r="B21" s="913"/>
    </row>
    <row r="22" spans="1:16">
      <c r="A22" s="490" t="s">
        <v>814</v>
      </c>
      <c r="B22" s="807" t="s">
        <v>812</v>
      </c>
      <c r="C22" s="807">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0.17928733425674817</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0.17928733425674817</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0.17928733425674817</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72038</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4952</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1792.21</v>
      </c>
    </row>
    <row r="15" spans="1:6">
      <c r="A15" s="348" t="s">
        <v>183</v>
      </c>
      <c r="B15" s="334">
        <v>10</v>
      </c>
    </row>
    <row r="16" spans="1:6">
      <c r="A16" s="348" t="s">
        <v>6</v>
      </c>
      <c r="B16" s="334">
        <v>586</v>
      </c>
    </row>
    <row r="17" spans="1:6">
      <c r="A17" s="348" t="s">
        <v>7</v>
      </c>
      <c r="B17" s="334">
        <v>103</v>
      </c>
    </row>
    <row r="18" spans="1:6">
      <c r="A18" s="348" t="s">
        <v>8</v>
      </c>
      <c r="B18" s="334">
        <v>293</v>
      </c>
    </row>
    <row r="19" spans="1:6">
      <c r="A19" s="348" t="s">
        <v>9</v>
      </c>
      <c r="B19" s="334">
        <v>192</v>
      </c>
    </row>
    <row r="20" spans="1:6">
      <c r="A20" s="348" t="s">
        <v>10</v>
      </c>
      <c r="B20" s="334">
        <v>231</v>
      </c>
    </row>
    <row r="21" spans="1:6">
      <c r="A21" s="348" t="s">
        <v>11</v>
      </c>
      <c r="B21" s="334">
        <v>1248</v>
      </c>
    </row>
    <row r="22" spans="1:6">
      <c r="A22" s="348" t="s">
        <v>12</v>
      </c>
      <c r="B22" s="334">
        <v>2598</v>
      </c>
    </row>
    <row r="23" spans="1:6">
      <c r="A23" s="348" t="s">
        <v>13</v>
      </c>
      <c r="B23" s="334">
        <v>90</v>
      </c>
    </row>
    <row r="24" spans="1:6">
      <c r="A24" s="348" t="s">
        <v>14</v>
      </c>
      <c r="B24" s="334">
        <v>2</v>
      </c>
    </row>
    <row r="25" spans="1:6">
      <c r="A25" s="348" t="s">
        <v>15</v>
      </c>
      <c r="B25" s="334">
        <v>305</v>
      </c>
    </row>
    <row r="26" spans="1:6">
      <c r="A26" s="348" t="s">
        <v>16</v>
      </c>
      <c r="B26" s="334">
        <v>15</v>
      </c>
    </row>
    <row r="27" spans="1:6">
      <c r="A27" s="348" t="s">
        <v>17</v>
      </c>
      <c r="B27" s="334">
        <v>0</v>
      </c>
    </row>
    <row r="28" spans="1:6" s="356" customFormat="1">
      <c r="A28" s="355" t="s">
        <v>18</v>
      </c>
      <c r="B28" s="355">
        <v>56650</v>
      </c>
    </row>
    <row r="29" spans="1:6">
      <c r="A29" s="355" t="s">
        <v>713</v>
      </c>
      <c r="B29" s="355">
        <v>170</v>
      </c>
      <c r="C29" s="356"/>
      <c r="D29" s="356"/>
      <c r="E29" s="356"/>
      <c r="F29" s="356"/>
    </row>
    <row r="30" spans="1:6">
      <c r="A30" s="341" t="s">
        <v>714</v>
      </c>
      <c r="B30" s="341">
        <v>19</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4</v>
      </c>
      <c r="F35" s="334">
        <v>24018</v>
      </c>
    </row>
    <row r="36" spans="1:6">
      <c r="A36" s="348" t="s">
        <v>24</v>
      </c>
      <c r="B36" s="348" t="s">
        <v>26</v>
      </c>
      <c r="C36" s="334">
        <v>0</v>
      </c>
      <c r="D36" s="334">
        <v>0</v>
      </c>
      <c r="E36" s="334">
        <v>3</v>
      </c>
      <c r="F36" s="334">
        <v>3085</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2507</v>
      </c>
      <c r="D39" s="334">
        <v>39067224.850000001</v>
      </c>
      <c r="E39" s="334">
        <v>4962</v>
      </c>
      <c r="F39" s="334">
        <v>16377470.85</v>
      </c>
    </row>
    <row r="40" spans="1:6">
      <c r="A40" s="348" t="s">
        <v>29</v>
      </c>
      <c r="B40" s="348" t="s">
        <v>28</v>
      </c>
      <c r="C40" s="334">
        <v>0</v>
      </c>
      <c r="D40" s="334">
        <v>0</v>
      </c>
      <c r="E40" s="334">
        <v>0</v>
      </c>
      <c r="F40" s="334">
        <v>0</v>
      </c>
    </row>
    <row r="41" spans="1:6">
      <c r="A41" s="348" t="s">
        <v>31</v>
      </c>
      <c r="B41" s="348" t="s">
        <v>32</v>
      </c>
      <c r="C41" s="334">
        <v>47</v>
      </c>
      <c r="D41" s="334">
        <v>843497</v>
      </c>
      <c r="E41" s="334">
        <v>110</v>
      </c>
      <c r="F41" s="334">
        <v>1237196.774</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6</v>
      </c>
      <c r="D44" s="334">
        <v>1780460.6059999999</v>
      </c>
      <c r="E44" s="334">
        <v>28</v>
      </c>
      <c r="F44" s="334">
        <v>1359293</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v>
      </c>
      <c r="D48" s="334">
        <v>28649</v>
      </c>
      <c r="E48" s="334">
        <v>9</v>
      </c>
      <c r="F48" s="334">
        <v>541674</v>
      </c>
    </row>
    <row r="49" spans="1:6">
      <c r="A49" s="348" t="s">
        <v>31</v>
      </c>
      <c r="B49" s="348" t="s">
        <v>39</v>
      </c>
      <c r="C49" s="334">
        <v>0</v>
      </c>
      <c r="D49" s="334">
        <v>0</v>
      </c>
      <c r="E49" s="334">
        <v>0</v>
      </c>
      <c r="F49" s="334">
        <v>0</v>
      </c>
    </row>
    <row r="50" spans="1:6">
      <c r="A50" s="348" t="s">
        <v>31</v>
      </c>
      <c r="B50" s="348" t="s">
        <v>40</v>
      </c>
      <c r="C50" s="334">
        <v>5</v>
      </c>
      <c r="D50" s="334">
        <v>166429</v>
      </c>
      <c r="E50" s="334">
        <v>9</v>
      </c>
      <c r="F50" s="334">
        <v>375861.33299999998</v>
      </c>
    </row>
    <row r="51" spans="1:6">
      <c r="A51" s="348" t="s">
        <v>41</v>
      </c>
      <c r="B51" s="348" t="s">
        <v>42</v>
      </c>
      <c r="C51" s="334">
        <v>13</v>
      </c>
      <c r="D51" s="334">
        <v>1339710</v>
      </c>
      <c r="E51" s="334">
        <v>66</v>
      </c>
      <c r="F51" s="334">
        <v>1119451</v>
      </c>
    </row>
    <row r="52" spans="1:6">
      <c r="A52" s="348" t="s">
        <v>41</v>
      </c>
      <c r="B52" s="348" t="s">
        <v>28</v>
      </c>
      <c r="C52" s="334">
        <v>0</v>
      </c>
      <c r="D52" s="334">
        <v>0</v>
      </c>
      <c r="E52" s="334">
        <v>0</v>
      </c>
      <c r="F52" s="334">
        <v>0</v>
      </c>
    </row>
    <row r="53" spans="1:6">
      <c r="A53" s="348" t="s">
        <v>43</v>
      </c>
      <c r="B53" s="348" t="s">
        <v>44</v>
      </c>
      <c r="C53" s="334">
        <v>27</v>
      </c>
      <c r="D53" s="334">
        <v>426371.6</v>
      </c>
      <c r="E53" s="334">
        <v>74</v>
      </c>
      <c r="F53" s="334">
        <v>269980.09999999998</v>
      </c>
    </row>
    <row r="54" spans="1:6">
      <c r="A54" s="348" t="s">
        <v>45</v>
      </c>
      <c r="B54" s="348" t="s">
        <v>46</v>
      </c>
      <c r="C54" s="334">
        <v>0</v>
      </c>
      <c r="D54" s="334">
        <v>0</v>
      </c>
      <c r="E54" s="334">
        <v>3</v>
      </c>
      <c r="F54" s="334">
        <v>975226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28</v>
      </c>
      <c r="D57" s="334">
        <v>425416.4</v>
      </c>
      <c r="E57" s="334">
        <v>57</v>
      </c>
      <c r="F57" s="334">
        <v>819706.18200000003</v>
      </c>
    </row>
    <row r="58" spans="1:6">
      <c r="A58" s="348" t="s">
        <v>48</v>
      </c>
      <c r="B58" s="348" t="s">
        <v>50</v>
      </c>
      <c r="C58" s="334">
        <v>21</v>
      </c>
      <c r="D58" s="334">
        <v>1405466</v>
      </c>
      <c r="E58" s="334">
        <v>35</v>
      </c>
      <c r="F58" s="334">
        <v>695986.03</v>
      </c>
    </row>
    <row r="59" spans="1:6">
      <c r="A59" s="348" t="s">
        <v>48</v>
      </c>
      <c r="B59" s="348" t="s">
        <v>51</v>
      </c>
      <c r="C59" s="334">
        <v>38</v>
      </c>
      <c r="D59" s="334">
        <v>882188.25</v>
      </c>
      <c r="E59" s="334">
        <v>117</v>
      </c>
      <c r="F59" s="334">
        <v>2781648.7140000002</v>
      </c>
    </row>
    <row r="60" spans="1:6">
      <c r="A60" s="348" t="s">
        <v>48</v>
      </c>
      <c r="B60" s="348" t="s">
        <v>52</v>
      </c>
      <c r="C60" s="334">
        <v>23</v>
      </c>
      <c r="D60" s="334">
        <v>1171642</v>
      </c>
      <c r="E60" s="334">
        <v>51</v>
      </c>
      <c r="F60" s="334">
        <v>1077014.4169999999</v>
      </c>
    </row>
    <row r="61" spans="1:6">
      <c r="A61" s="348" t="s">
        <v>48</v>
      </c>
      <c r="B61" s="348" t="s">
        <v>53</v>
      </c>
      <c r="C61" s="334">
        <v>68</v>
      </c>
      <c r="D61" s="334">
        <v>1571730</v>
      </c>
      <c r="E61" s="334">
        <v>160</v>
      </c>
      <c r="F61" s="334">
        <v>1480503.939</v>
      </c>
    </row>
    <row r="62" spans="1:6">
      <c r="A62" s="348" t="s">
        <v>48</v>
      </c>
      <c r="B62" s="348" t="s">
        <v>54</v>
      </c>
      <c r="C62" s="334">
        <v>8</v>
      </c>
      <c r="D62" s="334">
        <v>1503468</v>
      </c>
      <c r="E62" s="334">
        <v>8</v>
      </c>
      <c r="F62" s="334">
        <v>317034</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3</v>
      </c>
      <c r="D65" s="334">
        <v>68104</v>
      </c>
      <c r="E65" s="334">
        <v>1</v>
      </c>
      <c r="F65" s="334">
        <v>2840</v>
      </c>
    </row>
    <row r="66" spans="1:6">
      <c r="A66" s="348" t="s">
        <v>55</v>
      </c>
      <c r="B66" s="348" t="s">
        <v>57</v>
      </c>
      <c r="C66" s="334">
        <v>0</v>
      </c>
      <c r="D66" s="334">
        <v>0</v>
      </c>
      <c r="E66" s="334">
        <v>15</v>
      </c>
      <c r="F66" s="334">
        <v>144808.18900000001</v>
      </c>
    </row>
    <row r="67" spans="1:6">
      <c r="A67" s="355" t="s">
        <v>55</v>
      </c>
      <c r="B67" s="355" t="s">
        <v>58</v>
      </c>
      <c r="C67" s="334">
        <v>0</v>
      </c>
      <c r="D67" s="334">
        <v>0</v>
      </c>
      <c r="E67" s="334">
        <v>0</v>
      </c>
      <c r="F67" s="334">
        <v>0</v>
      </c>
    </row>
    <row r="68" spans="1:6">
      <c r="A68" s="341" t="s">
        <v>55</v>
      </c>
      <c r="B68" s="341" t="s">
        <v>59</v>
      </c>
      <c r="C68" s="334">
        <v>0</v>
      </c>
      <c r="D68" s="334">
        <v>0</v>
      </c>
      <c r="E68" s="334">
        <v>5</v>
      </c>
      <c r="F68" s="334">
        <v>151222.96900000001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123513118</v>
      </c>
      <c r="E73" s="476"/>
    </row>
    <row r="74" spans="1:6">
      <c r="A74" s="348" t="s">
        <v>63</v>
      </c>
      <c r="B74" s="348" t="s">
        <v>651</v>
      </c>
      <c r="C74" s="1307" t="s">
        <v>653</v>
      </c>
      <c r="D74" s="476">
        <v>12211774.5</v>
      </c>
      <c r="E74" s="476"/>
    </row>
    <row r="75" spans="1:6">
      <c r="A75" s="348" t="s">
        <v>64</v>
      </c>
      <c r="B75" s="348" t="s">
        <v>650</v>
      </c>
      <c r="C75" s="1307" t="s">
        <v>654</v>
      </c>
      <c r="D75" s="476">
        <v>9362270</v>
      </c>
      <c r="E75" s="476"/>
    </row>
    <row r="76" spans="1:6">
      <c r="A76" s="348" t="s">
        <v>64</v>
      </c>
      <c r="B76" s="348" t="s">
        <v>651</v>
      </c>
      <c r="C76" s="1307" t="s">
        <v>655</v>
      </c>
      <c r="D76" s="476">
        <v>100376.5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563469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5348.298723506824</v>
      </c>
    </row>
    <row r="92" spans="1:6">
      <c r="A92" s="341" t="s">
        <v>68</v>
      </c>
      <c r="B92" s="342">
        <v>1252.9517970594225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496</v>
      </c>
    </row>
    <row r="98" spans="1:6">
      <c r="A98" s="348" t="s">
        <v>71</v>
      </c>
      <c r="B98" s="334">
        <v>3</v>
      </c>
    </row>
    <row r="99" spans="1:6">
      <c r="A99" s="348" t="s">
        <v>72</v>
      </c>
      <c r="B99" s="334">
        <v>71</v>
      </c>
    </row>
    <row r="100" spans="1:6">
      <c r="A100" s="348" t="s">
        <v>73</v>
      </c>
      <c r="B100" s="334">
        <v>218</v>
      </c>
    </row>
    <row r="101" spans="1:6">
      <c r="A101" s="348" t="s">
        <v>74</v>
      </c>
      <c r="B101" s="334">
        <v>67</v>
      </c>
    </row>
    <row r="102" spans="1:6">
      <c r="A102" s="348" t="s">
        <v>75</v>
      </c>
      <c r="B102" s="334">
        <v>49</v>
      </c>
    </row>
    <row r="103" spans="1:6">
      <c r="A103" s="348" t="s">
        <v>76</v>
      </c>
      <c r="B103" s="334">
        <v>75</v>
      </c>
    </row>
    <row r="104" spans="1:6">
      <c r="A104" s="348" t="s">
        <v>77</v>
      </c>
      <c r="B104" s="334">
        <v>3050</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37</v>
      </c>
      <c r="C123" s="334">
        <v>44</v>
      </c>
    </row>
    <row r="124" spans="1:6">
      <c r="A124" s="341" t="s">
        <v>88</v>
      </c>
      <c r="B124" s="334">
        <v>2</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221</v>
      </c>
    </row>
    <row r="130" spans="1:6">
      <c r="A130" s="348" t="s">
        <v>294</v>
      </c>
      <c r="B130" s="334">
        <v>1</v>
      </c>
    </row>
    <row r="131" spans="1:6">
      <c r="A131" s="348" t="s">
        <v>295</v>
      </c>
      <c r="B131" s="334">
        <v>0</v>
      </c>
    </row>
    <row r="132" spans="1:6">
      <c r="A132" s="341" t="s">
        <v>296</v>
      </c>
      <c r="B132" s="342">
        <v>47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34938.503780156825</v>
      </c>
      <c r="C3" s="43" t="s">
        <v>169</v>
      </c>
      <c r="D3" s="43"/>
      <c r="E3" s="154"/>
      <c r="F3" s="43"/>
      <c r="G3" s="43"/>
      <c r="H3" s="43"/>
      <c r="I3" s="43"/>
      <c r="J3" s="43"/>
      <c r="K3" s="96"/>
    </row>
    <row r="4" spans="1:11">
      <c r="A4" s="383" t="s">
        <v>170</v>
      </c>
      <c r="B4" s="49">
        <f>IF(ISERROR('SEAP template'!B78+'SEAP template'!C78),0,'SEAP template'!B78+'SEAP template'!C78)</f>
        <v>6691.2505205662465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21.388235294117649</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0.17928733425674817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30.554621848739504</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128.57142857142858</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975.226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975.226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0.17928733425674817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174.8456698378715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16377.47085</v>
      </c>
      <c r="C5" s="17">
        <f>IF(ISERROR('Eigen informatie GS &amp; warmtenet'!B59),0,'Eigen informatie GS &amp; warmtenet'!B59)</f>
        <v>0</v>
      </c>
      <c r="D5" s="30">
        <f>(SUM(HH_hh_gas_kWh,HH_rest_gas_kWh)/1000)*0.902</f>
        <v>35238.636814700003</v>
      </c>
      <c r="E5" s="17">
        <f>B46*B57</f>
        <v>8741.7813322213624</v>
      </c>
      <c r="F5" s="17">
        <f>B51*B62</f>
        <v>25784.180628035345</v>
      </c>
      <c r="G5" s="18"/>
      <c r="H5" s="17"/>
      <c r="I5" s="17"/>
      <c r="J5" s="17">
        <f>B50*B61+C50*C61</f>
        <v>0</v>
      </c>
      <c r="K5" s="17"/>
      <c r="L5" s="17"/>
      <c r="M5" s="17"/>
      <c r="N5" s="17">
        <f>B48*B59+C48*C59</f>
        <v>14275.68526527432</v>
      </c>
      <c r="O5" s="17">
        <f>B69*B70*B71</f>
        <v>527.73288635695042</v>
      </c>
      <c r="P5" s="17">
        <f>B77*B78*B79/1000-B77*B78*B79/1000/B80</f>
        <v>905.92050046091197</v>
      </c>
    </row>
    <row r="6" spans="1:16">
      <c r="A6" s="16" t="s">
        <v>615</v>
      </c>
      <c r="B6" s="809">
        <f>kWh_PV_kleiner_dan_10kW</f>
        <v>5348.298723506824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21725.769573506823</v>
      </c>
      <c r="C8" s="21">
        <f>C5</f>
        <v>0</v>
      </c>
      <c r="D8" s="21">
        <f>D5</f>
        <v>35238.636814700003</v>
      </c>
      <c r="E8" s="21">
        <f>E5</f>
        <v>8741.7813322213624</v>
      </c>
      <c r="F8" s="21">
        <f>F5</f>
        <v>25784.180628035345</v>
      </c>
      <c r="G8" s="21"/>
      <c r="H8" s="21"/>
      <c r="I8" s="21"/>
      <c r="J8" s="21">
        <f>J5</f>
        <v>0</v>
      </c>
      <c r="K8" s="21"/>
      <c r="L8" s="21">
        <f>L5</f>
        <v>0</v>
      </c>
      <c r="M8" s="21">
        <f>M5</f>
        <v>0</v>
      </c>
      <c r="N8" s="21">
        <f>N5</f>
        <v>14275.68526527432</v>
      </c>
      <c r="O8" s="21">
        <f>O5</f>
        <v>527.73288635695042</v>
      </c>
      <c r="P8" s="21">
        <f>P5</f>
        <v>905.92050046091197</v>
      </c>
    </row>
    <row r="9" spans="1:16">
      <c r="B9" s="19"/>
      <c r="C9" s="19"/>
      <c r="D9" s="258"/>
      <c r="E9" s="19"/>
      <c r="F9" s="19"/>
      <c r="G9" s="19"/>
      <c r="H9" s="19"/>
      <c r="I9" s="19"/>
      <c r="J9" s="19"/>
      <c r="K9" s="19"/>
      <c r="L9" s="19"/>
      <c r="M9" s="19"/>
      <c r="N9" s="19"/>
      <c r="O9" s="19"/>
      <c r="P9" s="19"/>
    </row>
    <row r="10" spans="1:16">
      <c r="A10" s="24" t="s">
        <v>213</v>
      </c>
      <c r="B10" s="25">
        <f ca="1">'EF ele_warmte'!B12</f>
        <v>0.17928733425674817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3895.155311510407</v>
      </c>
      <c r="C12" s="23">
        <f ca="1">C10*C8</f>
        <v>0</v>
      </c>
      <c r="D12" s="23">
        <f>D8*D10</f>
        <v>7118.2046365694014</v>
      </c>
      <c r="E12" s="23">
        <f>E10*E8</f>
        <v>1984.3843624142494</v>
      </c>
      <c r="F12" s="23">
        <f>F10*F8</f>
        <v>6884.3762276854377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496</v>
      </c>
      <c r="C18" s="166" t="s">
        <v>110</v>
      </c>
      <c r="D18" s="228"/>
      <c r="E18" s="15"/>
    </row>
    <row r="19" spans="1:7">
      <c r="A19" s="171" t="s">
        <v>71</v>
      </c>
      <c r="B19" s="37">
        <f>aantalw2001_ander</f>
        <v>3</v>
      </c>
      <c r="C19" s="166" t="s">
        <v>110</v>
      </c>
      <c r="D19" s="229"/>
      <c r="E19" s="15"/>
    </row>
    <row r="20" spans="1:7">
      <c r="A20" s="171" t="s">
        <v>72</v>
      </c>
      <c r="B20" s="37">
        <f>aantalw2001_propaan</f>
        <v>71</v>
      </c>
      <c r="C20" s="167">
        <f>IF(ISERROR(B20/SUM($B$20,$B$21,$B$22)*100),0,B20/SUM($B$20,$B$21,$B$22)*100)</f>
        <v>19.943820224719101</v>
      </c>
      <c r="D20" s="229"/>
      <c r="E20" s="15"/>
    </row>
    <row r="21" spans="1:7">
      <c r="A21" s="171" t="s">
        <v>73</v>
      </c>
      <c r="B21" s="37">
        <f>aantalw2001_elektriciteit</f>
        <v>218</v>
      </c>
      <c r="C21" s="167">
        <f>IF(ISERROR(B21/SUM($B$20,$B$21,$B$22)*100),0,B21/SUM($B$20,$B$21,$B$22)*100)</f>
        <v>61.235955056179783</v>
      </c>
      <c r="D21" s="229"/>
      <c r="E21" s="15"/>
    </row>
    <row r="22" spans="1:7">
      <c r="A22" s="171" t="s">
        <v>74</v>
      </c>
      <c r="B22" s="37">
        <f>aantalw2001_hout</f>
        <v>67</v>
      </c>
      <c r="C22" s="167">
        <f>IF(ISERROR(B22/SUM($B$20,$B$21,$B$22)*100),0,B22/SUM($B$20,$B$21,$B$22)*100)</f>
        <v>18.820224719101123</v>
      </c>
      <c r="D22" s="229"/>
      <c r="E22" s="15"/>
    </row>
    <row r="23" spans="1:7">
      <c r="A23" s="171" t="s">
        <v>75</v>
      </c>
      <c r="B23" s="37">
        <f>aantalw2001_niet_gespec</f>
        <v>49</v>
      </c>
      <c r="C23" s="166" t="s">
        <v>110</v>
      </c>
      <c r="D23" s="228"/>
      <c r="E23" s="15"/>
    </row>
    <row r="24" spans="1:7">
      <c r="A24" s="171" t="s">
        <v>76</v>
      </c>
      <c r="B24" s="37">
        <f>aantalw2001_steenkool</f>
        <v>75</v>
      </c>
      <c r="C24" s="166" t="s">
        <v>110</v>
      </c>
      <c r="D24" s="229"/>
      <c r="E24" s="15"/>
    </row>
    <row r="25" spans="1:7">
      <c r="A25" s="171" t="s">
        <v>77</v>
      </c>
      <c r="B25" s="37">
        <f>aantalw2001_stookolie</f>
        <v>3050</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4952</v>
      </c>
      <c r="C28" s="36"/>
      <c r="D28" s="228"/>
    </row>
    <row r="29" spans="1:7" s="15" customFormat="1">
      <c r="A29" s="230" t="s">
        <v>837</v>
      </c>
      <c r="B29" s="37">
        <f>SUM(HH_hh_gas_aantal,HH_rest_gas_aantal)</f>
        <v>2507</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2507</v>
      </c>
      <c r="C32" s="167">
        <f>IF(ISERROR(B32/SUM($B$32,$B$34,$B$35,$B$36,$B$38,$B$39)*100),0,B32/SUM($B$32,$B$34,$B$35,$B$36,$B$38,$B$39)*100)</f>
        <v>51.520756267981916</v>
      </c>
      <c r="D32" s="233"/>
      <c r="G32" s="15"/>
    </row>
    <row r="33" spans="1:7">
      <c r="A33" s="171" t="s">
        <v>71</v>
      </c>
      <c r="B33" s="34" t="s">
        <v>110</v>
      </c>
      <c r="C33" s="167"/>
      <c r="D33" s="233"/>
      <c r="G33" s="15"/>
    </row>
    <row r="34" spans="1:7">
      <c r="A34" s="171" t="s">
        <v>72</v>
      </c>
      <c r="B34" s="33">
        <f>IF((($B$28-$B$32-$B$39-$B$77-$B$38)*C20/100)&lt;0,0,($B$28-$B$32-$B$39-$B$77-$B$38)*C20/100)</f>
        <v>223.15140449438204</v>
      </c>
      <c r="C34" s="167">
        <f>IF(ISERROR(B34/SUM($B$32,$B$34,$B$35,$B$36,$B$38,$B$39)*100),0,B34/SUM($B$32,$B$34,$B$35,$B$36,$B$38,$B$39)*100)</f>
        <v>4.5859310418080979</v>
      </c>
      <c r="D34" s="233"/>
      <c r="G34" s="15"/>
    </row>
    <row r="35" spans="1:7">
      <c r="A35" s="171" t="s">
        <v>73</v>
      </c>
      <c r="B35" s="33">
        <f>IF((($B$28-$B$32-$B$39-$B$77-$B$38)*C21/100)&lt;0,0,($B$28-$B$32-$B$39-$B$77-$B$38)*C21/100)</f>
        <v>685.16910112359562</v>
      </c>
      <c r="C35" s="167">
        <f>IF(ISERROR(B35/SUM($B$32,$B$34,$B$35,$B$36,$B$38,$B$39)*100),0,B35/SUM($B$32,$B$34,$B$35,$B$36,$B$38,$B$39)*100)</f>
        <v>14.080746015692473</v>
      </c>
      <c r="D35" s="233"/>
      <c r="G35" s="15"/>
    </row>
    <row r="36" spans="1:7">
      <c r="A36" s="171" t="s">
        <v>74</v>
      </c>
      <c r="B36" s="33">
        <f>IF((($B$28-$B$32-$B$39-$B$77-$B$38)*C22/100)&lt;0,0,($B$28-$B$32-$B$39-$B$77-$B$38)*C22/100)</f>
        <v>210.57949438202249</v>
      </c>
      <c r="C36" s="167">
        <f>IF(ISERROR(B36/SUM($B$32,$B$34,$B$35,$B$36,$B$38,$B$39)*100),0,B36/SUM($B$32,$B$34,$B$35,$B$36,$B$38,$B$39)*100)</f>
        <v>4.3275687295935565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1240.0999999999999</v>
      </c>
      <c r="C39" s="167">
        <f>IF(ISERROR(B39/SUM($B$32,$B$34,$B$35,$B$36,$B$38,$B$39)*100),0,B39/SUM($B$32,$B$34,$B$35,$B$36,$B$38,$B$39)*100)</f>
        <v>25.484997944923961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2507</v>
      </c>
      <c r="C44" s="34" t="s">
        <v>110</v>
      </c>
      <c r="D44" s="174"/>
    </row>
    <row r="45" spans="1:7">
      <c r="A45" s="171" t="s">
        <v>71</v>
      </c>
      <c r="B45" s="33" t="str">
        <f t="shared" si="0"/>
        <v>-</v>
      </c>
      <c r="C45" s="34" t="s">
        <v>110</v>
      </c>
      <c r="D45" s="174"/>
    </row>
    <row r="46" spans="1:7">
      <c r="A46" s="171" t="s">
        <v>72</v>
      </c>
      <c r="B46" s="33">
        <f t="shared" si="0"/>
        <v>223.15140449438204</v>
      </c>
      <c r="C46" s="34" t="s">
        <v>110</v>
      </c>
      <c r="D46" s="174"/>
    </row>
    <row r="47" spans="1:7">
      <c r="A47" s="171" t="s">
        <v>73</v>
      </c>
      <c r="B47" s="33">
        <f t="shared" si="0"/>
        <v>685.16910112359562</v>
      </c>
      <c r="C47" s="34" t="s">
        <v>110</v>
      </c>
      <c r="D47" s="174"/>
    </row>
    <row r="48" spans="1:7">
      <c r="A48" s="171" t="s">
        <v>74</v>
      </c>
      <c r="B48" s="33">
        <f t="shared" si="0"/>
        <v>210.57949438202249</v>
      </c>
      <c r="C48" s="33">
        <f>B48*10</f>
        <v>2105.7949438202249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1240.0999999999999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266</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7171.8932819999991</v>
      </c>
      <c r="C5" s="17">
        <f>IF(ISERROR('Eigen informatie GS &amp; warmtenet'!B60),0,'Eigen informatie GS &amp; warmtenet'!B60)</f>
        <v>0</v>
      </c>
      <c r="D5" s="30">
        <f>SUM(D6:D12)</f>
        <v>6277.8394063000005</v>
      </c>
      <c r="E5" s="17">
        <f>SUM(E6:E12)</f>
        <v>108.78318840127504</v>
      </c>
      <c r="F5" s="17">
        <f>SUM(F6:F12)</f>
        <v>798.60325469326915</v>
      </c>
      <c r="G5" s="18"/>
      <c r="H5" s="17"/>
      <c r="I5" s="17"/>
      <c r="J5" s="17">
        <f>SUM(J6:J12)</f>
        <v>1.3915376921918115E-2</v>
      </c>
      <c r="K5" s="17"/>
      <c r="L5" s="17"/>
      <c r="M5" s="17"/>
      <c r="N5" s="17">
        <f>SUM(N6:N12)</f>
        <v>550.47154652775441</v>
      </c>
      <c r="O5" s="17">
        <f>B38*B39*B40</f>
        <v>4.8972607658411542</v>
      </c>
      <c r="P5" s="17">
        <f>B46*B47*B48/1000-B46*B47*B48/1000/B49</f>
        <v>0</v>
      </c>
      <c r="R5" s="32"/>
    </row>
    <row r="6" spans="1:18">
      <c r="A6" s="32" t="s">
        <v>53</v>
      </c>
      <c r="B6" s="37">
        <f>B26</f>
        <v>1480.5039389999999</v>
      </c>
      <c r="C6" s="33"/>
      <c r="D6" s="37">
        <f>IF(ISERROR(TER_kantoor_gas_kWh/1000),0,TER_kantoor_gas_kWh/1000)*0.902</f>
        <v>1417.70046</v>
      </c>
      <c r="E6" s="33">
        <f>$C$26*'E Balans VL '!I12/100/3.6*1000000</f>
        <v>11.91314051017318</v>
      </c>
      <c r="F6" s="33">
        <f>$C$26*('E Balans VL '!L12+'E Balans VL '!N12)/100/3.6*1000000</f>
        <v>181.00718094556353</v>
      </c>
      <c r="G6" s="34"/>
      <c r="H6" s="33"/>
      <c r="I6" s="33"/>
      <c r="J6" s="33">
        <f>$C$26*('E Balans VL '!D12+'E Balans VL '!E12)/100/3.6*1000000</f>
        <v>0</v>
      </c>
      <c r="K6" s="33"/>
      <c r="L6" s="33"/>
      <c r="M6" s="33"/>
      <c r="N6" s="33">
        <f>$C$26*'E Balans VL '!Y12/100/3.6*1000000</f>
        <v>0.79569796028454887</v>
      </c>
      <c r="O6" s="33"/>
      <c r="P6" s="33"/>
      <c r="R6" s="32"/>
    </row>
    <row r="7" spans="1:18">
      <c r="A7" s="32" t="s">
        <v>52</v>
      </c>
      <c r="B7" s="37">
        <f t="shared" ref="B7:B12" si="0">B27</f>
        <v>1077.0144169999999</v>
      </c>
      <c r="C7" s="33"/>
      <c r="D7" s="37">
        <f>IF(ISERROR(TER_horeca_gas_kWh/1000),0,TER_horeca_gas_kWh/1000)*0.902</f>
        <v>1056.8210840000002</v>
      </c>
      <c r="E7" s="33">
        <f>$C$27*'E Balans VL '!I9/100/3.6*1000000</f>
        <v>11.564490153537552</v>
      </c>
      <c r="F7" s="33">
        <f>$C$27*('E Balans VL '!L9+'E Balans VL '!N9)/100/3.6*1000000</f>
        <v>129.53871817346285</v>
      </c>
      <c r="G7" s="34"/>
      <c r="H7" s="33"/>
      <c r="I7" s="33"/>
      <c r="J7" s="33">
        <f>$C$27*('E Balans VL '!D9+'E Balans VL '!E9)/100/3.6*1000000</f>
        <v>0</v>
      </c>
      <c r="K7" s="33"/>
      <c r="L7" s="33"/>
      <c r="M7" s="33"/>
      <c r="N7" s="33">
        <f>$C$27*'E Balans VL '!Y9/100/3.6*1000000</f>
        <v>0.16146628965627016</v>
      </c>
      <c r="O7" s="33"/>
      <c r="P7" s="33"/>
      <c r="R7" s="32"/>
    </row>
    <row r="8" spans="1:18">
      <c r="A8" s="6" t="s">
        <v>51</v>
      </c>
      <c r="B8" s="37">
        <f t="shared" si="0"/>
        <v>2781.6487139999999</v>
      </c>
      <c r="C8" s="33"/>
      <c r="D8" s="37">
        <f>IF(ISERROR(TER_handel_gas_kWh/1000),0,TER_handel_gas_kWh/1000)*0.902</f>
        <v>795.73380150000003</v>
      </c>
      <c r="E8" s="33">
        <f>$C$28*'E Balans VL '!I13/100/3.6*1000000</f>
        <v>74.650935548833402</v>
      </c>
      <c r="F8" s="33">
        <f>$C$28*('E Balans VL '!L13+'E Balans VL '!N13)/100/3.6*1000000</f>
        <v>265.45501993956003</v>
      </c>
      <c r="G8" s="34"/>
      <c r="H8" s="33"/>
      <c r="I8" s="33"/>
      <c r="J8" s="33">
        <f>$C$28*('E Balans VL '!D13+'E Balans VL '!E13)/100/3.6*1000000</f>
        <v>0</v>
      </c>
      <c r="K8" s="33"/>
      <c r="L8" s="33"/>
      <c r="M8" s="33"/>
      <c r="N8" s="33">
        <f>$C$28*'E Balans VL '!Y13/100/3.6*1000000</f>
        <v>1.1026771786477501</v>
      </c>
      <c r="O8" s="33"/>
      <c r="P8" s="33"/>
      <c r="R8" s="32"/>
    </row>
    <row r="9" spans="1:18">
      <c r="A9" s="32" t="s">
        <v>50</v>
      </c>
      <c r="B9" s="37">
        <f t="shared" si="0"/>
        <v>695.98603000000003</v>
      </c>
      <c r="C9" s="33"/>
      <c r="D9" s="37">
        <f>IF(ISERROR(TER_gezond_gas_kWh/1000),0,TER_gezond_gas_kWh/1000)*0.902</f>
        <v>1267.7303319999999</v>
      </c>
      <c r="E9" s="33">
        <f>$C$29*'E Balans VL '!I10/100/3.6*1000000</f>
        <v>1.3045044431121946</v>
      </c>
      <c r="F9" s="33">
        <f>$C$29*('E Balans VL '!L10+'E Balans VL '!N10)/100/3.6*1000000</f>
        <v>57.216402049205684</v>
      </c>
      <c r="G9" s="34"/>
      <c r="H9" s="33"/>
      <c r="I9" s="33"/>
      <c r="J9" s="33">
        <f>$C$29*('E Balans VL '!D10+'E Balans VL '!E10)/100/3.6*1000000</f>
        <v>0</v>
      </c>
      <c r="K9" s="33"/>
      <c r="L9" s="33"/>
      <c r="M9" s="33"/>
      <c r="N9" s="33">
        <f>$C$29*'E Balans VL '!Y10/100/3.6*1000000</f>
        <v>5.4152905935921698</v>
      </c>
      <c r="O9" s="33"/>
      <c r="P9" s="33"/>
      <c r="R9" s="32"/>
    </row>
    <row r="10" spans="1:18">
      <c r="A10" s="32" t="s">
        <v>49</v>
      </c>
      <c r="B10" s="37">
        <f t="shared" si="0"/>
        <v>819.70618200000001</v>
      </c>
      <c r="C10" s="33"/>
      <c r="D10" s="37">
        <f>IF(ISERROR(TER_ander_gas_kWh/1000),0,TER_ander_gas_kWh/1000)*0.902</f>
        <v>383.72559280000002</v>
      </c>
      <c r="E10" s="33">
        <f>$C$30*'E Balans VL '!I14/100/3.6*1000000</f>
        <v>1.2635853855074048</v>
      </c>
      <c r="F10" s="33">
        <f>$C$30*('E Balans VL '!L14+'E Balans VL '!N14)/100/3.6*1000000</f>
        <v>127.25961104783286</v>
      </c>
      <c r="G10" s="34"/>
      <c r="H10" s="33"/>
      <c r="I10" s="33"/>
      <c r="J10" s="33">
        <f>$C$30*('E Balans VL '!D14+'E Balans VL '!E14)/100/3.6*1000000</f>
        <v>1.3915376921918115E-2</v>
      </c>
      <c r="K10" s="33"/>
      <c r="L10" s="33"/>
      <c r="M10" s="33"/>
      <c r="N10" s="33">
        <f>$C$30*'E Balans VL '!Y14/100/3.6*1000000</f>
        <v>542.29133862526987</v>
      </c>
      <c r="O10" s="33"/>
      <c r="P10" s="33"/>
      <c r="R10" s="32"/>
    </row>
    <row r="11" spans="1:18">
      <c r="A11" s="32" t="s">
        <v>54</v>
      </c>
      <c r="B11" s="37">
        <f t="shared" si="0"/>
        <v>317.03399999999999</v>
      </c>
      <c r="C11" s="33"/>
      <c r="D11" s="37">
        <f>IF(ISERROR(TER_onderwijs_gas_kWh/1000),0,TER_onderwijs_gas_kWh/1000)*0.902</f>
        <v>1356.128136</v>
      </c>
      <c r="E11" s="33">
        <f>$C$31*'E Balans VL '!I11/100/3.6*1000000</f>
        <v>8.0865323601112902</v>
      </c>
      <c r="F11" s="33">
        <f>$C$31*('E Balans VL '!L11+'E Balans VL '!N11)/100/3.6*1000000</f>
        <v>38.126322537644135</v>
      </c>
      <c r="G11" s="34"/>
      <c r="H11" s="33"/>
      <c r="I11" s="33"/>
      <c r="J11" s="33">
        <f>$C$31*('E Balans VL '!D11+'E Balans VL '!E11)/100/3.6*1000000</f>
        <v>0</v>
      </c>
      <c r="K11" s="33"/>
      <c r="L11" s="33"/>
      <c r="M11" s="33"/>
      <c r="N11" s="33">
        <f>$C$31*'E Balans VL '!Y11/100/3.6*1000000</f>
        <v>0.70507588030374413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90</v>
      </c>
      <c r="C13" s="247">
        <f ca="1">'lokale energieproductie'!O91+'lokale energieproductie'!O60</f>
        <v>128.57142857142858</v>
      </c>
      <c r="D13" s="310">
        <f ca="1">('lokale energieproductie'!P60+'lokale energieproductie'!P91)*(-1)</f>
        <v>-257.14285714285717</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7261.8932819999991</v>
      </c>
      <c r="C16" s="21">
        <f t="shared" ca="1" si="1"/>
        <v>128.57142857142858</v>
      </c>
      <c r="D16" s="21">
        <f t="shared" ca="1" si="1"/>
        <v>6020.6965491571436</v>
      </c>
      <c r="E16" s="21">
        <f t="shared" si="1"/>
        <v>108.78318840127504</v>
      </c>
      <c r="F16" s="21">
        <f t="shared" ca="1" si="1"/>
        <v>798.60325469326915</v>
      </c>
      <c r="G16" s="21">
        <f t="shared" si="1"/>
        <v>0</v>
      </c>
      <c r="H16" s="21">
        <f t="shared" si="1"/>
        <v>0</v>
      </c>
      <c r="I16" s="21">
        <f t="shared" si="1"/>
        <v>0</v>
      </c>
      <c r="J16" s="21">
        <f t="shared" si="1"/>
        <v>1.3915376921918115E-2</v>
      </c>
      <c r="K16" s="21">
        <f t="shared" si="1"/>
        <v>0</v>
      </c>
      <c r="L16" s="21">
        <f t="shared" ca="1" si="1"/>
        <v>0</v>
      </c>
      <c r="M16" s="21">
        <f t="shared" si="1"/>
        <v>0</v>
      </c>
      <c r="N16" s="21">
        <f t="shared" ca="1" si="1"/>
        <v>550.47154652775441</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0.17928733425674817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1301.9654881867677</v>
      </c>
      <c r="C20" s="23">
        <f t="shared" ref="C20:P20" ca="1" si="2">C16*C18</f>
        <v>30.554621848739504</v>
      </c>
      <c r="D20" s="23">
        <f t="shared" ca="1" si="2"/>
        <v>1216.1807029297431</v>
      </c>
      <c r="E20" s="23">
        <f t="shared" si="2"/>
        <v>24.693783767089435</v>
      </c>
      <c r="F20" s="23">
        <f t="shared" ca="1" si="2"/>
        <v>213.22706900310288</v>
      </c>
      <c r="G20" s="23">
        <f t="shared" si="2"/>
        <v>0</v>
      </c>
      <c r="H20" s="23">
        <f t="shared" si="2"/>
        <v>0</v>
      </c>
      <c r="I20" s="23">
        <f t="shared" si="2"/>
        <v>0</v>
      </c>
      <c r="J20" s="23">
        <f t="shared" si="2"/>
        <v>4.9260434303590121E-3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1480.5039389999999</v>
      </c>
      <c r="C26" s="39">
        <f>IF(ISERROR(B26*3.6/1000000/'E Balans VL '!Z12*100),0,B26*3.6/1000000/'E Balans VL '!Z12*100)</f>
        <v>3.1407536560323655E-2</v>
      </c>
      <c r="D26" s="237" t="s">
        <v>716</v>
      </c>
      <c r="F26" s="6"/>
    </row>
    <row r="27" spans="1:18">
      <c r="A27" s="231" t="s">
        <v>52</v>
      </c>
      <c r="B27" s="33">
        <f>IF(ISERROR(TER_horeca_ele_kWh/1000),0,TER_horeca_ele_kWh/1000)</f>
        <v>1077.0144169999999</v>
      </c>
      <c r="C27" s="39">
        <f>IF(ISERROR(B27*3.6/1000000/'E Balans VL '!Z9*100),0,B27*3.6/1000000/'E Balans VL '!Z9*100)</f>
        <v>8.1108726339375603E-2</v>
      </c>
      <c r="D27" s="237" t="s">
        <v>716</v>
      </c>
      <c r="F27" s="6"/>
    </row>
    <row r="28" spans="1:18">
      <c r="A28" s="171" t="s">
        <v>51</v>
      </c>
      <c r="B28" s="33">
        <f>IF(ISERROR(TER_handel_ele_kWh/1000),0,TER_handel_ele_kWh/1000)</f>
        <v>2781.6487139999999</v>
      </c>
      <c r="C28" s="39">
        <f>IF(ISERROR(B28*3.6/1000000/'E Balans VL '!Z13*100),0,B28*3.6/1000000/'E Balans VL '!Z13*100)</f>
        <v>8.0741406017031669E-2</v>
      </c>
      <c r="D28" s="237" t="s">
        <v>716</v>
      </c>
      <c r="F28" s="6"/>
    </row>
    <row r="29" spans="1:18">
      <c r="A29" s="231" t="s">
        <v>50</v>
      </c>
      <c r="B29" s="33">
        <f>IF(ISERROR(TER_gezond_ele_kWh/1000),0,TER_gezond_ele_kWh/1000)</f>
        <v>695.98603000000003</v>
      </c>
      <c r="C29" s="39">
        <f>IF(ISERROR(B29*3.6/1000000/'E Balans VL '!Z10*100),0,B29*3.6/1000000/'E Balans VL '!Z10*100)</f>
        <v>7.019102112264583E-2</v>
      </c>
      <c r="D29" s="237" t="s">
        <v>716</v>
      </c>
      <c r="F29" s="6"/>
    </row>
    <row r="30" spans="1:18">
      <c r="A30" s="231" t="s">
        <v>49</v>
      </c>
      <c r="B30" s="33">
        <f>IF(ISERROR(TER_ander_ele_kWh/1000),0,TER_ander_ele_kWh/1000)</f>
        <v>819.70618200000001</v>
      </c>
      <c r="C30" s="39">
        <f>IF(ISERROR(B30*3.6/1000000/'E Balans VL '!Z14*100),0,B30*3.6/1000000/'E Balans VL '!Z14*100)</f>
        <v>5.948086634685356E-2</v>
      </c>
      <c r="D30" s="237" t="s">
        <v>716</v>
      </c>
      <c r="F30" s="6"/>
    </row>
    <row r="31" spans="1:18">
      <c r="A31" s="231" t="s">
        <v>54</v>
      </c>
      <c r="B31" s="33">
        <f>IF(ISERROR(TER_onderwijs_ele_kWh/1000),0,TER_onderwijs_ele_kWh/1000)</f>
        <v>317.03399999999999</v>
      </c>
      <c r="C31" s="39">
        <f>IF(ISERROR(B31*3.6/1000000/'E Balans VL '!Z11*100),0,B31*3.6/1000000/'E Balans VL '!Z11*100)</f>
        <v>9.0367600225626926E-2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3514.0251069999995</v>
      </c>
      <c r="C5" s="17">
        <f>IF(ISERROR('Eigen informatie GS &amp; warmtenet'!B61),0,'Eigen informatie GS &amp; warmtenet'!B61)</f>
        <v>0</v>
      </c>
      <c r="D5" s="30">
        <f>SUM(D6:D15)</f>
        <v>2542.770116612</v>
      </c>
      <c r="E5" s="17">
        <f>SUM(E6:E15)</f>
        <v>378.91534392473005</v>
      </c>
      <c r="F5" s="17">
        <f>SUM(F6:F15)</f>
        <v>1270.5592107058592</v>
      </c>
      <c r="G5" s="18"/>
      <c r="H5" s="17"/>
      <c r="I5" s="17"/>
      <c r="J5" s="17">
        <f>SUM(J6:J15)</f>
        <v>5.8420693620951729</v>
      </c>
      <c r="K5" s="17"/>
      <c r="L5" s="17"/>
      <c r="M5" s="17"/>
      <c r="N5" s="17">
        <f>SUM(N6:N15)</f>
        <v>149.91215032734436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1359.2929999999999</v>
      </c>
      <c r="C8" s="33"/>
      <c r="D8" s="37">
        <f>IF( ISERROR(IND_metaal_Gas_kWH/1000),0,IND_metaal_Gas_kWH/1000)*0.902</f>
        <v>1605.975466612</v>
      </c>
      <c r="E8" s="33">
        <f>C30*'E Balans VL '!I18/100/3.6*1000000</f>
        <v>9.8063449540083454</v>
      </c>
      <c r="F8" s="33">
        <f>C30*'E Balans VL '!L18/100/3.6*1000000+C30*'E Balans VL '!N18/100/3.6*1000000</f>
        <v>128.56405419279099</v>
      </c>
      <c r="G8" s="34"/>
      <c r="H8" s="33"/>
      <c r="I8" s="33"/>
      <c r="J8" s="40">
        <f>C30*'E Balans VL '!D18/100/3.6*1000000+C30*'E Balans VL '!E18/100/3.6*1000000</f>
        <v>1.367184798520922</v>
      </c>
      <c r="K8" s="33"/>
      <c r="L8" s="33"/>
      <c r="M8" s="33"/>
      <c r="N8" s="33">
        <f>C30*'E Balans VL '!Y18/100/3.6*1000000</f>
        <v>17.185059854224683</v>
      </c>
      <c r="O8" s="33"/>
      <c r="P8" s="33"/>
      <c r="R8" s="32"/>
    </row>
    <row r="9" spans="1:18">
      <c r="A9" s="6" t="s">
        <v>32</v>
      </c>
      <c r="B9" s="37">
        <f t="shared" si="0"/>
        <v>1237.196774</v>
      </c>
      <c r="C9" s="33"/>
      <c r="D9" s="37">
        <f>IF( ISERROR(IND_andere_gas_kWh/1000),0,IND_andere_gas_kWh/1000)*0.902</f>
        <v>760.834294</v>
      </c>
      <c r="E9" s="33">
        <f>C31*'E Balans VL '!I19/100/3.6*1000000</f>
        <v>342.84376946886164</v>
      </c>
      <c r="F9" s="33">
        <f>C31*'E Balans VL '!L19/100/3.6*1000000+C31*'E Balans VL '!N19/100/3.6*1000000</f>
        <v>1025.3913598940339</v>
      </c>
      <c r="G9" s="34"/>
      <c r="H9" s="33"/>
      <c r="I9" s="33"/>
      <c r="J9" s="40">
        <f>C31*'E Balans VL '!D19/100/3.6*1000000+C31*'E Balans VL '!E19/100/3.6*1000000</f>
        <v>0</v>
      </c>
      <c r="K9" s="33"/>
      <c r="L9" s="33"/>
      <c r="M9" s="33"/>
      <c r="N9" s="33">
        <f>C31*'E Balans VL '!Y19/100/3.6*1000000</f>
        <v>89.805353237629888</v>
      </c>
      <c r="O9" s="33"/>
      <c r="P9" s="33"/>
      <c r="R9" s="32"/>
    </row>
    <row r="10" spans="1:18">
      <c r="A10" s="6" t="s">
        <v>40</v>
      </c>
      <c r="B10" s="37">
        <f t="shared" si="0"/>
        <v>375.861333</v>
      </c>
      <c r="C10" s="33"/>
      <c r="D10" s="37">
        <f>IF( ISERROR(IND_voed_gas_kWh/1000),0,IND_voed_gas_kWh/1000)*0.902</f>
        <v>150.11895799999999</v>
      </c>
      <c r="E10" s="33">
        <f>C32*'E Balans VL '!I20/100/3.6*1000000</f>
        <v>0.66540187180584964</v>
      </c>
      <c r="F10" s="33">
        <f>C32*'E Balans VL '!L20/100/3.6*1000000+C32*'E Balans VL '!N20/100/3.6*1000000</f>
        <v>20.299843211112769</v>
      </c>
      <c r="G10" s="34"/>
      <c r="H10" s="33"/>
      <c r="I10" s="33"/>
      <c r="J10" s="40">
        <f>C32*'E Balans VL '!D20/100/3.6*1000000+C32*'E Balans VL '!E20/100/3.6*1000000</f>
        <v>0</v>
      </c>
      <c r="K10" s="33"/>
      <c r="L10" s="33"/>
      <c r="M10" s="33"/>
      <c r="N10" s="33">
        <f>C32*'E Balans VL '!Y20/100/3.6*1000000</f>
        <v>21.840413936068963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541.67399999999998</v>
      </c>
      <c r="C15" s="33"/>
      <c r="D15" s="37">
        <f>IF( ISERROR(IND_rest_gas_kWh/1000),0,IND_rest_gas_kWh/1000)*0.902</f>
        <v>25.841398000000002</v>
      </c>
      <c r="E15" s="33">
        <f>C37*'E Balans VL '!I15/100/3.6*1000000</f>
        <v>25.599827630054239</v>
      </c>
      <c r="F15" s="33">
        <f>C37*'E Balans VL '!L15/100/3.6*1000000+C37*'E Balans VL '!N15/100/3.6*1000000</f>
        <v>96.303953407921441</v>
      </c>
      <c r="G15" s="34"/>
      <c r="H15" s="33"/>
      <c r="I15" s="33"/>
      <c r="J15" s="40">
        <f>C37*'E Balans VL '!D15/100/3.6*1000000+C37*'E Balans VL '!E15/100/3.6*1000000</f>
        <v>4.4748845635742507</v>
      </c>
      <c r="K15" s="33"/>
      <c r="L15" s="33"/>
      <c r="M15" s="33"/>
      <c r="N15" s="33">
        <f>C37*'E Balans VL '!Y15/100/3.6*1000000</f>
        <v>21.081323299420834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3514.0251069999995</v>
      </c>
      <c r="C18" s="21">
        <f>C5+C16</f>
        <v>0</v>
      </c>
      <c r="D18" s="21">
        <f>MAX((D5+D16),0)</f>
        <v>2542.770116612</v>
      </c>
      <c r="E18" s="21">
        <f>MAX((E5+E16),0)</f>
        <v>378.91534392473005</v>
      </c>
      <c r="F18" s="21">
        <f>MAX((F5+F16),0)</f>
        <v>1270.5592107058592</v>
      </c>
      <c r="G18" s="21"/>
      <c r="H18" s="21"/>
      <c r="I18" s="21"/>
      <c r="J18" s="21">
        <f>MAX((J5+J16),0)</f>
        <v>5.8420693620951729</v>
      </c>
      <c r="K18" s="21"/>
      <c r="L18" s="21">
        <f>MAX((L5+L16),0)</f>
        <v>0</v>
      </c>
      <c r="M18" s="21"/>
      <c r="N18" s="21">
        <f>MAX((N5+N16),0)</f>
        <v>149.91215032734436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0.17928733425674817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630.02019394531419</v>
      </c>
      <c r="C22" s="23">
        <f ca="1">C18*C20</f>
        <v>0</v>
      </c>
      <c r="D22" s="23">
        <f>D18*D20</f>
        <v>513.63956355562402</v>
      </c>
      <c r="E22" s="23">
        <f>E18*E20</f>
        <v>86.013783070913718</v>
      </c>
      <c r="F22" s="23">
        <f>F18*F20</f>
        <v>339.2393092584644</v>
      </c>
      <c r="G22" s="23"/>
      <c r="H22" s="23"/>
      <c r="I22" s="23"/>
      <c r="J22" s="23">
        <f>J18*J20</f>
        <v>2.0680925541816912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1359.2929999999999</v>
      </c>
      <c r="C30" s="39">
        <f>IF(ISERROR(B30*3.6/1000000/'E Balans VL '!Z18*100),0,B30*3.6/1000000/'E Balans VL '!Z18*100)</f>
        <v>7.8469863920337585E-2</v>
      </c>
      <c r="D30" s="237" t="s">
        <v>716</v>
      </c>
    </row>
    <row r="31" spans="1:18">
      <c r="A31" s="6" t="s">
        <v>32</v>
      </c>
      <c r="B31" s="37">
        <f>IF( ISERROR(IND_ander_ele_kWh/1000),0,IND_ander_ele_kWh/1000)</f>
        <v>1237.196774</v>
      </c>
      <c r="C31" s="39">
        <f>IF(ISERROR(B31*3.6/1000000/'E Balans VL '!Z19*100),0,B31*3.6/1000000/'E Balans VL '!Z19*100)</f>
        <v>6.2226987514136634E-2</v>
      </c>
      <c r="D31" s="237" t="s">
        <v>716</v>
      </c>
    </row>
    <row r="32" spans="1:18">
      <c r="A32" s="171" t="s">
        <v>40</v>
      </c>
      <c r="B32" s="37">
        <f>IF( ISERROR(IND_voed_ele_kWh/1000),0,IND_voed_ele_kWh/1000)</f>
        <v>375.861333</v>
      </c>
      <c r="C32" s="39">
        <f>IF(ISERROR(B32*3.6/1000000/'E Balans VL '!Z20*100),0,B32*3.6/1000000/'E Balans VL '!Z20*100)</f>
        <v>1.2518414346741053E-2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541.67399999999998</v>
      </c>
      <c r="C37" s="39">
        <f>IF(ISERROR(B37*3.6/1000000/'E Balans VL '!Z15*100),0,B37*3.6/1000000/'E Balans VL '!Z15*100)</f>
        <v>4.2265384786168972E-3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1119.451</v>
      </c>
      <c r="C5" s="17">
        <f>'Eigen informatie GS &amp; warmtenet'!B62</f>
        <v>0</v>
      </c>
      <c r="D5" s="30">
        <f>IF(ISERROR(SUM(LB_lb_gas_kWh,LB_rest_gas_kWh)/1000),0,SUM(LB_lb_gas_kWh,LB_rest_gas_kWh)/1000)*0.902</f>
        <v>1208.41842</v>
      </c>
      <c r="E5" s="17">
        <f>B17*'E Balans VL '!I25/3.6*1000000/100</f>
        <v>34.937696560601381</v>
      </c>
      <c r="F5" s="17">
        <f>B17*('E Balans VL '!L25/3.6*1000000+'E Balans VL '!N25/3.6*1000000)/100</f>
        <v>3956.2638434365017</v>
      </c>
      <c r="G5" s="18"/>
      <c r="H5" s="17"/>
      <c r="I5" s="17"/>
      <c r="J5" s="17">
        <f>('E Balans VL '!D25+'E Balans VL '!E25)/3.6*1000000*landbouw!B17/100</f>
        <v>308.41651382464772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1119.451</v>
      </c>
      <c r="C8" s="21">
        <f>C5+C6</f>
        <v>0</v>
      </c>
      <c r="D8" s="21">
        <f>MAX((D5+D6),0)</f>
        <v>1208.41842</v>
      </c>
      <c r="E8" s="21">
        <f>MAX((E5+E6),0)</f>
        <v>34.937696560601381</v>
      </c>
      <c r="F8" s="21">
        <f>MAX((F5+F6),0)</f>
        <v>3956.2638434365017</v>
      </c>
      <c r="G8" s="21"/>
      <c r="H8" s="21"/>
      <c r="I8" s="21"/>
      <c r="J8" s="21">
        <f>MAX((J5+J6),0)</f>
        <v>308.41651382464772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0.17928733425674817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200.70338562105101</v>
      </c>
      <c r="C12" s="23">
        <f ca="1">C8*C10</f>
        <v>0</v>
      </c>
      <c r="D12" s="23">
        <f>D8*D10</f>
        <v>244.10052084</v>
      </c>
      <c r="E12" s="23">
        <f>E8*E10</f>
        <v>7.9308571192565136</v>
      </c>
      <c r="F12" s="23">
        <f>F8*F10</f>
        <v>1056.322446197546</v>
      </c>
      <c r="G12" s="23"/>
      <c r="H12" s="23"/>
      <c r="I12" s="23"/>
      <c r="J12" s="23">
        <f>J8*J10</f>
        <v>109.17944589392529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0.16641441613491204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139.90150659093069</v>
      </c>
      <c r="C26" s="247">
        <f>B26*'GWP N2O_CH4'!B5</f>
        <v>2937.9316384095446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45.588907327612091</v>
      </c>
      <c r="C27" s="247">
        <f>B27*'GWP N2O_CH4'!B5</f>
        <v>957.36705387985387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1.4957483910378211</v>
      </c>
      <c r="C28" s="247">
        <f>B28*'GWP N2O_CH4'!B4</f>
        <v>463.68200122172453</v>
      </c>
      <c r="D28" s="50"/>
    </row>
    <row r="29" spans="1:4">
      <c r="A29" s="41" t="s">
        <v>276</v>
      </c>
      <c r="B29" s="247">
        <f>B34*'ha_N2O bodem landbouw'!B4</f>
        <v>12.100748555763793</v>
      </c>
      <c r="C29" s="247">
        <f>B29*'GWP N2O_CH4'!B4</f>
        <v>3751.2320522867758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2.6534762891999996E-3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2.5977138354E-4</v>
      </c>
      <c r="C5" s="463" t="s">
        <v>210</v>
      </c>
      <c r="D5" s="448">
        <f>SUM(D6:D11)</f>
        <v>9.5225847442202401E-4</v>
      </c>
      <c r="E5" s="448">
        <f>SUM(E6:E11)</f>
        <v>7.4375054662654985E-4</v>
      </c>
      <c r="F5" s="461" t="s">
        <v>210</v>
      </c>
      <c r="G5" s="448">
        <f>SUM(G6:G11)</f>
        <v>0.31758461730459542</v>
      </c>
      <c r="H5" s="448">
        <f>SUM(H6:H11)</f>
        <v>7.1276287051876885E-2</v>
      </c>
      <c r="I5" s="463" t="s">
        <v>210</v>
      </c>
      <c r="J5" s="463" t="s">
        <v>210</v>
      </c>
      <c r="K5" s="463" t="s">
        <v>210</v>
      </c>
      <c r="L5" s="463" t="s">
        <v>210</v>
      </c>
      <c r="M5" s="448">
        <f>SUM(M6:M11)</f>
        <v>2.2996585598088894E-2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2.4146814568999999E-4</v>
      </c>
      <c r="C6" s="449"/>
      <c r="D6" s="917">
        <f>vkm_2011_GW_PW*SUMIFS(TableVerdeelsleutelVkm[CNG],TableVerdeelsleutelVkm[Voertuigtype],"Lichte voertuigen")*SUMIFS(TableECFTransport[EnergieConsumptieFactor (PJ per km)],TableECFTransport[Index],CONCATENATE($A6,"_CNG_CNG"))</f>
        <v>8.3962587243242403E-4</v>
      </c>
      <c r="E6" s="917">
        <f>vkm_2011_GW_PW*SUMIFS(TableVerdeelsleutelVkm[LPG],TableVerdeelsleutelVkm[Voertuigtype],"Lichte voertuigen")*SUMIFS(TableECFTransport[EnergieConsumptieFactor (PJ per km)],TableECFTransport[Index],CONCATENATE($A6,"_LPG_LPG"))</f>
        <v>6.6148685476079988E-4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0.18006441326512129</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6.3010585045533418E-2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1.4525258960041714E-2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0.11552523218948361</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2.9104528772733256E-5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6.6615458140051051E-3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1.8303237850000001E-5</v>
      </c>
      <c r="C8" s="449"/>
      <c r="D8" s="451">
        <f>vkm_2011_NGW_PW*SUMIFS(TableVerdeelsleutelVkm[CNG],TableVerdeelsleutelVkm[Voertuigtype],"Lichte voertuigen")*SUMIFS(TableECFTransport[EnergieConsumptieFactor (PJ per km)],TableECFTransport[Index],CONCATENATE($A8,"_CNG_CNG"))</f>
        <v>1.126326019896E-4</v>
      </c>
      <c r="E8" s="451">
        <f>vkm_2011_NGW_PW*SUMIFS(TableVerdeelsleutelVkm[LPG],TableVerdeelsleutelVkm[Voertuigtype],"Lichte voertuigen")*SUMIFS(TableECFTransport[EnergieConsumptieFactor (PJ per km)],TableECFTransport[Index],CONCATENATE($A8,"_LPG_LPG"))</f>
        <v>8.2263691865750002E-5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2.0780145288814857E-2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8.2363086989143304E-3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1.7397312656021362E-3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1.2148265611756862E-3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2.8877865639744249E-7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7.0049558439940618E-5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72.15871765</v>
      </c>
      <c r="C14" s="21"/>
      <c r="D14" s="21">
        <f t="shared" ref="D14:M14" si="0">((D5)*10^9/3600)+D12</f>
        <v>264.51624289500666</v>
      </c>
      <c r="E14" s="21">
        <f t="shared" si="0"/>
        <v>206.5973740629305</v>
      </c>
      <c r="F14" s="21"/>
      <c r="G14" s="21">
        <f t="shared" si="0"/>
        <v>88217.949251276499</v>
      </c>
      <c r="H14" s="21">
        <f t="shared" si="0"/>
        <v>19798.968625521356</v>
      </c>
      <c r="I14" s="21"/>
      <c r="J14" s="21"/>
      <c r="K14" s="21"/>
      <c r="L14" s="21"/>
      <c r="M14" s="21">
        <f t="shared" si="0"/>
        <v>6387.9404439135815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0.17928733425674817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12.937144130853865</v>
      </c>
      <c r="C18" s="23"/>
      <c r="D18" s="23">
        <f t="shared" ref="D18:M18" si="1">D14*D16</f>
        <v>53.432281064791347</v>
      </c>
      <c r="E18" s="23">
        <f t="shared" si="1"/>
        <v>46.897603912285227</v>
      </c>
      <c r="F18" s="23"/>
      <c r="G18" s="23">
        <f t="shared" si="1"/>
        <v>23554.192450090828</v>
      </c>
      <c r="H18" s="23">
        <f t="shared" si="1"/>
        <v>4929.9431877548177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6.9171805753210835E-3</v>
      </c>
      <c r="H50" s="321">
        <f t="shared" si="2"/>
        <v>0</v>
      </c>
      <c r="I50" s="321">
        <f t="shared" si="2"/>
        <v>0</v>
      </c>
      <c r="J50" s="321">
        <f t="shared" si="2"/>
        <v>0</v>
      </c>
      <c r="K50" s="321">
        <f t="shared" si="2"/>
        <v>0</v>
      </c>
      <c r="L50" s="321">
        <f t="shared" si="2"/>
        <v>0</v>
      </c>
      <c r="M50" s="321">
        <f t="shared" si="2"/>
        <v>3.8445766172033228E-4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6.9171805753210835E-3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3.8445766172033228E-4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1921.4390487003011</v>
      </c>
      <c r="H54" s="21">
        <f t="shared" si="3"/>
        <v>0</v>
      </c>
      <c r="I54" s="21">
        <f t="shared" si="3"/>
        <v>0</v>
      </c>
      <c r="J54" s="21">
        <f t="shared" si="3"/>
        <v>0</v>
      </c>
      <c r="K54" s="21">
        <f t="shared" si="3"/>
        <v>0</v>
      </c>
      <c r="L54" s="21">
        <f t="shared" si="3"/>
        <v>0</v>
      </c>
      <c r="M54" s="21">
        <f t="shared" si="3"/>
        <v>106.79379492231452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0.17928733425674817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513.02422600298041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6601.2505205662465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90</v>
      </c>
      <c r="C8" s="574">
        <f>B101</f>
        <v>105.88235294117648</v>
      </c>
      <c r="D8" s="575"/>
      <c r="E8" s="575">
        <f>E101</f>
        <v>0</v>
      </c>
      <c r="F8" s="576"/>
      <c r="G8" s="577"/>
      <c r="H8" s="575">
        <f>I101</f>
        <v>0</v>
      </c>
      <c r="I8" s="575">
        <f>G101+F101</f>
        <v>0</v>
      </c>
      <c r="J8" s="575">
        <f>H101+D101+C101</f>
        <v>0</v>
      </c>
      <c r="K8" s="575"/>
      <c r="L8" s="575"/>
      <c r="M8" s="575"/>
      <c r="N8" s="578"/>
      <c r="O8" s="579">
        <f>C8*$C$12+D8*$D$12+E8*$E$12+F8*$F$12+G8*$G$12+H8*$H$12+I8*$I$12+J8*$J$12</f>
        <v>21.388235294117649</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6691.2505205662465</v>
      </c>
      <c r="C10" s="589">
        <f t="shared" ref="C10:L10" si="0">SUM(C8:C9)</f>
        <v>105.88235294117648</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21.388235294117649</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128.57142857142858</v>
      </c>
      <c r="C17" s="605">
        <f>B102</f>
        <v>151.2605042016807</v>
      </c>
      <c r="D17" s="606"/>
      <c r="E17" s="606">
        <f>E102</f>
        <v>0</v>
      </c>
      <c r="F17" s="607"/>
      <c r="G17" s="608"/>
      <c r="H17" s="605">
        <f>I102</f>
        <v>0</v>
      </c>
      <c r="I17" s="606">
        <f>G102+F102</f>
        <v>0</v>
      </c>
      <c r="J17" s="606">
        <f>H102+D102+C102</f>
        <v>0</v>
      </c>
      <c r="K17" s="606"/>
      <c r="L17" s="606"/>
      <c r="M17" s="606"/>
      <c r="N17" s="1005"/>
      <c r="O17" s="609">
        <f>C17*$C$22+E17*$E$22+H17*$H$22+I17*$I$22+J17*$J$22+D17*$D$22+F17*$F$22+G17*$G$22+K17*$K$22+L17*$L$22</f>
        <v>30.554621848739504</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128.57142857142858</v>
      </c>
      <c r="C20" s="588">
        <f>SUM(C17:C19)</f>
        <v>151.2605042016807</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30.554621848739504</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51">
      <c r="A28" s="618"/>
      <c r="B28" s="817">
        <v>72038</v>
      </c>
      <c r="C28" s="817">
        <v>3940</v>
      </c>
      <c r="D28" s="666"/>
      <c r="E28" s="665"/>
      <c r="F28" s="665" t="s">
        <v>886</v>
      </c>
      <c r="G28" s="665" t="s">
        <v>887</v>
      </c>
      <c r="H28" s="665" t="s">
        <v>888</v>
      </c>
      <c r="I28" s="665" t="s">
        <v>889</v>
      </c>
      <c r="J28" s="816">
        <v>41957</v>
      </c>
      <c r="K28" s="816">
        <v>42212</v>
      </c>
      <c r="L28" s="665" t="s">
        <v>890</v>
      </c>
      <c r="M28" s="665">
        <v>20</v>
      </c>
      <c r="N28" s="665">
        <v>90</v>
      </c>
      <c r="O28" s="665">
        <v>128.57142857142858</v>
      </c>
      <c r="P28" s="665">
        <v>257.14285714285717</v>
      </c>
      <c r="Q28" s="665">
        <v>0</v>
      </c>
      <c r="R28" s="665">
        <v>0</v>
      </c>
      <c r="S28" s="665">
        <v>0</v>
      </c>
      <c r="T28" s="665">
        <v>0</v>
      </c>
      <c r="U28" s="665">
        <v>0</v>
      </c>
      <c r="V28" s="665">
        <v>0</v>
      </c>
      <c r="W28" s="665">
        <v>0</v>
      </c>
      <c r="X28" s="665">
        <v>1500</v>
      </c>
      <c r="Y28" s="665" t="s">
        <v>50</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20</v>
      </c>
      <c r="N58" s="623">
        <f>SUM(N28:N57)</f>
        <v>90</v>
      </c>
      <c r="O58" s="623">
        <f t="shared" ref="O58:W58" si="2">SUM(O28:O57)</f>
        <v>128.57142857142858</v>
      </c>
      <c r="P58" s="623">
        <f t="shared" si="2"/>
        <v>257.14285714285717</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20</v>
      </c>
      <c r="N60" s="623">
        <f ca="1">SUMIF($Z$28:AD57,"tertiair",N28:N57)</f>
        <v>90</v>
      </c>
      <c r="O60" s="623">
        <f ca="1">SUMIF($Z$28:AE57,"tertiair",O28:O57)</f>
        <v>128.57142857142858</v>
      </c>
      <c r="P60" s="623">
        <f ca="1">SUMIF($Z$28:AF57,"tertiair",P28:P57)</f>
        <v>257.14285714285717</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105.88235294117648</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151.2605042016807</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2019-08-12T08:41:42Z</dcterms:modified>
</cp:coreProperties>
</file>