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<sst xmlns="http://schemas.openxmlformats.org/spreadsheetml/2006/main" count="2402" uniqueCount="898">
  <si>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</si>
  <si>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</si>
  <si>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</si>
  <si>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</si>
  <si>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</si>
  <si>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</si>
  <si>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</si>
  <si>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</si>
  <si>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</si>
  <si>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</si>
  <si>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</si>
  <si>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</si>
  <si>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</si>
  <si>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</si>
  <si>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</si>
  <si>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</si>
  <si>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</si>
  <si>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</si>
  <si>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</si>
  <si>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</si>
  <si>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</si>
  <si>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</si>
  <si>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</si>
  <si>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</si>
  <si>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</si>
  <si>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</si>
  <si>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</si>
  <si>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</si>
  <si>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</si>
  <si>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</si>
  <si>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</si>
  <si>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</si>
  <si>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</si>
  <si>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</si>
  <si>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</si>
  <si>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</si>
  <si>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</si>
  <si>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</si>
  <si>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</si>
  <si>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</si>
  <si>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</si>
  <si>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</si>
  <si>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</si>
  <si>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</si>
  <si>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</si>
  <si>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</si>
  <si>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</si>
  <si>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</si>
  <si>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</si>
  <si>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</si>
  <si>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</si>
  <si>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</si>
  <si>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</si>
  <si>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</si>
  <si>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</si>
  <si>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</si>
  <si>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</si>
  <si>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</si>
  <si>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</si>
  <si>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</si>
  <si>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</si>
  <si>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</si>
  <si>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</si>
  <si>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</si>
  <si>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</si>
  <si>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</si>
  <si>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</si>
  <si>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</si>
  <si>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</si>
  <si>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</si>
  <si>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</si>
  <si>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</si>
  <si>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</si>
  <si>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</si>
  <si>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</si>
  <si>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</si>
  <si>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</si>
  <si>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</si>
  <si>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</si>
  <si>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</si>
  <si>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</si>
  <si>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</si>
  <si>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</si>
  <si>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</si>
  <si>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</si>
  <si>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</si>
  <si>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</si>
  <si>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</si>
  <si>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</si>
  <si>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</si>
  <si>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</si>
  <si>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</si>
  <si>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</si>
  <si>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</si>
  <si>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</si>
  <si>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</si>
  <si>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</si>
  <si>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</si>
  <si>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</si>
  <si>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</si>
  <si>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</si>
  <si>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</si>
  <si>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</si>
  <si>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</si>
  <si>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</si>
  <si>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</si>
  <si>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</si>
  <si>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</si>
  <si>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</si>
  <si>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</si>
  <si>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</si>
  <si>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</si>
  <si>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</si>
  <si>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</si>
  <si>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</si>
  <si>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</si>
  <si>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</si>
  <si>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</si>
  <si>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</si>
  <si>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</si>
  <si>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</si>
  <si>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</si>
  <si>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</si>
  <si>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</si>
  <si>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</si>
  <si>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</si>
  <si>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</si>
  <si>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</si>
  <si>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</si>
  <si>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</si>
  <si>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</si>
  <si>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</si>
  <si>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</si>
  <si>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</si>
  <si>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</si>
  <si>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</si>
  <si>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</si>
  <si>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</si>
  <si>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</si>
  <si>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</si>
  <si>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</si>
  <si>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</si>
  <si>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</si>
  <si>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</si>
  <si>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</si>
  <si>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</si>
  <si>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</si>
  <si>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</si>
  <si>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</si>
  <si>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</si>
  <si>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</si>
  <si>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</si>
  <si>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</si>
  <si>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</si>
  <si>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</si>
  <si>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</si>
  <si>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</si>
  <si>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</si>
  <si>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</si>
  <si>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</si>
  <si>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</si>
  <si>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</si>
  <si>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</si>
  <si>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</si>
  <si>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</si>
  <si>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</si>
  <si>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</si>
  <si>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</si>
  <si>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</si>
  <si>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</si>
  <si>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</si>
  <si>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</si>
  <si>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</si>
  <si>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</si>
  <si>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</si>
  <si>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</si>
  <si>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</si>
  <si>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</si>
  <si>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</si>
  <si>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</si>
  <si>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</si>
  <si>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</si>
  <si>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</si>
  <si>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</si>
  <si>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</si>
  <si>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</si>
  <si>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</si>
  <si>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</si>
  <si>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</si>
  <si>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</si>
  <si>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</si>
  <si>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</si>
  <si>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</si>
  <si>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</si>
  <si>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</si>
  <si>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</si>
  <si>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</si>
  <si>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</si>
  <si>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</si>
  <si>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</si>
  <si>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</si>
  <si>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</si>
  <si>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</si>
  <si>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</si>
  <si>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</si>
  <si>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</si>
  <si>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</si>
  <si>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</si>
  <si>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</si>
  <si>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</si>
  <si>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</si>
  <si>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</si>
  <si>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</si>
  <si>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</si>
  <si>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</si>
  <si>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</si>
  <si>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</si>
  <si>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</si>
  <si>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</si>
  <si>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</si>
  <si>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</si>
  <si>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</si>
  <si>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</si>
  <si>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</si>
  <si>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</si>
  <si>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</si>
  <si>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</si>
  <si>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</si>
  <si>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</si>
  <si>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</si>
  <si>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</si>
  <si>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</si>
  <si>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</si>
  <si>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</si>
  <si>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</si>
  <si>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</si>
  <si>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</si>
  <si>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</si>
  <si>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</si>
  <si>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</si>
  <si>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</si>
  <si>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</si>
  <si>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</si>
  <si>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</si>
  <si>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</si>
  <si>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</si>
  <si>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</si>
  <si>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</si>
  <si>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</si>
  <si>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</si>
  <si>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</si>
  <si>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</si>
  <si>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</si>
  <si>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</si>
  <si>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</si>
  <si>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</si>
  <si>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</si>
  <si>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</si>
  <si>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</si>
  <si>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</si>
  <si>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</si>
  <si>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</si>
  <si>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</si>
  <si>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</si>
  <si>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</si>
  <si>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</si>
  <si>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</si>
  <si>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</si>
  <si>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</si>
  <si>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</si>
  <si>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</si>
  <si>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</si>
  <si>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</si>
  <si>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</si>
  <si>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</si>
  <si>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</si>
  <si>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</si>
  <si>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</si>
  <si>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</si>
  <si>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</si>
  <si>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</si>
  <si>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</si>
  <si>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</si>
  <si>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</si>
  <si>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</si>
  <si>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</si>
  <si>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</si>
  <si>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</si>
  <si>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</si>
  <si>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</si>
  <si>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</si>
  <si>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</si>
  <si>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</si>
  <si>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</si>
  <si>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</si>
  <si>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</si>
  <si>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</si>
  <si>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</si>
  <si>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</si>
  <si>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</si>
  <si>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</si>
  <si>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</si>
  <si>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</si>
  <si>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</si>
  <si>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</si>
  <si>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</si>
  <si>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</si>
  <si>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</si>
  <si>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</si>
  <si>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</si>
  <si>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</si>
  <si>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</si>
  <si>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</si>
  <si>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</si>
  <si>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</si>
  <si>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</si>
  <si>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</si>
  <si>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</si>
  <si>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</si>
  <si>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</si>
  <si>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</si>
  <si>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</si>
  <si>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</si>
  <si>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</si>
  <si>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</si>
  <si>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</si>
  <si>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</si>
  <si>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</si>
  <si>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</si>
  <si>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</si>
  <si>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</si>
  <si>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</si>
  <si>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</si>
  <si>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</si>
  <si>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</si>
  <si>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</si>
  <si>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</si>
  <si>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</si>
  <si>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</si>
  <si>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</si>
  <si>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</si>
  <si>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</si>
  <si>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</si>
  <si>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</si>
  <si>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</si>
  <si>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</si>
  <si>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</si>
  <si>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</si>
  <si>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</si>
  <si>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</si>
  <si>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</si>
  <si>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</si>
  <si>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</si>
  <si>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</si>
  <si>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</si>
  <si>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</si>
  <si>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</si>
  <si>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</si>
  <si>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</si>
  <si>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</si>
  <si>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</si>
  <si>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</si>
  <si>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</si>
  <si>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</si>
  <si>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</si>
  <si>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</si>
  <si>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</si>
  <si>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</si>
  <si>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</si>
  <si>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</si>
  <si>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</si>
  <si>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</si>
  <si>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</si>
  <si>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</si>
  <si>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</si>
  <si>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</si>
  <si>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</si>
  <si>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</si>
  <si>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</si>
  <si>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</si>
  <si>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</si>
  <si>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</si>
  <si>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</si>
  <si>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</si>
  <si>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</si>
  <si>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</si>
  <si>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</si>
  <si>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</si>
  <si>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</si>
  <si>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</si>
  <si>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</si>
  <si>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</si>
  <si>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</si>
  <si>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</si>
  <si>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</si>
  <si>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</si>
  <si>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</si>
  <si>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</si>
  <si>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</si>
  <si>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</si>
  <si>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</si>
  <si>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</si>
  <si>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</si>
  <si>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</si>
  <si>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</si>
  <si>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</si>
  <si>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</si>
  <si>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</si>
  <si>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</si>
  <si>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</si>
  <si>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</si>
  <si>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</si>
  <si>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</si>
  <si>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</si>
  <si>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</si>
  <si>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</si>
  <si>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</si>
  <si>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</si>
  <si>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</si>
  <si>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</si>
  <si>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</si>
  <si>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</si>
  <si>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</si>
  <si>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</si>
  <si>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</si>
  <si>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</si>
  <si>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</si>
  <si>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</si>
  <si>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</si>
  <si>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</si>
  <si>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</si>
  <si>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</si>
  <si>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</si>
  <si>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</si>
  <si>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</si>
  <si>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</si>
  <si>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</si>
  <si>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</si>
  <si>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</si>
  <si>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</si>
  <si>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</si>
  <si>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</si>
  <si>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</si>
  <si>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</si>
  <si>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</si>
  <si>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</si>
  <si>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</si>
  <si>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</si>
  <si>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</si>
  <si>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</si>
  <si>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</si>
  <si>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</si>
  <si>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</si>
  <si>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</si>
  <si>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</si>
  <si>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</si>
  <si>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</si>
  <si>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</si>
  <si>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</si>
  <si>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</si>
  <si>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</si>
  <si>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</si>
  <si>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</si>
  <si>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</si>
  <si>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</si>
  <si>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</si>
  <si>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</si>
  <si>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</si>
  <si>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</si>
  <si>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</si>
  <si>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</si>
  <si>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</si>
  <si>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</si>
  <si>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</si>
  <si>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</si>
  <si>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</si>
  <si>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</si>
  <si>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</si>
  <si>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</si>
  <si>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</si>
  <si>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</si>
  <si>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</si>
  <si>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</si>
  <si>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</si>
  <si>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</si>
  <si>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</si>
  <si>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</si>
  <si>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</si>
  <si>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</si>
  <si>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</si>
  <si>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</si>
  <si>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</si>
  <si>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</si>
  <si>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</si>
  <si>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</si>
  <si>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</si>
  <si>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</si>
  <si>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</si>
  <si>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</si>
  <si>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</si>
  <si>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</si>
  <si>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</si>
  <si>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</si>
  <si>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</si>
  <si>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</si>
  <si>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</si>
  <si>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</si>
  <si>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</si>
  <si>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</si>
  <si>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</si>
  <si>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</si>
  <si>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</si>
  <si>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</si>
  <si>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</si>
  <si>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</si>
  <si>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</si>
  <si>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</si>
  <si>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</si>
  <si>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</si>
  <si>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</si>
  <si>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</si>
  <si>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</si>
  <si>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</si>
  <si>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</si>
  <si>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</si>
  <si>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</si>
  <si>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</si>
  <si>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</si>
  <si>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</si>
  <si>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</si>
  <si>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</si>
  <si>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</si>
  <si>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</si>
  <si>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</si>
  <si>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</si>
  <si>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</si>
  <si>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</si>
  <si>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</si>
  <si>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</si>
  <si>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</si>
  <si>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</si>
  <si>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</si>
  <si>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</si>
  <si>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</si>
  <si>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</si>
  <si>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</si>
  <si>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</si>
  <si>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</si>
  <si>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</si>
  <si>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</si>
  <si>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</si>
  <si>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</si>
  <si>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</si>
  <si>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</si>
  <si>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</si>
  <si>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</si>
  <si>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</si>
  <si>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</si>
  <si>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</si>
  <si>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</si>
  <si>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</si>
  <si>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</si>
  <si>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</si>
  <si>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</si>
  <si>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</si>
  <si>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</si>
  <si>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</si>
  <si>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</si>
  <si>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</si>
  <si>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</si>
  <si>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</si>
  <si>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</si>
  <si>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</si>
  <si>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</si>
  <si>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</si>
  <si>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</si>
  <si>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</si>
  <si>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</si>
  <si>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</si>
  <si>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</si>
  <si>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</si>
  <si>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</si>
  <si>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</si>
  <si>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</si>
  <si>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</si>
  <si>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</si>
  <si>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</si>
  <si>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</si>
  <si>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</si>
  <si>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</si>
  <si>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</si>
  <si>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</si>
  <si>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</si>
  <si>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</si>
  <si>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</si>
  <si>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</si>
  <si>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</si>
  <si>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</si>
  <si>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</si>
  <si>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</si>
  <si>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</si>
  <si>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</si>
  <si>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</si>
  <si>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</si>
  <si>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</si>
  <si>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</si>
  <si>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</si>
  <si>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</si>
  <si>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</si>
  <si>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</si>
  <si>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</si>
  <si>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</si>
  <si>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</si>
  <si>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</si>
  <si>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</si>
  <si>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</si>
  <si>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</si>
  <si>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</si>
  <si>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</si>
  <si>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</si>
  <si>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</si>
  <si>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</si>
  <si>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</si>
  <si>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</si>
  <si>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</si>
  <si>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</si>
  <si>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</si>
  <si>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</si>
  <si>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</si>
  <si>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</si>
  <si>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</si>
  <si>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</si>
  <si>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</si>
  <si>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</si>
  <si>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</si>
  <si>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</si>
  <si>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</si>
  <si>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</si>
  <si>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</si>
  <si>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</si>
  <si>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</si>
  <si>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</si>
  <si>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</si>
  <si>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</si>
  <si>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</si>
  <si>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</si>
  <si>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</si>
  <si>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</si>
  <si>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</si>
  <si>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</si>
  <si>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</si>
  <si>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</si>
  <si>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</si>
  <si>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</si>
  <si>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</si>
  <si>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</si>
  <si>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</si>
  <si>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</si>
  <si>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</si>
  <si>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</si>
  <si>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</si>
  <si>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</si>
  <si>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</si>
  <si>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</si>
  <si>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</si>
  <si>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</si>
  <si>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</si>
  <si>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</si>
  <si>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</si>
  <si>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</si>
  <si>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</si>
  <si>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</si>
  <si>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</si>
  <si>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</si>
  <si>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</si>
  <si>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</si>
  <si>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</si>
  <si>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</si>
  <si>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</si>
  <si>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</si>
  <si>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</si>
  <si>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</si>
  <si>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</si>
  <si>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</si>
  <si>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</si>
  <si>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</si>
  <si>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</si>
  <si>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</si>
  <si>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</si>
  <si>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</si>
  <si>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</si>
  <si>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</si>
  <si>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</si>
  <si>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</si>
  <si>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</si>
  <si>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</si>
  <si>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</si>
  <si>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</si>
  <si>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</si>
  <si>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</si>
  <si>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</si>
  <si>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</si>
  <si>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</si>
  <si>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</si>
  <si>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</si>
  <si>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</si>
  <si>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</si>
  <si>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</si>
  <si>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</si>
  <si>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</si>
  <si>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</si>
  <si>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</si>
  <si>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</si>
  <si>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</si>
  <si>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</si>
  <si>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</si>
  <si>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</si>
  <si>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</si>
  <si>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</si>
  <si>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</si>
  <si>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</si>
  <si>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</si>
  <si>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</si>
  <si>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</si>
  <si>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</si>
  <si>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</si>
  <si>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</si>
  <si>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</si>
  <si>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</si>
  <si>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</si>
  <si>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</si>
  <si>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</si>
  <si>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</si>
  <si>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</si>
  <si>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</si>
  <si>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</si>
  <si>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</si>
  <si>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</si>
  <si>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</si>
  <si>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</si>
  <si>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</si>
  <si>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</si>
  <si>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</si>
  <si>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</si>
  <si>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</si>
  <si>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</si>
  <si>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</si>
  <si>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</si>
  <si>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</si>
  <si>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</si>
  <si>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</si>
  <si>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</si>
  <si>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</si>
  <si>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</si>
  <si>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</si>
  <si>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</si>
  <si>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</si>
  <si>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</si>
  <si>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</si>
  <si>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</si>
  <si>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</si>
  <si>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</si>
  <si>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</si>
  <si>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</si>
  <si>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</si>
  <si>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</si>
  <si>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</si>
  <si>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</si>
  <si>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</si>
  <si>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</si>
  <si>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</si>
  <si>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</si>
  <si>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</si>
  <si>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</si>
  <si>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</si>
  <si>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</si>
  <si>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</si>
  <si>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</si>
  <si>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</si>
  <si>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</si>
  <si>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</si>
  <si>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</si>
  <si>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</si>
  <si>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</si>
  <si>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</si>
  <si>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</si>
  <si>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</si>
  <si>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</si>
  <si>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</si>
  <si>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</si>
  <si>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</si>
  <si>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</si>
  <si>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</si>
  <si>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</si>
  <si>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</si>
  <si>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</si>
  <si>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</si>
  <si>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</si>
  <si>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</si>
  <si>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</si>
  <si>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</si>
  <si>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</si>
  <si>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</si>
  <si>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</si>
  <si>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</si>
  <si>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</si>
  <si>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</si>
  <si>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</si>
  <si>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</si>
  <si>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</si>
  <si>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</si>
  <si>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</si>
  <si>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</si>
  <si>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</si>
  <si>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</si>
  <si>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</si>
  <si>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</si>
  <si>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</si>
  <si>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</si>
  <si>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</si>
  <si>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</si>
  <si>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</si>
  <si>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</si>
  <si>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</si>
  <si>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</si>
  <si>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</si>
  <si>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</si>
  <si>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</si>
  <si>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</si>
  <si>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</si>
  <si>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</si>
  <si>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</si>
  <si>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</si>
  <si>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</si>
  <si>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</si>
  <si>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</si>
  <si>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</si>
  <si>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</si>
  <si>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</si>
  <si>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</si>
  <si>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</si>
  <si>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</si>
  <si>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</si>
  <si>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</si>
  <si>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</si>
  <si>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</si>
  <si>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</si>
  <si>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</si>
  <si>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</si>
  <si>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</si>
  <si>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</si>
  <si>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</si>
  <si>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</si>
  <si>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</si>
  <si>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</si>
  <si>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</si>
  <si>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</si>
  <si>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</si>
  <si>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</si>
  <si>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</si>
  <si>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</si>
  <si>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</si>
  <si>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</si>
  <si>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</si>
  <si>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</si>
  <si>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</si>
  <si>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</si>
  <si>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</si>
  <si>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</si>
  <si>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</si>
  <si>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</si>
  <si>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</si>
  <si>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</si>
  <si>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</si>
  <si>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</si>
  <si>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</si>
  <si>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</si>
  <si>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</si>
  <si>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71053</t>
  </si>
  <si>
    <t>SINT-TRUIDEN</t>
  </si>
  <si>
    <t>Mestbank (maart 2019)</t>
  </si>
  <si>
    <t>Fluvius (februari 2019)</t>
  </si>
  <si>
    <t>referentietaak LNE (2017); Jaarverslag De Lijn (2018)</t>
  </si>
  <si>
    <t>VEA (30 april 2019)</t>
  </si>
  <si>
    <t>VEA (mei 2018)</t>
  </si>
  <si>
    <t>VEA (mei 2019)</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</si>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</sst>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375694.17569929862</c:v>
                </c:pt>
                <c:pt idx="1">
                  <c:v>196705.57691535199</c:v>
                </c:pt>
                <c:pt idx="2">
                  <c:v>2482.1959999999999</c:v>
                </c:pt>
                <c:pt idx="3">
                  <c:v>55009.491201888115</c:v>
                </c:pt>
                <c:pt idx="4">
                  <c:v>169361.43154945821</c:v>
                </c:pt>
                <c:pt idx="5">
                  <c:v>257621.73323708717</c:v>
                </c:pt>
                <c:pt idx="6">
                  <c:v>5341.5289698804409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375694.17569929862</c:v>
                </c:pt>
                <c:pt idx="1">
                  <c:v>196705.57691535199</c:v>
                </c:pt>
                <c:pt idx="2">
                  <c:v>2482.1959999999999</c:v>
                </c:pt>
                <c:pt idx="3">
                  <c:v>55009.491201888115</c:v>
                </c:pt>
                <c:pt idx="4">
                  <c:v>169361.43154945821</c:v>
                </c:pt>
                <c:pt idx="5">
                  <c:v>257621.73323708717</c:v>
                </c:pt>
                <c:pt idx="6">
                  <c:v>5341.5289698804409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73387.108706625295</c:v>
                </c:pt>
                <c:pt idx="1">
                  <c:v>39038.502676208322</c:v>
                </c:pt>
                <c:pt idx="2">
                  <c:v>499.40193572443826</c:v>
                </c:pt>
                <c:pt idx="3">
                  <c:v>13818.633118471073</c:v>
                </c:pt>
                <c:pt idx="4">
                  <c:v>34588.946246585532</c:v>
                </c:pt>
                <c:pt idx="5">
                  <c:v>63956.411884690977</c:v>
                </c:pt>
                <c:pt idx="6">
                  <c:v>1351.0942661548243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73387.108706625295</c:v>
                </c:pt>
                <c:pt idx="1">
                  <c:v>39038.502676208322</c:v>
                </c:pt>
                <c:pt idx="2">
                  <c:v>499.40193572443826</c:v>
                </c:pt>
                <c:pt idx="3">
                  <c:v>13818.633118471073</c:v>
                </c:pt>
                <c:pt idx="4">
                  <c:v>34588.946246585532</c:v>
                </c:pt>
                <c:pt idx="5">
                  <c:v>63956.411884690977</c:v>
                </c:pt>
                <c:pt idx="6">
                  <c:v>1351.0942661548243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71053</v>
      </c>
      <c r="B6" s="415"/>
      <c r="C6" s="416"/>
    </row>
    <row r="7" spans="1:7" s="413" customFormat="1" ht="15.75" customHeight="1">
      <c r="A7" s="417" t="str">
        <f>txtMunicipality</f>
        <v>SINT-TRUIDEN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90451.699676999997</v>
      </c>
      <c r="D10" s="712">
        <f ca="1">tertiair!C16</f>
        <v>34.071428571428577</v>
      </c>
      <c r="E10" s="712">
        <f ca="1">tertiair!D16</f>
        <v>91450.502146599145</v>
      </c>
      <c r="F10" s="712">
        <f>tertiair!E16</f>
        <v>1328.209617951944</v>
      </c>
      <c r="G10" s="712">
        <f ca="1">tertiair!F16</f>
        <v>9576.5244110609456</v>
      </c>
      <c r="H10" s="712">
        <f>tertiair!G16</f>
        <v>0</v>
      </c>
      <c r="I10" s="712">
        <f>tertiair!H16</f>
        <v>0</v>
      </c>
      <c r="J10" s="712">
        <f>tertiair!I16</f>
        <v>0</v>
      </c>
      <c r="K10" s="712">
        <f>tertiair!J16</f>
        <v>0.19211140309142369</v>
      </c>
      <c r="L10" s="712">
        <f>tertiair!K16</f>
        <v>0</v>
      </c>
      <c r="M10" s="712">
        <f ca="1">tertiair!L16</f>
        <v>0</v>
      </c>
      <c r="N10" s="712">
        <f>tertiair!M16</f>
        <v>0</v>
      </c>
      <c r="O10" s="712">
        <f ca="1">tertiair!N16</f>
        <v>6188.9561078459365</v>
      </c>
      <c r="P10" s="712">
        <f>tertiair!O16</f>
        <v>0</v>
      </c>
      <c r="Q10" s="713">
        <f>tertiair!P16</f>
        <v>157.61741491948504</v>
      </c>
      <c r="R10" s="715">
        <f ca="1">SUM(C10:Q10)</f>
        <v>199187.77291535199</v>
      </c>
      <c r="S10" s="67"/>
    </row>
    <row r="11" spans="1:19" s="474" customFormat="1">
      <c r="A11" s="834" t="s">
        <v>224</v>
      </c>
      <c r="B11" s="839"/>
      <c r="C11" s="712">
        <f>huishoudens!B8</f>
        <v>64619.737402387502</v>
      </c>
      <c r="D11" s="712">
        <f>huishoudens!C8</f>
        <v>0</v>
      </c>
      <c r="E11" s="712">
        <f>huishoudens!D8</f>
        <v>189743.76640560004</v>
      </c>
      <c r="F11" s="712">
        <f>huishoudens!E8</f>
        <v>18259.325408153716</v>
      </c>
      <c r="G11" s="712">
        <f>huishoudens!F8</f>
        <v>67089.602155053348</v>
      </c>
      <c r="H11" s="712">
        <f>huishoudens!G8</f>
        <v>0</v>
      </c>
      <c r="I11" s="712">
        <f>huishoudens!H8</f>
        <v>0</v>
      </c>
      <c r="J11" s="712">
        <f>huishoudens!I8</f>
        <v>0</v>
      </c>
      <c r="K11" s="712">
        <f>huishoudens!J8</f>
        <v>0</v>
      </c>
      <c r="L11" s="712">
        <f>huishoudens!K8</f>
        <v>0</v>
      </c>
      <c r="M11" s="712">
        <f>huishoudens!L8</f>
        <v>0</v>
      </c>
      <c r="N11" s="712">
        <f>huishoudens!M8</f>
        <v>0</v>
      </c>
      <c r="O11" s="712">
        <f>huishoudens!N8</f>
        <v>33637.022541827151</v>
      </c>
      <c r="P11" s="712">
        <f>huishoudens!O8</f>
        <v>648.75433773955933</v>
      </c>
      <c r="Q11" s="713">
        <f>huishoudens!P8</f>
        <v>1695.9674485372886</v>
      </c>
      <c r="R11" s="715">
        <f>SUM(C11:Q11)</f>
        <v>375694.17569929862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103751.17147800002</v>
      </c>
      <c r="D13" s="712">
        <f>industrie!C18</f>
        <v>0</v>
      </c>
      <c r="E13" s="712">
        <f>industrie!D18</f>
        <v>47445.126802700004</v>
      </c>
      <c r="F13" s="712">
        <f>industrie!E18</f>
        <v>2179.6802067879335</v>
      </c>
      <c r="G13" s="712">
        <f>industrie!F18</f>
        <v>13482.237171854867</v>
      </c>
      <c r="H13" s="712">
        <f>industrie!G18</f>
        <v>0</v>
      </c>
      <c r="I13" s="712">
        <f>industrie!H18</f>
        <v>0</v>
      </c>
      <c r="J13" s="712">
        <f>industrie!I18</f>
        <v>0</v>
      </c>
      <c r="K13" s="712">
        <f>industrie!J18</f>
        <v>102.86657547302428</v>
      </c>
      <c r="L13" s="712">
        <f>industrie!K18</f>
        <v>0</v>
      </c>
      <c r="M13" s="712">
        <f>industrie!L18</f>
        <v>0</v>
      </c>
      <c r="N13" s="712">
        <f>industrie!M18</f>
        <v>0</v>
      </c>
      <c r="O13" s="712">
        <f>industrie!N18</f>
        <v>2400.3493146423734</v>
      </c>
      <c r="P13" s="712">
        <f>industrie!O18</f>
        <v>0</v>
      </c>
      <c r="Q13" s="713">
        <f>industrie!P18</f>
        <v>0</v>
      </c>
      <c r="R13" s="715">
        <f>SUM(C13:Q13)</f>
        <v>169361.43154945821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258822.60855738749</v>
      </c>
      <c r="D16" s="748">
        <f t="shared" ref="D16:R16" ca="1" si="0">SUM(D9:D15)</f>
        <v>34.071428571428577</v>
      </c>
      <c r="E16" s="748">
        <f t="shared" ca="1" si="0"/>
        <v>328639.39535489917</v>
      </c>
      <c r="F16" s="748">
        <f t="shared" si="0"/>
        <v>21767.215232893592</v>
      </c>
      <c r="G16" s="748">
        <f t="shared" ca="1" si="0"/>
        <v>90148.363737969165</v>
      </c>
      <c r="H16" s="748">
        <f t="shared" si="0"/>
        <v>0</v>
      </c>
      <c r="I16" s="748">
        <f t="shared" si="0"/>
        <v>0</v>
      </c>
      <c r="J16" s="748">
        <f t="shared" si="0"/>
        <v>0</v>
      </c>
      <c r="K16" s="748">
        <f t="shared" si="0"/>
        <v>103.0586868761157</v>
      </c>
      <c r="L16" s="748">
        <f t="shared" si="0"/>
        <v>0</v>
      </c>
      <c r="M16" s="748">
        <f t="shared" ca="1" si="0"/>
        <v>0</v>
      </c>
      <c r="N16" s="748">
        <f t="shared" si="0"/>
        <v>0</v>
      </c>
      <c r="O16" s="748">
        <f t="shared" ca="1" si="0"/>
        <v>42226.32796431546</v>
      </c>
      <c r="P16" s="748">
        <f t="shared" si="0"/>
        <v>648.75433773955933</v>
      </c>
      <c r="Q16" s="748">
        <f t="shared" si="0"/>
        <v>1853.5848634567737</v>
      </c>
      <c r="R16" s="748">
        <f t="shared" ca="1" si="0"/>
        <v>744243.38016410882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5060.2781503925999</v>
      </c>
      <c r="I19" s="712">
        <f>transport!H54</f>
        <v>0</v>
      </c>
      <c r="J19" s="712">
        <f>transport!I54</f>
        <v>0</v>
      </c>
      <c r="K19" s="712">
        <f>transport!J54</f>
        <v>0</v>
      </c>
      <c r="L19" s="712">
        <f>transport!K54</f>
        <v>0</v>
      </c>
      <c r="M19" s="712">
        <f>transport!L54</f>
        <v>0</v>
      </c>
      <c r="N19" s="712">
        <f>transport!M54</f>
        <v>281.25081948784054</v>
      </c>
      <c r="O19" s="712">
        <f>transport!N54</f>
        <v>0</v>
      </c>
      <c r="P19" s="712">
        <f>transport!O54</f>
        <v>0</v>
      </c>
      <c r="Q19" s="713">
        <f>transport!P54</f>
        <v>0</v>
      </c>
      <c r="R19" s="715">
        <f>SUM(C19:Q19)</f>
        <v>5341.5289698804409</v>
      </c>
      <c r="S19" s="67"/>
    </row>
    <row r="20" spans="1:19" s="474" customFormat="1">
      <c r="A20" s="834" t="s">
        <v>306</v>
      </c>
      <c r="B20" s="839"/>
      <c r="C20" s="712">
        <f>transport!B14</f>
        <v>164.84588890555554</v>
      </c>
      <c r="D20" s="712">
        <f>transport!C14</f>
        <v>0</v>
      </c>
      <c r="E20" s="712">
        <f>transport!D14</f>
        <v>686.23834556610677</v>
      </c>
      <c r="F20" s="712">
        <f>transport!E14</f>
        <v>525.70822872741655</v>
      </c>
      <c r="G20" s="712">
        <f>transport!F14</f>
        <v>0</v>
      </c>
      <c r="H20" s="712">
        <f>transport!G14</f>
        <v>190872.64059877614</v>
      </c>
      <c r="I20" s="712">
        <f>transport!H14</f>
        <v>51013.232908230828</v>
      </c>
      <c r="J20" s="712">
        <f>transport!I14</f>
        <v>0</v>
      </c>
      <c r="K20" s="712">
        <f>transport!J14</f>
        <v>0</v>
      </c>
      <c r="L20" s="712">
        <f>transport!K14</f>
        <v>0</v>
      </c>
      <c r="M20" s="712">
        <f>transport!L14</f>
        <v>0</v>
      </c>
      <c r="N20" s="712">
        <f>transport!M14</f>
        <v>14359.06726688112</v>
      </c>
      <c r="O20" s="712">
        <f>transport!N14</f>
        <v>0</v>
      </c>
      <c r="P20" s="712">
        <f>transport!O14</f>
        <v>0</v>
      </c>
      <c r="Q20" s="713">
        <f>transport!P14</f>
        <v>0</v>
      </c>
      <c r="R20" s="715">
        <f>SUM(C20:Q20)</f>
        <v>257621.73323708717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164.84588890555554</v>
      </c>
      <c r="D22" s="837">
        <f t="shared" ref="D22:R22" si="1">SUM(D18:D21)</f>
        <v>0</v>
      </c>
      <c r="E22" s="837">
        <f t="shared" si="1"/>
        <v>686.23834556610677</v>
      </c>
      <c r="F22" s="837">
        <f t="shared" si="1"/>
        <v>525.70822872741655</v>
      </c>
      <c r="G22" s="837">
        <f t="shared" si="1"/>
        <v>0</v>
      </c>
      <c r="H22" s="837">
        <f t="shared" si="1"/>
        <v>195932.91874916875</v>
      </c>
      <c r="I22" s="837">
        <f t="shared" si="1"/>
        <v>51013.232908230828</v>
      </c>
      <c r="J22" s="837">
        <f t="shared" si="1"/>
        <v>0</v>
      </c>
      <c r="K22" s="837">
        <f t="shared" si="1"/>
        <v>0</v>
      </c>
      <c r="L22" s="837">
        <f t="shared" si="1"/>
        <v>0</v>
      </c>
      <c r="M22" s="837">
        <f t="shared" si="1"/>
        <v>0</v>
      </c>
      <c r="N22" s="837">
        <f t="shared" si="1"/>
        <v>14640.318086368961</v>
      </c>
      <c r="O22" s="837">
        <f t="shared" si="1"/>
        <v>0</v>
      </c>
      <c r="P22" s="837">
        <f t="shared" si="1"/>
        <v>0</v>
      </c>
      <c r="Q22" s="837">
        <f t="shared" si="1"/>
        <v>0</v>
      </c>
      <c r="R22" s="837">
        <f t="shared" si="1"/>
        <v>262963.26220696763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9966.9879700000001</v>
      </c>
      <c r="D24" s="712">
        <f>+landbouw!C8</f>
        <v>0</v>
      </c>
      <c r="E24" s="712">
        <f>+landbouw!D8</f>
        <v>6761.022918738</v>
      </c>
      <c r="F24" s="712">
        <f>+landbouw!E8</f>
        <v>311.0664078365416</v>
      </c>
      <c r="G24" s="712">
        <f>+landbouw!F8</f>
        <v>35224.439599122765</v>
      </c>
      <c r="H24" s="712">
        <f>+landbouw!G8</f>
        <v>0</v>
      </c>
      <c r="I24" s="712">
        <f>+landbouw!H8</f>
        <v>0</v>
      </c>
      <c r="J24" s="712">
        <f>+landbouw!I8</f>
        <v>0</v>
      </c>
      <c r="K24" s="712">
        <f>+landbouw!J8</f>
        <v>2745.9743061908048</v>
      </c>
      <c r="L24" s="712">
        <f>+landbouw!K8</f>
        <v>0</v>
      </c>
      <c r="M24" s="712">
        <f>+landbouw!L8</f>
        <v>0</v>
      </c>
      <c r="N24" s="712">
        <f>+landbouw!M8</f>
        <v>0</v>
      </c>
      <c r="O24" s="712">
        <f>+landbouw!N8</f>
        <v>0</v>
      </c>
      <c r="P24" s="712">
        <f>+landbouw!O8</f>
        <v>0</v>
      </c>
      <c r="Q24" s="713">
        <f>+landbouw!P8</f>
        <v>0</v>
      </c>
      <c r="R24" s="715">
        <f>SUM(C24:Q24)</f>
        <v>55009.491201888115</v>
      </c>
      <c r="S24" s="67"/>
    </row>
    <row r="25" spans="1:19" s="474" customFormat="1" ht="15" thickBot="1">
      <c r="A25" s="856" t="s">
        <v>734</v>
      </c>
      <c r="B25" s="982"/>
      <c r="C25" s="983">
        <f>IF(Onbekend_ele_kWh="---",0,Onbekend_ele_kWh)/1000+IF(REST_rest_ele_kWh="---",0,REST_rest_ele_kWh)/1000</f>
        <v>1706.64175</v>
      </c>
      <c r="D25" s="983"/>
      <c r="E25" s="983">
        <f>IF(onbekend_gas_kWh="---",0,onbekend_gas_kWh)/1000+IF(REST_rest_gas_kWh="---",0,REST_rest_gas_kWh)/1000</f>
        <v>8857.4659749999992</v>
      </c>
      <c r="F25" s="983"/>
      <c r="G25" s="983"/>
      <c r="H25" s="983"/>
      <c r="I25" s="983"/>
      <c r="J25" s="983"/>
      <c r="K25" s="983"/>
      <c r="L25" s="983"/>
      <c r="M25" s="983"/>
      <c r="N25" s="983"/>
      <c r="O25" s="983"/>
      <c r="P25" s="983"/>
      <c r="Q25" s="984"/>
      <c r="R25" s="715">
        <f>SUM(C25:Q25)</f>
        <v>10564.107725</v>
      </c>
      <c r="S25" s="67"/>
    </row>
    <row r="26" spans="1:19" s="474" customFormat="1" ht="15.75" thickBot="1">
      <c r="A26" s="720" t="s">
        <v>735</v>
      </c>
      <c r="B26" s="842"/>
      <c r="C26" s="837">
        <f>SUM(C24:C25)</f>
        <v>11673.629720000001</v>
      </c>
      <c r="D26" s="837">
        <f t="shared" ref="D26:R26" si="2">SUM(D24:D25)</f>
        <v>0</v>
      </c>
      <c r="E26" s="837">
        <f t="shared" si="2"/>
        <v>15618.488893737998</v>
      </c>
      <c r="F26" s="837">
        <f t="shared" si="2"/>
        <v>311.0664078365416</v>
      </c>
      <c r="G26" s="837">
        <f t="shared" si="2"/>
        <v>35224.439599122765</v>
      </c>
      <c r="H26" s="837">
        <f t="shared" si="2"/>
        <v>0</v>
      </c>
      <c r="I26" s="837">
        <f t="shared" si="2"/>
        <v>0</v>
      </c>
      <c r="J26" s="837">
        <f t="shared" si="2"/>
        <v>0</v>
      </c>
      <c r="K26" s="837">
        <f t="shared" si="2"/>
        <v>2745.9743061908048</v>
      </c>
      <c r="L26" s="837">
        <f t="shared" si="2"/>
        <v>0</v>
      </c>
      <c r="M26" s="837">
        <f t="shared" si="2"/>
        <v>0</v>
      </c>
      <c r="N26" s="837">
        <f t="shared" si="2"/>
        <v>0</v>
      </c>
      <c r="O26" s="837">
        <f t="shared" si="2"/>
        <v>0</v>
      </c>
      <c r="P26" s="837">
        <f t="shared" si="2"/>
        <v>0</v>
      </c>
      <c r="Q26" s="837">
        <f t="shared" si="2"/>
        <v>0</v>
      </c>
      <c r="R26" s="837">
        <f t="shared" si="2"/>
        <v>65573.598926888109</v>
      </c>
      <c r="S26" s="67"/>
    </row>
    <row r="27" spans="1:19" s="474" customFormat="1" ht="17.25" thickTop="1" thickBot="1">
      <c r="A27" s="721" t="s">
        <v>115</v>
      </c>
      <c r="B27" s="829"/>
      <c r="C27" s="722">
        <f ca="1">C22+C16+C26</f>
        <v>270661.08416629303</v>
      </c>
      <c r="D27" s="722">
        <f t="shared" ref="D27:R27" ca="1" si="3">D22+D16+D26</f>
        <v>34.071428571428577</v>
      </c>
      <c r="E27" s="722">
        <f t="shared" ca="1" si="3"/>
        <v>344944.12259420328</v>
      </c>
      <c r="F27" s="722">
        <f t="shared" si="3"/>
        <v>22603.98986945755</v>
      </c>
      <c r="G27" s="722">
        <f t="shared" ca="1" si="3"/>
        <v>125372.80333709193</v>
      </c>
      <c r="H27" s="722">
        <f t="shared" si="3"/>
        <v>195932.91874916875</v>
      </c>
      <c r="I27" s="722">
        <f t="shared" si="3"/>
        <v>51013.232908230828</v>
      </c>
      <c r="J27" s="722">
        <f t="shared" si="3"/>
        <v>0</v>
      </c>
      <c r="K27" s="722">
        <f t="shared" si="3"/>
        <v>2849.0329930669204</v>
      </c>
      <c r="L27" s="722">
        <f t="shared" si="3"/>
        <v>0</v>
      </c>
      <c r="M27" s="722">
        <f t="shared" ca="1" si="3"/>
        <v>0</v>
      </c>
      <c r="N27" s="722">
        <f t="shared" si="3"/>
        <v>14640.318086368961</v>
      </c>
      <c r="O27" s="722">
        <f t="shared" ca="1" si="3"/>
        <v>42226.32796431546</v>
      </c>
      <c r="P27" s="722">
        <f t="shared" si="3"/>
        <v>648.75433773955933</v>
      </c>
      <c r="Q27" s="722">
        <f t="shared" si="3"/>
        <v>1853.5848634567737</v>
      </c>
      <c r="R27" s="722">
        <f t="shared" ca="1" si="3"/>
        <v>1072780.2412979645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18198.302595064753</v>
      </c>
      <c r="D40" s="712">
        <f ca="1">tertiair!C20</f>
        <v>8.0969747899159685</v>
      </c>
      <c r="E40" s="712">
        <f ca="1">tertiair!D20</f>
        <v>18473.00143361303</v>
      </c>
      <c r="F40" s="712">
        <f>tertiair!E20</f>
        <v>301.50358327509127</v>
      </c>
      <c r="G40" s="712">
        <f ca="1">tertiair!F20</f>
        <v>2556.9320177532727</v>
      </c>
      <c r="H40" s="712">
        <f>tertiair!G20</f>
        <v>0</v>
      </c>
      <c r="I40" s="712">
        <f>tertiair!H20</f>
        <v>0</v>
      </c>
      <c r="J40" s="712">
        <f>tertiair!I20</f>
        <v>0</v>
      </c>
      <c r="K40" s="712">
        <f>tertiair!J20</f>
        <v>6.8007436694363987E-2</v>
      </c>
      <c r="L40" s="712">
        <f>tertiair!K20</f>
        <v>0</v>
      </c>
      <c r="M40" s="712">
        <f ca="1">tertiair!L20</f>
        <v>0</v>
      </c>
      <c r="N40" s="712">
        <f>tertiair!M20</f>
        <v>0</v>
      </c>
      <c r="O40" s="712">
        <f ca="1">tertiair!N20</f>
        <v>0</v>
      </c>
      <c r="P40" s="712">
        <f>tertiair!O20</f>
        <v>0</v>
      </c>
      <c r="Q40" s="795">
        <f>tertiair!P20</f>
        <v>0</v>
      </c>
      <c r="R40" s="875">
        <f t="shared" ca="1" si="4"/>
        <v>39537.904611932761</v>
      </c>
    </row>
    <row r="41" spans="1:18">
      <c r="A41" s="847" t="s">
        <v>224</v>
      </c>
      <c r="B41" s="854"/>
      <c r="C41" s="712">
        <f ca="1">huishoudens!B12</f>
        <v>13001.077249643946</v>
      </c>
      <c r="D41" s="712">
        <f ca="1">huishoudens!C12</f>
        <v>0</v>
      </c>
      <c r="E41" s="712">
        <f>huishoudens!D12</f>
        <v>38328.24081393121</v>
      </c>
      <c r="F41" s="712">
        <f>huishoudens!E12</f>
        <v>4144.8668676508933</v>
      </c>
      <c r="G41" s="712">
        <f>huishoudens!F12</f>
        <v>17912.923775399246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73387.108706625295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20874.07113289657</v>
      </c>
      <c r="D43" s="712">
        <f ca="1">industrie!C22</f>
        <v>0</v>
      </c>
      <c r="E43" s="712">
        <f>industrie!D22</f>
        <v>9583.9156141454023</v>
      </c>
      <c r="F43" s="712">
        <f>industrie!E22</f>
        <v>494.78740694086093</v>
      </c>
      <c r="G43" s="712">
        <f>industrie!F22</f>
        <v>3599.75732488525</v>
      </c>
      <c r="H43" s="712">
        <f>industrie!G22</f>
        <v>0</v>
      </c>
      <c r="I43" s="712">
        <f>industrie!H22</f>
        <v>0</v>
      </c>
      <c r="J43" s="712">
        <f>industrie!I22</f>
        <v>0</v>
      </c>
      <c r="K43" s="712">
        <f>industrie!J22</f>
        <v>36.414767717450594</v>
      </c>
      <c r="L43" s="712">
        <f>industrie!K22</f>
        <v>0</v>
      </c>
      <c r="M43" s="712">
        <f>industrie!L22</f>
        <v>0</v>
      </c>
      <c r="N43" s="712">
        <f>industrie!M22</f>
        <v>0</v>
      </c>
      <c r="O43" s="712">
        <f>industrie!N22</f>
        <v>0</v>
      </c>
      <c r="P43" s="712">
        <f>industrie!O22</f>
        <v>0</v>
      </c>
      <c r="Q43" s="795">
        <f>industrie!P22</f>
        <v>0</v>
      </c>
      <c r="R43" s="874">
        <f t="shared" ca="1" si="4"/>
        <v>34588.946246585532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52073.450977605273</v>
      </c>
      <c r="D46" s="748">
        <f t="shared" ref="D46:Q46" ca="1" si="5">SUM(D39:D45)</f>
        <v>8.0969747899159685</v>
      </c>
      <c r="E46" s="748">
        <f t="shared" ca="1" si="5"/>
        <v>66385.157861689644</v>
      </c>
      <c r="F46" s="748">
        <f t="shared" si="5"/>
        <v>4941.157857866845</v>
      </c>
      <c r="G46" s="748">
        <f t="shared" ca="1" si="5"/>
        <v>24069.613118037767</v>
      </c>
      <c r="H46" s="748">
        <f t="shared" si="5"/>
        <v>0</v>
      </c>
      <c r="I46" s="748">
        <f t="shared" si="5"/>
        <v>0</v>
      </c>
      <c r="J46" s="748">
        <f t="shared" si="5"/>
        <v>0</v>
      </c>
      <c r="K46" s="748">
        <f t="shared" si="5"/>
        <v>36.48277515414496</v>
      </c>
      <c r="L46" s="748">
        <f t="shared" si="5"/>
        <v>0</v>
      </c>
      <c r="M46" s="748">
        <f t="shared" ca="1" si="5"/>
        <v>0</v>
      </c>
      <c r="N46" s="748">
        <f t="shared" si="5"/>
        <v>0</v>
      </c>
      <c r="O46" s="748">
        <f t="shared" ca="1" si="5"/>
        <v>0</v>
      </c>
      <c r="P46" s="748">
        <f t="shared" si="5"/>
        <v>0</v>
      </c>
      <c r="Q46" s="748">
        <f t="shared" si="5"/>
        <v>0</v>
      </c>
      <c r="R46" s="748">
        <f ca="1">SUM(R39:R45)</f>
        <v>147513.95956514357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1351.0942661548243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1351.0942661548243</v>
      </c>
    </row>
    <row r="50" spans="1:18">
      <c r="A50" s="850" t="s">
        <v>306</v>
      </c>
      <c r="B50" s="860"/>
      <c r="C50" s="718">
        <f ca="1">transport!B18</f>
        <v>33.165936942791845</v>
      </c>
      <c r="D50" s="718">
        <f>transport!C18</f>
        <v>0</v>
      </c>
      <c r="E50" s="718">
        <f>transport!D18</f>
        <v>138.62014580435357</v>
      </c>
      <c r="F50" s="718">
        <f>transport!E18</f>
        <v>119.33576792112356</v>
      </c>
      <c r="G50" s="718">
        <f>transport!F18</f>
        <v>0</v>
      </c>
      <c r="H50" s="718">
        <f>transport!G18</f>
        <v>50962.995039873233</v>
      </c>
      <c r="I50" s="718">
        <f>transport!H18</f>
        <v>12702.294994149475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63956.411884690977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33.165936942791845</v>
      </c>
      <c r="D52" s="748">
        <f t="shared" ref="D52:Q52" ca="1" si="6">SUM(D48:D51)</f>
        <v>0</v>
      </c>
      <c r="E52" s="748">
        <f t="shared" si="6"/>
        <v>138.62014580435357</v>
      </c>
      <c r="F52" s="748">
        <f t="shared" si="6"/>
        <v>119.33576792112356</v>
      </c>
      <c r="G52" s="748">
        <f t="shared" si="6"/>
        <v>0</v>
      </c>
      <c r="H52" s="748">
        <f t="shared" si="6"/>
        <v>52314.089306028058</v>
      </c>
      <c r="I52" s="748">
        <f t="shared" si="6"/>
        <v>12702.294994149475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65307.506150845802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2005.2941369497773</v>
      </c>
      <c r="D54" s="718">
        <f ca="1">+landbouw!C12</f>
        <v>0</v>
      </c>
      <c r="E54" s="718">
        <f>+landbouw!D12</f>
        <v>1365.7266295850761</v>
      </c>
      <c r="F54" s="718">
        <f>+landbouw!E12</f>
        <v>70.612074578894948</v>
      </c>
      <c r="G54" s="718">
        <f>+landbouw!F12</f>
        <v>9404.9253729657794</v>
      </c>
      <c r="H54" s="718">
        <f>+landbouw!G12</f>
        <v>0</v>
      </c>
      <c r="I54" s="718">
        <f>+landbouw!H12</f>
        <v>0</v>
      </c>
      <c r="J54" s="718">
        <f>+landbouw!I12</f>
        <v>0</v>
      </c>
      <c r="K54" s="718">
        <f>+landbouw!J12</f>
        <v>972.07490439154481</v>
      </c>
      <c r="L54" s="718">
        <f>+landbouw!K12</f>
        <v>0</v>
      </c>
      <c r="M54" s="718">
        <f>+landbouw!L12</f>
        <v>0</v>
      </c>
      <c r="N54" s="718">
        <f>+landbouw!M12</f>
        <v>0</v>
      </c>
      <c r="O54" s="718">
        <f>+landbouw!N12</f>
        <v>0</v>
      </c>
      <c r="P54" s="718">
        <f>+landbouw!O12</f>
        <v>0</v>
      </c>
      <c r="Q54" s="719">
        <f>+landbouw!P12</f>
        <v>0</v>
      </c>
      <c r="R54" s="747">
        <f ca="1">SUM(C54:Q54)</f>
        <v>13818.633118471073</v>
      </c>
    </row>
    <row r="55" spans="1:18" ht="15" thickBot="1">
      <c r="A55" s="850" t="s">
        <v>734</v>
      </c>
      <c r="B55" s="860"/>
      <c r="C55" s="718">
        <f ca="1">C25*'EF ele_warmte'!B12</f>
        <v>343.36538836503757</v>
      </c>
      <c r="D55" s="718"/>
      <c r="E55" s="718">
        <f>E25*EF_CO2_aardgas</f>
        <v>1789.20812695</v>
      </c>
      <c r="F55" s="718"/>
      <c r="G55" s="718"/>
      <c r="H55" s="718"/>
      <c r="I55" s="718"/>
      <c r="J55" s="718"/>
      <c r="K55" s="718"/>
      <c r="L55" s="718"/>
      <c r="M55" s="718"/>
      <c r="N55" s="718"/>
      <c r="O55" s="718"/>
      <c r="P55" s="718"/>
      <c r="Q55" s="719"/>
      <c r="R55" s="747">
        <f ca="1">SUM(C55:Q55)</f>
        <v>2132.5735153150376</v>
      </c>
    </row>
    <row r="56" spans="1:18" ht="15.75" thickBot="1">
      <c r="A56" s="848" t="s">
        <v>735</v>
      </c>
      <c r="B56" s="861"/>
      <c r="C56" s="748">
        <f ca="1">SUM(C54:C55)</f>
        <v>2348.6595253148148</v>
      </c>
      <c r="D56" s="748">
        <f t="shared" ref="D56:Q56" ca="1" si="7">SUM(D54:D55)</f>
        <v>0</v>
      </c>
      <c r="E56" s="748">
        <f t="shared" si="7"/>
        <v>3154.9347565350763</v>
      </c>
      <c r="F56" s="748">
        <f t="shared" si="7"/>
        <v>70.612074578894948</v>
      </c>
      <c r="G56" s="748">
        <f t="shared" si="7"/>
        <v>9404.9253729657794</v>
      </c>
      <c r="H56" s="748">
        <f t="shared" si="7"/>
        <v>0</v>
      </c>
      <c r="I56" s="748">
        <f t="shared" si="7"/>
        <v>0</v>
      </c>
      <c r="J56" s="748">
        <f t="shared" si="7"/>
        <v>0</v>
      </c>
      <c r="K56" s="748">
        <f t="shared" si="7"/>
        <v>972.07490439154481</v>
      </c>
      <c r="L56" s="748">
        <f t="shared" si="7"/>
        <v>0</v>
      </c>
      <c r="M56" s="748">
        <f t="shared" si="7"/>
        <v>0</v>
      </c>
      <c r="N56" s="748">
        <f t="shared" si="7"/>
        <v>0</v>
      </c>
      <c r="O56" s="748">
        <f t="shared" si="7"/>
        <v>0</v>
      </c>
      <c r="P56" s="748">
        <f t="shared" si="7"/>
        <v>0</v>
      </c>
      <c r="Q56" s="749">
        <f t="shared" si="7"/>
        <v>0</v>
      </c>
      <c r="R56" s="750">
        <f ca="1">SUM(R54:R55)</f>
        <v>15951.206633786111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54455.276439862879</v>
      </c>
      <c r="D61" s="756">
        <f t="shared" ref="D61:Q61" ca="1" si="8">D46+D52+D56</f>
        <v>8.0969747899159685</v>
      </c>
      <c r="E61" s="756">
        <f t="shared" ca="1" si="8"/>
        <v>69678.712764029071</v>
      </c>
      <c r="F61" s="756">
        <f t="shared" si="8"/>
        <v>5131.1057003668639</v>
      </c>
      <c r="G61" s="756">
        <f t="shared" ca="1" si="8"/>
        <v>33474.53849100355</v>
      </c>
      <c r="H61" s="756">
        <f t="shared" si="8"/>
        <v>52314.089306028058</v>
      </c>
      <c r="I61" s="756">
        <f t="shared" si="8"/>
        <v>12702.294994149475</v>
      </c>
      <c r="J61" s="756">
        <f t="shared" si="8"/>
        <v>0</v>
      </c>
      <c r="K61" s="756">
        <f t="shared" si="8"/>
        <v>1008.5576795456898</v>
      </c>
      <c r="L61" s="756">
        <f t="shared" si="8"/>
        <v>0</v>
      </c>
      <c r="M61" s="756">
        <f t="shared" ca="1" si="8"/>
        <v>0</v>
      </c>
      <c r="N61" s="756">
        <f t="shared" si="8"/>
        <v>0</v>
      </c>
      <c r="O61" s="756">
        <f t="shared" ca="1" si="8"/>
        <v>0</v>
      </c>
      <c r="P61" s="756">
        <f t="shared" si="8"/>
        <v>0</v>
      </c>
      <c r="Q61" s="756">
        <f t="shared" si="8"/>
        <v>0</v>
      </c>
      <c r="R61" s="756">
        <f ca="1">R46+R52+R56</f>
        <v>228772.67234977547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0.20119359459302907</v>
      </c>
      <c r="D63" s="802">
        <f t="shared" ca="1" si="9"/>
        <v>0.23764705882352943</v>
      </c>
      <c r="E63" s="1008">
        <f t="shared" ca="1" si="9"/>
        <v>0.20200000000000001</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23763.914901542266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23.85</v>
      </c>
      <c r="D76" s="991">
        <f>'lokale energieproductie'!C8</f>
        <v>28.058823529411768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5.6678823529411773</v>
      </c>
      <c r="R76" s="877">
        <v>0</v>
      </c>
    </row>
    <row r="77" spans="1:18" ht="15.75" thickBot="1">
      <c r="A77" s="772" t="s">
        <v>801</v>
      </c>
      <c r="B77" s="769">
        <f>'lokale energieproductie'!B9*IFERROR(SUM(I77:O77)/SUM(D77:O77),0)</f>
        <v>495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1414.2857142857144</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24258.914901542266</v>
      </c>
      <c r="C78" s="774">
        <f>SUM(C72:C77)</f>
        <v>23.85</v>
      </c>
      <c r="D78" s="775">
        <f t="shared" ref="D78:H78" si="10">SUM(D76:D77)</f>
        <v>28.058823529411768</v>
      </c>
      <c r="E78" s="775">
        <f t="shared" si="10"/>
        <v>0</v>
      </c>
      <c r="F78" s="775">
        <f t="shared" si="10"/>
        <v>0</v>
      </c>
      <c r="G78" s="775">
        <f t="shared" si="10"/>
        <v>0</v>
      </c>
      <c r="H78" s="775">
        <f t="shared" si="10"/>
        <v>0</v>
      </c>
      <c r="I78" s="775">
        <f>SUM(I76:I77)</f>
        <v>0</v>
      </c>
      <c r="J78" s="775">
        <f>SUM(J76:J77)</f>
        <v>1414.2857142857144</v>
      </c>
      <c r="K78" s="775">
        <f t="shared" ref="K78:L78" si="11">SUM(K76:K77)</f>
        <v>0</v>
      </c>
      <c r="L78" s="775">
        <f t="shared" si="11"/>
        <v>0</v>
      </c>
      <c r="M78" s="775">
        <f>SUM(M76:M77)</f>
        <v>0</v>
      </c>
      <c r="N78" s="775">
        <f>SUM(N76:N77)</f>
        <v>0</v>
      </c>
      <c r="O78" s="885">
        <f>SUM(O76:O77)</f>
        <v>0</v>
      </c>
      <c r="P78" s="776">
        <v>0</v>
      </c>
      <c r="Q78" s="776">
        <f>SUM(Q76:Q77)</f>
        <v>5.6678823529411773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34.071428571428577</v>
      </c>
      <c r="D87" s="798">
        <f>'lokale energieproductie'!C17</f>
        <v>40.084033613445385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8.0969747899159685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34.071428571428577</v>
      </c>
      <c r="D90" s="774">
        <f t="shared" ref="D90:H90" si="12">SUM(D87:D89)</f>
        <v>40.084033613445385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8.0969747899159685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64619.737402387502</v>
      </c>
      <c r="C4" s="478">
        <f>huishoudens!C8</f>
        <v>0</v>
      </c>
      <c r="D4" s="478">
        <f>huishoudens!D8</f>
        <v>189743.76640560004</v>
      </c>
      <c r="E4" s="478">
        <f>huishoudens!E8</f>
        <v>18259.325408153716</v>
      </c>
      <c r="F4" s="478">
        <f>huishoudens!F8</f>
        <v>67089.602155053348</v>
      </c>
      <c r="G4" s="478">
        <f>huishoudens!G8</f>
        <v>0</v>
      </c>
      <c r="H4" s="478">
        <f>huishoudens!H8</f>
        <v>0</v>
      </c>
      <c r="I4" s="478">
        <f>huishoudens!I8</f>
        <v>0</v>
      </c>
      <c r="J4" s="478">
        <f>huishoudens!J8</f>
        <v>0</v>
      </c>
      <c r="K4" s="478">
        <f>huishoudens!K8</f>
        <v>0</v>
      </c>
      <c r="L4" s="478">
        <f>huishoudens!L8</f>
        <v>0</v>
      </c>
      <c r="M4" s="478">
        <f>huishoudens!M8</f>
        <v>0</v>
      </c>
      <c r="N4" s="478">
        <f>huishoudens!N8</f>
        <v>33637.022541827151</v>
      </c>
      <c r="O4" s="478">
        <f>huishoudens!O8</f>
        <v>648.75433773955933</v>
      </c>
      <c r="P4" s="479">
        <f>huishoudens!P8</f>
        <v>1695.9674485372886</v>
      </c>
      <c r="Q4" s="480">
        <f>SUM(B4:P4)</f>
        <v>375694.17569929862</v>
      </c>
    </row>
    <row r="5" spans="1:17">
      <c r="A5" s="477" t="s">
        <v>155</v>
      </c>
      <c r="B5" s="478">
        <f ca="1">tertiair!B16</f>
        <v>87969.503677000001</v>
      </c>
      <c r="C5" s="478">
        <f ca="1">tertiair!C16</f>
        <v>34.071428571428577</v>
      </c>
      <c r="D5" s="478">
        <f ca="1">tertiair!D16</f>
        <v>91450.502146599145</v>
      </c>
      <c r="E5" s="478">
        <f>tertiair!E16</f>
        <v>1328.209617951944</v>
      </c>
      <c r="F5" s="478">
        <f ca="1">tertiair!F16</f>
        <v>9576.5244110609456</v>
      </c>
      <c r="G5" s="478">
        <f>tertiair!G16</f>
        <v>0</v>
      </c>
      <c r="H5" s="478">
        <f>tertiair!H16</f>
        <v>0</v>
      </c>
      <c r="I5" s="478">
        <f>tertiair!I16</f>
        <v>0</v>
      </c>
      <c r="J5" s="478">
        <f>tertiair!J16</f>
        <v>0.19211140309142369</v>
      </c>
      <c r="K5" s="478">
        <f>tertiair!K16</f>
        <v>0</v>
      </c>
      <c r="L5" s="478">
        <f ca="1">tertiair!L16</f>
        <v>0</v>
      </c>
      <c r="M5" s="478">
        <f>tertiair!M16</f>
        <v>0</v>
      </c>
      <c r="N5" s="478">
        <f ca="1">tertiair!N16</f>
        <v>6188.9561078459365</v>
      </c>
      <c r="O5" s="478">
        <f>tertiair!O16</f>
        <v>0</v>
      </c>
      <c r="P5" s="479">
        <f>tertiair!P16</f>
        <v>157.61741491948504</v>
      </c>
      <c r="Q5" s="477">
        <f t="shared" ref="Q5:Q14" ca="1" si="0">SUM(B5:P5)</f>
        <v>196705.57691535199</v>
      </c>
    </row>
    <row r="6" spans="1:17">
      <c r="A6" s="477" t="s">
        <v>193</v>
      </c>
      <c r="B6" s="478">
        <f>'openbare verlichting'!B8</f>
        <v>2482.1959999999999</v>
      </c>
      <c r="C6" s="478"/>
      <c r="D6" s="478"/>
      <c r="E6" s="478"/>
      <c r="F6" s="478"/>
      <c r="G6" s="478"/>
      <c r="H6" s="478"/>
      <c r="I6" s="478"/>
      <c r="J6" s="478"/>
      <c r="K6" s="478"/>
      <c r="L6" s="478"/>
      <c r="M6" s="478"/>
      <c r="N6" s="478"/>
      <c r="O6" s="478"/>
      <c r="P6" s="479"/>
      <c r="Q6" s="477">
        <f t="shared" si="0"/>
        <v>2482.1959999999999</v>
      </c>
    </row>
    <row r="7" spans="1:17">
      <c r="A7" s="477" t="s">
        <v>111</v>
      </c>
      <c r="B7" s="478">
        <f>landbouw!B8</f>
        <v>9966.9879700000001</v>
      </c>
      <c r="C7" s="478">
        <f>landbouw!C8</f>
        <v>0</v>
      </c>
      <c r="D7" s="478">
        <f>landbouw!D8</f>
        <v>6761.022918738</v>
      </c>
      <c r="E7" s="478">
        <f>landbouw!E8</f>
        <v>311.0664078365416</v>
      </c>
      <c r="F7" s="478">
        <f>landbouw!F8</f>
        <v>35224.439599122765</v>
      </c>
      <c r="G7" s="478">
        <f>landbouw!G8</f>
        <v>0</v>
      </c>
      <c r="H7" s="478">
        <f>landbouw!H8</f>
        <v>0</v>
      </c>
      <c r="I7" s="478">
        <f>landbouw!I8</f>
        <v>0</v>
      </c>
      <c r="J7" s="478">
        <f>landbouw!J8</f>
        <v>2745.9743061908048</v>
      </c>
      <c r="K7" s="478">
        <f>landbouw!K8</f>
        <v>0</v>
      </c>
      <c r="L7" s="478">
        <f>landbouw!L8</f>
        <v>0</v>
      </c>
      <c r="M7" s="478">
        <f>landbouw!M8</f>
        <v>0</v>
      </c>
      <c r="N7" s="478">
        <f>landbouw!N8</f>
        <v>0</v>
      </c>
      <c r="O7" s="478">
        <f>landbouw!O8</f>
        <v>0</v>
      </c>
      <c r="P7" s="479">
        <f>landbouw!P8</f>
        <v>0</v>
      </c>
      <c r="Q7" s="477">
        <f t="shared" si="0"/>
        <v>55009.491201888115</v>
      </c>
    </row>
    <row r="8" spans="1:17">
      <c r="A8" s="477" t="s">
        <v>629</v>
      </c>
      <c r="B8" s="478">
        <f>industrie!B18</f>
        <v>103751.17147800002</v>
      </c>
      <c r="C8" s="478">
        <f>industrie!C18</f>
        <v>0</v>
      </c>
      <c r="D8" s="478">
        <f>industrie!D18</f>
        <v>47445.126802700004</v>
      </c>
      <c r="E8" s="478">
        <f>industrie!E18</f>
        <v>2179.6802067879335</v>
      </c>
      <c r="F8" s="478">
        <f>industrie!F18</f>
        <v>13482.237171854867</v>
      </c>
      <c r="G8" s="478">
        <f>industrie!G18</f>
        <v>0</v>
      </c>
      <c r="H8" s="478">
        <f>industrie!H18</f>
        <v>0</v>
      </c>
      <c r="I8" s="478">
        <f>industrie!I18</f>
        <v>0</v>
      </c>
      <c r="J8" s="478">
        <f>industrie!J18</f>
        <v>102.86657547302428</v>
      </c>
      <c r="K8" s="478">
        <f>industrie!K18</f>
        <v>0</v>
      </c>
      <c r="L8" s="478">
        <f>industrie!L18</f>
        <v>0</v>
      </c>
      <c r="M8" s="478">
        <f>industrie!M18</f>
        <v>0</v>
      </c>
      <c r="N8" s="478">
        <f>industrie!N18</f>
        <v>2400.3493146423734</v>
      </c>
      <c r="O8" s="478">
        <f>industrie!O18</f>
        <v>0</v>
      </c>
      <c r="P8" s="479">
        <f>industrie!P18</f>
        <v>0</v>
      </c>
      <c r="Q8" s="477">
        <f t="shared" si="0"/>
        <v>169361.43154945821</v>
      </c>
    </row>
    <row r="9" spans="1:17" s="483" customFormat="1">
      <c r="A9" s="481" t="s">
        <v>555</v>
      </c>
      <c r="B9" s="482">
        <f>transport!B14</f>
        <v>164.84588890555554</v>
      </c>
      <c r="C9" s="482">
        <f>transport!C14</f>
        <v>0</v>
      </c>
      <c r="D9" s="482">
        <f>transport!D14</f>
        <v>686.23834556610677</v>
      </c>
      <c r="E9" s="482">
        <f>transport!E14</f>
        <v>525.70822872741655</v>
      </c>
      <c r="F9" s="482">
        <f>transport!F14</f>
        <v>0</v>
      </c>
      <c r="G9" s="482">
        <f>transport!G14</f>
        <v>190872.64059877614</v>
      </c>
      <c r="H9" s="482">
        <f>transport!H14</f>
        <v>51013.232908230828</v>
      </c>
      <c r="I9" s="482">
        <f>transport!I14</f>
        <v>0</v>
      </c>
      <c r="J9" s="482">
        <f>transport!J14</f>
        <v>0</v>
      </c>
      <c r="K9" s="482">
        <f>transport!K14</f>
        <v>0</v>
      </c>
      <c r="L9" s="482">
        <f>transport!L14</f>
        <v>0</v>
      </c>
      <c r="M9" s="482">
        <f>transport!M14</f>
        <v>14359.06726688112</v>
      </c>
      <c r="N9" s="482">
        <f>transport!N14</f>
        <v>0</v>
      </c>
      <c r="O9" s="482">
        <f>transport!O14</f>
        <v>0</v>
      </c>
      <c r="P9" s="482">
        <f>transport!P14</f>
        <v>0</v>
      </c>
      <c r="Q9" s="481">
        <f>SUM(B9:P9)</f>
        <v>257621.73323708717</v>
      </c>
    </row>
    <row r="10" spans="1:17">
      <c r="A10" s="477" t="s">
        <v>545</v>
      </c>
      <c r="B10" s="478">
        <f>transport!B54</f>
        <v>0</v>
      </c>
      <c r="C10" s="478">
        <f>transport!C54</f>
        <v>0</v>
      </c>
      <c r="D10" s="478">
        <f>transport!D54</f>
        <v>0</v>
      </c>
      <c r="E10" s="478">
        <f>transport!E54</f>
        <v>0</v>
      </c>
      <c r="F10" s="478">
        <f>transport!F54</f>
        <v>0</v>
      </c>
      <c r="G10" s="478">
        <f>transport!G54</f>
        <v>5060.2781503925999</v>
      </c>
      <c r="H10" s="478">
        <f>transport!H54</f>
        <v>0</v>
      </c>
      <c r="I10" s="478">
        <f>transport!I54</f>
        <v>0</v>
      </c>
      <c r="J10" s="478">
        <f>transport!J54</f>
        <v>0</v>
      </c>
      <c r="K10" s="478">
        <f>transport!K54</f>
        <v>0</v>
      </c>
      <c r="L10" s="478">
        <f>transport!L54</f>
        <v>0</v>
      </c>
      <c r="M10" s="478">
        <f>transport!M54</f>
        <v>281.25081948784054</v>
      </c>
      <c r="N10" s="478">
        <f>transport!N54</f>
        <v>0</v>
      </c>
      <c r="O10" s="478">
        <f>transport!O54</f>
        <v>0</v>
      </c>
      <c r="P10" s="479">
        <f>transport!P54</f>
        <v>0</v>
      </c>
      <c r="Q10" s="477">
        <f t="shared" si="0"/>
        <v>5341.5289698804409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1706.64175</v>
      </c>
      <c r="C14" s="485"/>
      <c r="D14" s="485">
        <f>'SEAP template'!E25</f>
        <v>8857.4659749999992</v>
      </c>
      <c r="E14" s="485"/>
      <c r="F14" s="485"/>
      <c r="G14" s="485"/>
      <c r="H14" s="485"/>
      <c r="I14" s="485"/>
      <c r="J14" s="485"/>
      <c r="K14" s="485"/>
      <c r="L14" s="485"/>
      <c r="M14" s="485"/>
      <c r="N14" s="485"/>
      <c r="O14" s="485"/>
      <c r="P14" s="486"/>
      <c r="Q14" s="477">
        <f t="shared" si="0"/>
        <v>10564.107725</v>
      </c>
    </row>
    <row r="15" spans="1:17" s="489" customFormat="1">
      <c r="A15" s="487" t="s">
        <v>549</v>
      </c>
      <c r="B15" s="488">
        <f ca="1">SUM(B4:B14)</f>
        <v>270661.08416629309</v>
      </c>
      <c r="C15" s="488">
        <f t="shared" ref="C15:Q15" ca="1" si="1">SUM(C4:C14)</f>
        <v>34.071428571428577</v>
      </c>
      <c r="D15" s="488">
        <f t="shared" ca="1" si="1"/>
        <v>344944.12259420328</v>
      </c>
      <c r="E15" s="488">
        <f t="shared" si="1"/>
        <v>22603.98986945755</v>
      </c>
      <c r="F15" s="488">
        <f t="shared" ca="1" si="1"/>
        <v>125372.80333709193</v>
      </c>
      <c r="G15" s="488">
        <f t="shared" si="1"/>
        <v>195932.91874916875</v>
      </c>
      <c r="H15" s="488">
        <f t="shared" si="1"/>
        <v>51013.232908230828</v>
      </c>
      <c r="I15" s="488">
        <f t="shared" si="1"/>
        <v>0</v>
      </c>
      <c r="J15" s="488">
        <f t="shared" si="1"/>
        <v>2849.0329930669204</v>
      </c>
      <c r="K15" s="488">
        <f t="shared" si="1"/>
        <v>0</v>
      </c>
      <c r="L15" s="488">
        <f t="shared" ca="1" si="1"/>
        <v>0</v>
      </c>
      <c r="M15" s="488">
        <f t="shared" si="1"/>
        <v>14640.318086368961</v>
      </c>
      <c r="N15" s="488">
        <f t="shared" ca="1" si="1"/>
        <v>42226.32796431546</v>
      </c>
      <c r="O15" s="488">
        <f t="shared" si="1"/>
        <v>648.75433773955933</v>
      </c>
      <c r="P15" s="488">
        <f t="shared" si="1"/>
        <v>1853.5848634567737</v>
      </c>
      <c r="Q15" s="488">
        <f t="shared" ca="1" si="1"/>
        <v>1072780.2412979645</v>
      </c>
    </row>
    <row r="17" spans="1:17">
      <c r="A17" s="490" t="s">
        <v>550</v>
      </c>
      <c r="B17" s="807">
        <f ca="1">huishoudens!B10</f>
        <v>0.20119359459302902</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13001.077249643946</v>
      </c>
      <c r="C22" s="478">
        <f t="shared" ref="C22:C32" ca="1" si="3">C4*$C$17</f>
        <v>0</v>
      </c>
      <c r="D22" s="478">
        <f t="shared" ref="D22:D32" si="4">D4*$D$17</f>
        <v>38328.24081393121</v>
      </c>
      <c r="E22" s="478">
        <f t="shared" ref="E22:E32" si="5">E4*$E$17</f>
        <v>4144.8668676508933</v>
      </c>
      <c r="F22" s="478">
        <f t="shared" ref="F22:F32" si="6">F4*$F$17</f>
        <v>17912.923775399246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73387.108706625295</v>
      </c>
    </row>
    <row r="23" spans="1:17">
      <c r="A23" s="477" t="s">
        <v>155</v>
      </c>
      <c r="B23" s="478">
        <f t="shared" ca="1" si="2"/>
        <v>17698.900659340314</v>
      </c>
      <c r="C23" s="478">
        <f t="shared" ca="1" si="3"/>
        <v>8.0969747899159685</v>
      </c>
      <c r="D23" s="478">
        <f t="shared" ca="1" si="4"/>
        <v>18473.00143361303</v>
      </c>
      <c r="E23" s="478">
        <f t="shared" si="5"/>
        <v>301.50358327509127</v>
      </c>
      <c r="F23" s="478">
        <f t="shared" ca="1" si="6"/>
        <v>2556.9320177532727</v>
      </c>
      <c r="G23" s="478">
        <f t="shared" si="7"/>
        <v>0</v>
      </c>
      <c r="H23" s="478">
        <f t="shared" si="8"/>
        <v>0</v>
      </c>
      <c r="I23" s="478">
        <f t="shared" si="9"/>
        <v>0</v>
      </c>
      <c r="J23" s="478">
        <f t="shared" si="10"/>
        <v>6.8007436694363987E-2</v>
      </c>
      <c r="K23" s="478">
        <f t="shared" si="11"/>
        <v>0</v>
      </c>
      <c r="L23" s="478">
        <f t="shared" ca="1" si="12"/>
        <v>0</v>
      </c>
      <c r="M23" s="478">
        <f t="shared" si="13"/>
        <v>0</v>
      </c>
      <c r="N23" s="478">
        <f t="shared" ca="1" si="14"/>
        <v>0</v>
      </c>
      <c r="O23" s="478">
        <f t="shared" si="15"/>
        <v>0</v>
      </c>
      <c r="P23" s="479">
        <f t="shared" si="16"/>
        <v>0</v>
      </c>
      <c r="Q23" s="477">
        <f t="shared" ref="Q23:Q31" ca="1" si="17">SUM(B23:P23)</f>
        <v>39038.502676208322</v>
      </c>
    </row>
    <row r="24" spans="1:17">
      <c r="A24" s="477" t="s">
        <v>193</v>
      </c>
      <c r="B24" s="478">
        <f t="shared" ca="1" si="2"/>
        <v>499.40193572443826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499.40193572443826</v>
      </c>
    </row>
    <row r="25" spans="1:17">
      <c r="A25" s="477" t="s">
        <v>111</v>
      </c>
      <c r="B25" s="478">
        <f t="shared" ca="1" si="2"/>
        <v>2005.2941369497773</v>
      </c>
      <c r="C25" s="478">
        <f t="shared" ca="1" si="3"/>
        <v>0</v>
      </c>
      <c r="D25" s="478">
        <f t="shared" si="4"/>
        <v>1365.7266295850761</v>
      </c>
      <c r="E25" s="478">
        <f t="shared" si="5"/>
        <v>70.612074578894948</v>
      </c>
      <c r="F25" s="478">
        <f t="shared" si="6"/>
        <v>9404.9253729657794</v>
      </c>
      <c r="G25" s="478">
        <f t="shared" si="7"/>
        <v>0</v>
      </c>
      <c r="H25" s="478">
        <f t="shared" si="8"/>
        <v>0</v>
      </c>
      <c r="I25" s="478">
        <f t="shared" si="9"/>
        <v>0</v>
      </c>
      <c r="J25" s="478">
        <f t="shared" si="10"/>
        <v>972.07490439154481</v>
      </c>
      <c r="K25" s="478">
        <f t="shared" si="11"/>
        <v>0</v>
      </c>
      <c r="L25" s="478">
        <f t="shared" si="12"/>
        <v>0</v>
      </c>
      <c r="M25" s="478">
        <f t="shared" si="13"/>
        <v>0</v>
      </c>
      <c r="N25" s="478">
        <f t="shared" si="14"/>
        <v>0</v>
      </c>
      <c r="O25" s="478">
        <f t="shared" si="15"/>
        <v>0</v>
      </c>
      <c r="P25" s="479">
        <f t="shared" si="16"/>
        <v>0</v>
      </c>
      <c r="Q25" s="477">
        <f t="shared" ca="1" si="17"/>
        <v>13818.633118471073</v>
      </c>
    </row>
    <row r="26" spans="1:17">
      <c r="A26" s="477" t="s">
        <v>629</v>
      </c>
      <c r="B26" s="478">
        <f t="shared" ca="1" si="2"/>
        <v>20874.07113289657</v>
      </c>
      <c r="C26" s="478">
        <f t="shared" ca="1" si="3"/>
        <v>0</v>
      </c>
      <c r="D26" s="478">
        <f t="shared" si="4"/>
        <v>9583.9156141454023</v>
      </c>
      <c r="E26" s="478">
        <f t="shared" si="5"/>
        <v>494.78740694086093</v>
      </c>
      <c r="F26" s="478">
        <f t="shared" si="6"/>
        <v>3599.75732488525</v>
      </c>
      <c r="G26" s="478">
        <f t="shared" si="7"/>
        <v>0</v>
      </c>
      <c r="H26" s="478">
        <f t="shared" si="8"/>
        <v>0</v>
      </c>
      <c r="I26" s="478">
        <f t="shared" si="9"/>
        <v>0</v>
      </c>
      <c r="J26" s="478">
        <f t="shared" si="10"/>
        <v>36.414767717450594</v>
      </c>
      <c r="K26" s="478">
        <f t="shared" si="11"/>
        <v>0</v>
      </c>
      <c r="L26" s="478">
        <f t="shared" si="12"/>
        <v>0</v>
      </c>
      <c r="M26" s="478">
        <f t="shared" si="13"/>
        <v>0</v>
      </c>
      <c r="N26" s="478">
        <f t="shared" si="14"/>
        <v>0</v>
      </c>
      <c r="O26" s="478">
        <f t="shared" si="15"/>
        <v>0</v>
      </c>
      <c r="P26" s="479">
        <f t="shared" si="16"/>
        <v>0</v>
      </c>
      <c r="Q26" s="477">
        <f t="shared" ca="1" si="17"/>
        <v>34588.946246585532</v>
      </c>
    </row>
    <row r="27" spans="1:17" s="483" customFormat="1">
      <c r="A27" s="481" t="s">
        <v>555</v>
      </c>
      <c r="B27" s="801">
        <f t="shared" ca="1" si="2"/>
        <v>33.165936942791845</v>
      </c>
      <c r="C27" s="482">
        <f t="shared" ca="1" si="3"/>
        <v>0</v>
      </c>
      <c r="D27" s="482">
        <f t="shared" si="4"/>
        <v>138.62014580435357</v>
      </c>
      <c r="E27" s="482">
        <f t="shared" si="5"/>
        <v>119.33576792112356</v>
      </c>
      <c r="F27" s="482">
        <f t="shared" si="6"/>
        <v>0</v>
      </c>
      <c r="G27" s="482">
        <f t="shared" si="7"/>
        <v>50962.995039873233</v>
      </c>
      <c r="H27" s="482">
        <f t="shared" si="8"/>
        <v>12702.294994149475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63956.411884690977</v>
      </c>
    </row>
    <row r="28" spans="1:17" ht="16.5" customHeight="1">
      <c r="A28" s="477" t="s">
        <v>545</v>
      </c>
      <c r="B28" s="478">
        <f t="shared" ca="1" si="2"/>
        <v>0</v>
      </c>
      <c r="C28" s="478">
        <f t="shared" ca="1" si="3"/>
        <v>0</v>
      </c>
      <c r="D28" s="478">
        <f t="shared" si="4"/>
        <v>0</v>
      </c>
      <c r="E28" s="478">
        <f t="shared" si="5"/>
        <v>0</v>
      </c>
      <c r="F28" s="478">
        <f t="shared" si="6"/>
        <v>0</v>
      </c>
      <c r="G28" s="478">
        <f t="shared" si="7"/>
        <v>1351.0942661548243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1351.0942661548243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343.36538836503757</v>
      </c>
      <c r="C32" s="478">
        <f t="shared" ca="1" si="3"/>
        <v>0</v>
      </c>
      <c r="D32" s="478">
        <f t="shared" si="4"/>
        <v>1789.20812695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2132.5735153150376</v>
      </c>
    </row>
    <row r="33" spans="1:17" s="489" customFormat="1">
      <c r="A33" s="487" t="s">
        <v>549</v>
      </c>
      <c r="B33" s="488">
        <f ca="1">SUM(B22:B32)</f>
        <v>54455.276439862879</v>
      </c>
      <c r="C33" s="488">
        <f t="shared" ref="C33:Q33" ca="1" si="19">SUM(C22:C32)</f>
        <v>8.0969747899159685</v>
      </c>
      <c r="D33" s="488">
        <f t="shared" ca="1" si="19"/>
        <v>69678.712764029086</v>
      </c>
      <c r="E33" s="488">
        <f t="shared" si="19"/>
        <v>5131.1057003668639</v>
      </c>
      <c r="F33" s="488">
        <f t="shared" ca="1" si="19"/>
        <v>33474.53849100355</v>
      </c>
      <c r="G33" s="488">
        <f t="shared" si="19"/>
        <v>52314.089306028058</v>
      </c>
      <c r="H33" s="488">
        <f t="shared" si="19"/>
        <v>12702.294994149475</v>
      </c>
      <c r="I33" s="488">
        <f t="shared" si="19"/>
        <v>0</v>
      </c>
      <c r="J33" s="488">
        <f t="shared" si="19"/>
        <v>1008.5576795456898</v>
      </c>
      <c r="K33" s="488">
        <f t="shared" si="19"/>
        <v>0</v>
      </c>
      <c r="L33" s="488">
        <f t="shared" ca="1" si="19"/>
        <v>0</v>
      </c>
      <c r="M33" s="488">
        <f t="shared" si="19"/>
        <v>0</v>
      </c>
      <c r="N33" s="488">
        <f t="shared" ca="1" si="19"/>
        <v>0</v>
      </c>
      <c r="O33" s="488">
        <f t="shared" si="19"/>
        <v>0</v>
      </c>
      <c r="P33" s="488">
        <f t="shared" si="19"/>
        <v>0</v>
      </c>
      <c r="Q33" s="488">
        <f t="shared" ca="1" si="19"/>
        <v>228772.67234977553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23763.914901542266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23.85</v>
      </c>
      <c r="D8" s="1062">
        <f>'SEAP template'!D76</f>
        <v>28.058823529411768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5.6678823529411773</v>
      </c>
    </row>
    <row r="9" spans="1:16">
      <c r="A9" s="1068" t="s">
        <v>802</v>
      </c>
      <c r="B9" s="1062">
        <f>'SEAP template'!B77</f>
        <v>495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1414.2857142857144</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24258.914901542266</v>
      </c>
      <c r="C10" s="1064">
        <f>SUM(C4:C9)</f>
        <v>23.85</v>
      </c>
      <c r="D10" s="1064">
        <f t="shared" ref="D10:H10" si="0">SUM(D8:D9)</f>
        <v>28.058823529411768</v>
      </c>
      <c r="E10" s="1064">
        <f t="shared" si="0"/>
        <v>0</v>
      </c>
      <c r="F10" s="1064">
        <f t="shared" si="0"/>
        <v>0</v>
      </c>
      <c r="G10" s="1064">
        <f t="shared" si="0"/>
        <v>0</v>
      </c>
      <c r="H10" s="1064">
        <f t="shared" si="0"/>
        <v>0</v>
      </c>
      <c r="I10" s="1064">
        <f>SUM(I8:I9)</f>
        <v>0</v>
      </c>
      <c r="J10" s="1064">
        <f>SUM(J8:J9)</f>
        <v>1414.2857142857144</v>
      </c>
      <c r="K10" s="1064">
        <f t="shared" ref="K10:L10" si="1">SUM(K8:K9)</f>
        <v>0</v>
      </c>
      <c r="L10" s="1064">
        <f t="shared" si="1"/>
        <v>0</v>
      </c>
      <c r="M10" s="1064">
        <f>SUM(M8:M9)</f>
        <v>0</v>
      </c>
      <c r="N10" s="1064">
        <f>SUM(N8:N9)</f>
        <v>0</v>
      </c>
      <c r="O10" s="1064">
        <f>SUM(O8:O9)</f>
        <v>0</v>
      </c>
      <c r="P10" s="1064">
        <f>SUM(P8:P9)</f>
        <v>5.6678823529411773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0.20119359459302902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34.071428571428577</v>
      </c>
      <c r="D17" s="1063">
        <f>'SEAP template'!D87</f>
        <v>40.084033613445385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8.0969747899159685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34.071428571428577</v>
      </c>
      <c r="D20" s="1064">
        <f t="shared" ref="D20:H20" si="2">SUM(D17:D19)</f>
        <v>40.084033613445385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8.0969747899159685</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0.20119359459302902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0.20119359459302902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0.20119359459302902</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17635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6332.14</v>
      </c>
    </row>
    <row r="15" spans="1:6">
      <c r="A15" s="348" t="s">
        <v>183</v>
      </c>
      <c r="B15" s="334">
        <v>4</v>
      </c>
    </row>
    <row r="16" spans="1:6">
      <c r="A16" s="348" t="s">
        <v>6</v>
      </c>
      <c r="B16" s="334">
        <v>126</v>
      </c>
    </row>
    <row r="17" spans="1:6">
      <c r="A17" s="348" t="s">
        <v>7</v>
      </c>
      <c r="B17" s="334">
        <v>971</v>
      </c>
    </row>
    <row r="18" spans="1:6">
      <c r="A18" s="348" t="s">
        <v>8</v>
      </c>
      <c r="B18" s="334">
        <v>931</v>
      </c>
    </row>
    <row r="19" spans="1:6">
      <c r="A19" s="348" t="s">
        <v>9</v>
      </c>
      <c r="B19" s="334">
        <v>726</v>
      </c>
    </row>
    <row r="20" spans="1:6">
      <c r="A20" s="348" t="s">
        <v>10</v>
      </c>
      <c r="B20" s="334">
        <v>467</v>
      </c>
    </row>
    <row r="21" spans="1:6">
      <c r="A21" s="348" t="s">
        <v>11</v>
      </c>
      <c r="B21" s="334">
        <v>1029</v>
      </c>
    </row>
    <row r="22" spans="1:6">
      <c r="A22" s="348" t="s">
        <v>12</v>
      </c>
      <c r="B22" s="334">
        <v>7201</v>
      </c>
    </row>
    <row r="23" spans="1:6">
      <c r="A23" s="348" t="s">
        <v>13</v>
      </c>
      <c r="B23" s="334">
        <v>51</v>
      </c>
    </row>
    <row r="24" spans="1:6">
      <c r="A24" s="348" t="s">
        <v>14</v>
      </c>
      <c r="B24" s="334">
        <v>5</v>
      </c>
    </row>
    <row r="25" spans="1:6">
      <c r="A25" s="348" t="s">
        <v>15</v>
      </c>
      <c r="B25" s="334">
        <v>234</v>
      </c>
    </row>
    <row r="26" spans="1:6">
      <c r="A26" s="348" t="s">
        <v>16</v>
      </c>
      <c r="B26" s="334">
        <v>149</v>
      </c>
    </row>
    <row r="27" spans="1:6">
      <c r="A27" s="348" t="s">
        <v>17</v>
      </c>
      <c r="B27" s="334">
        <v>3</v>
      </c>
    </row>
    <row r="28" spans="1:6" s="356" customFormat="1">
      <c r="A28" s="355" t="s">
        <v>18</v>
      </c>
      <c r="B28" s="355">
        <v>151147</v>
      </c>
    </row>
    <row r="29" spans="1:6">
      <c r="A29" s="355" t="s">
        <v>713</v>
      </c>
      <c r="B29" s="355">
        <v>189</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49699</v>
      </c>
    </row>
    <row r="37" spans="1:6">
      <c r="A37" s="348" t="s">
        <v>24</v>
      </c>
      <c r="B37" s="348" t="s">
        <v>27</v>
      </c>
      <c r="C37" s="334">
        <v>0</v>
      </c>
      <c r="D37" s="334">
        <v>0</v>
      </c>
      <c r="E37" s="334">
        <v>0</v>
      </c>
      <c r="F37" s="334">
        <v>0</v>
      </c>
    </row>
    <row r="38" spans="1:6">
      <c r="A38" s="348" t="s">
        <v>24</v>
      </c>
      <c r="B38" s="348" t="s">
        <v>28</v>
      </c>
      <c r="C38" s="334">
        <v>0</v>
      </c>
      <c r="D38" s="334">
        <v>0</v>
      </c>
      <c r="E38" s="334">
        <v>2</v>
      </c>
      <c r="F38" s="334">
        <v>17329</v>
      </c>
    </row>
    <row r="39" spans="1:6">
      <c r="A39" s="348" t="s">
        <v>29</v>
      </c>
      <c r="B39" s="348" t="s">
        <v>30</v>
      </c>
      <c r="C39" s="334">
        <v>11170</v>
      </c>
      <c r="D39" s="334">
        <v>210358942.80000001</v>
      </c>
      <c r="E39" s="334">
        <v>17737</v>
      </c>
      <c r="F39" s="334">
        <v>56583136.190000102</v>
      </c>
    </row>
    <row r="40" spans="1:6">
      <c r="A40" s="348" t="s">
        <v>29</v>
      </c>
      <c r="B40" s="348" t="s">
        <v>28</v>
      </c>
      <c r="C40" s="334">
        <v>0</v>
      </c>
      <c r="D40" s="334">
        <v>0</v>
      </c>
      <c r="E40" s="334">
        <v>0</v>
      </c>
      <c r="F40" s="334">
        <v>0</v>
      </c>
    </row>
    <row r="41" spans="1:6">
      <c r="A41" s="348" t="s">
        <v>31</v>
      </c>
      <c r="B41" s="348" t="s">
        <v>32</v>
      </c>
      <c r="C41" s="334">
        <v>132</v>
      </c>
      <c r="D41" s="334">
        <v>4385293.25</v>
      </c>
      <c r="E41" s="334">
        <v>277</v>
      </c>
      <c r="F41" s="334">
        <v>5426316.6569999997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15</v>
      </c>
      <c r="D44" s="334">
        <v>44984314</v>
      </c>
      <c r="E44" s="334">
        <v>41</v>
      </c>
      <c r="F44" s="334">
        <v>84019660</v>
      </c>
    </row>
    <row r="45" spans="1:6">
      <c r="A45" s="348" t="s">
        <v>31</v>
      </c>
      <c r="B45" s="348" t="s">
        <v>36</v>
      </c>
      <c r="C45" s="334">
        <v>5</v>
      </c>
      <c r="D45" s="334">
        <v>23869</v>
      </c>
      <c r="E45" s="334">
        <v>11</v>
      </c>
      <c r="F45" s="334">
        <v>685919</v>
      </c>
    </row>
    <row r="46" spans="1:6">
      <c r="A46" s="348" t="s">
        <v>31</v>
      </c>
      <c r="B46" s="348" t="s">
        <v>37</v>
      </c>
      <c r="C46" s="334">
        <v>0</v>
      </c>
      <c r="D46" s="334">
        <v>0</v>
      </c>
      <c r="E46" s="334">
        <v>0</v>
      </c>
      <c r="F46" s="334">
        <v>0</v>
      </c>
    </row>
    <row r="47" spans="1:6">
      <c r="A47" s="348" t="s">
        <v>31</v>
      </c>
      <c r="B47" s="348" t="s">
        <v>38</v>
      </c>
      <c r="C47" s="334">
        <v>7</v>
      </c>
      <c r="D47" s="334">
        <v>264541</v>
      </c>
      <c r="E47" s="334">
        <v>10</v>
      </c>
      <c r="F47" s="334">
        <v>140263</v>
      </c>
    </row>
    <row r="48" spans="1:6">
      <c r="A48" s="348" t="s">
        <v>31</v>
      </c>
      <c r="B48" s="348" t="s">
        <v>28</v>
      </c>
      <c r="C48" s="334">
        <v>3</v>
      </c>
      <c r="D48" s="334">
        <v>264070</v>
      </c>
      <c r="E48" s="334">
        <v>4</v>
      </c>
      <c r="F48" s="334">
        <v>339573</v>
      </c>
    </row>
    <row r="49" spans="1:6">
      <c r="A49" s="348" t="s">
        <v>31</v>
      </c>
      <c r="B49" s="348" t="s">
        <v>39</v>
      </c>
      <c r="C49" s="334">
        <v>5</v>
      </c>
      <c r="D49" s="334">
        <v>153391</v>
      </c>
      <c r="E49" s="334">
        <v>6</v>
      </c>
      <c r="F49" s="334">
        <v>63227</v>
      </c>
    </row>
    <row r="50" spans="1:6">
      <c r="A50" s="348" t="s">
        <v>31</v>
      </c>
      <c r="B50" s="348" t="s">
        <v>40</v>
      </c>
      <c r="C50" s="334">
        <v>28</v>
      </c>
      <c r="D50" s="334">
        <v>2524440.6</v>
      </c>
      <c r="E50" s="334">
        <v>37</v>
      </c>
      <c r="F50" s="334">
        <v>13076212.821</v>
      </c>
    </row>
    <row r="51" spans="1:6">
      <c r="A51" s="348" t="s">
        <v>41</v>
      </c>
      <c r="B51" s="348" t="s">
        <v>42</v>
      </c>
      <c r="C51" s="334">
        <v>41</v>
      </c>
      <c r="D51" s="334">
        <v>7495590.8190000001</v>
      </c>
      <c r="E51" s="334">
        <v>264</v>
      </c>
      <c r="F51" s="334">
        <v>9966987.9700000007</v>
      </c>
    </row>
    <row r="52" spans="1:6">
      <c r="A52" s="348" t="s">
        <v>41</v>
      </c>
      <c r="B52" s="348" t="s">
        <v>28</v>
      </c>
      <c r="C52" s="334">
        <v>0</v>
      </c>
      <c r="D52" s="334">
        <v>0</v>
      </c>
      <c r="E52" s="334">
        <v>0</v>
      </c>
      <c r="F52" s="334">
        <v>0</v>
      </c>
    </row>
    <row r="53" spans="1:6">
      <c r="A53" s="348" t="s">
        <v>43</v>
      </c>
      <c r="B53" s="348" t="s">
        <v>44</v>
      </c>
      <c r="C53" s="334">
        <v>194</v>
      </c>
      <c r="D53" s="334">
        <v>8857465.9749999996</v>
      </c>
      <c r="E53" s="334">
        <v>396</v>
      </c>
      <c r="F53" s="334">
        <v>1706641.75</v>
      </c>
    </row>
    <row r="54" spans="1:6">
      <c r="A54" s="348" t="s">
        <v>45</v>
      </c>
      <c r="B54" s="348" t="s">
        <v>46</v>
      </c>
      <c r="C54" s="334">
        <v>0</v>
      </c>
      <c r="D54" s="334">
        <v>0</v>
      </c>
      <c r="E54" s="334">
        <v>3</v>
      </c>
      <c r="F54" s="334">
        <v>2482196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147</v>
      </c>
      <c r="D57" s="334">
        <v>9364863.0999999996</v>
      </c>
      <c r="E57" s="334">
        <v>265</v>
      </c>
      <c r="F57" s="334">
        <v>11316610.799000001</v>
      </c>
    </row>
    <row r="58" spans="1:6">
      <c r="A58" s="348" t="s">
        <v>48</v>
      </c>
      <c r="B58" s="348" t="s">
        <v>50</v>
      </c>
      <c r="C58" s="334">
        <v>130</v>
      </c>
      <c r="D58" s="334">
        <v>21794934.535</v>
      </c>
      <c r="E58" s="334">
        <v>189</v>
      </c>
      <c r="F58" s="334">
        <v>11159564.929</v>
      </c>
    </row>
    <row r="59" spans="1:6">
      <c r="A59" s="348" t="s">
        <v>48</v>
      </c>
      <c r="B59" s="348" t="s">
        <v>51</v>
      </c>
      <c r="C59" s="334">
        <v>398</v>
      </c>
      <c r="D59" s="334">
        <v>18979584.25</v>
      </c>
      <c r="E59" s="334">
        <v>715</v>
      </c>
      <c r="F59" s="334">
        <v>38159731.178999998</v>
      </c>
    </row>
    <row r="60" spans="1:6">
      <c r="A60" s="348" t="s">
        <v>48</v>
      </c>
      <c r="B60" s="348" t="s">
        <v>52</v>
      </c>
      <c r="C60" s="334">
        <v>191</v>
      </c>
      <c r="D60" s="334">
        <v>10473513.155999999</v>
      </c>
      <c r="E60" s="334">
        <v>281</v>
      </c>
      <c r="F60" s="334">
        <v>7200559.017</v>
      </c>
    </row>
    <row r="61" spans="1:6">
      <c r="A61" s="348" t="s">
        <v>48</v>
      </c>
      <c r="B61" s="348" t="s">
        <v>53</v>
      </c>
      <c r="C61" s="334">
        <v>401</v>
      </c>
      <c r="D61" s="334">
        <v>36803722.009000003</v>
      </c>
      <c r="E61" s="334">
        <v>876</v>
      </c>
      <c r="F61" s="334">
        <v>17860908.096999999</v>
      </c>
    </row>
    <row r="62" spans="1:6">
      <c r="A62" s="348" t="s">
        <v>48</v>
      </c>
      <c r="B62" s="348" t="s">
        <v>54</v>
      </c>
      <c r="C62" s="334">
        <v>36</v>
      </c>
      <c r="D62" s="334">
        <v>4045295.3709999998</v>
      </c>
      <c r="E62" s="334">
        <v>57</v>
      </c>
      <c r="F62" s="334">
        <v>1753279.656</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0</v>
      </c>
      <c r="E65" s="334">
        <v>0</v>
      </c>
      <c r="F65" s="334">
        <v>0</v>
      </c>
    </row>
    <row r="66" spans="1:6">
      <c r="A66" s="348" t="s">
        <v>55</v>
      </c>
      <c r="B66" s="348" t="s">
        <v>57</v>
      </c>
      <c r="C66" s="334">
        <v>0</v>
      </c>
      <c r="D66" s="334">
        <v>0</v>
      </c>
      <c r="E66" s="334">
        <v>32</v>
      </c>
      <c r="F66" s="334">
        <v>1131155.325</v>
      </c>
    </row>
    <row r="67" spans="1:6">
      <c r="A67" s="355" t="s">
        <v>55</v>
      </c>
      <c r="B67" s="355" t="s">
        <v>58</v>
      </c>
      <c r="C67" s="334">
        <v>0</v>
      </c>
      <c r="D67" s="334">
        <v>0</v>
      </c>
      <c r="E67" s="334">
        <v>0</v>
      </c>
      <c r="F67" s="334">
        <v>0</v>
      </c>
    </row>
    <row r="68" spans="1:6">
      <c r="A68" s="341" t="s">
        <v>55</v>
      </c>
      <c r="B68" s="341" t="s">
        <v>59</v>
      </c>
      <c r="C68" s="334">
        <v>13</v>
      </c>
      <c r="D68" s="334">
        <v>370230</v>
      </c>
      <c r="E68" s="334">
        <v>35</v>
      </c>
      <c r="F68" s="334">
        <v>1640022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225781048</v>
      </c>
      <c r="E73" s="476"/>
    </row>
    <row r="74" spans="1:6">
      <c r="A74" s="348" t="s">
        <v>63</v>
      </c>
      <c r="B74" s="348" t="s">
        <v>651</v>
      </c>
      <c r="C74" s="1307" t="s">
        <v>653</v>
      </c>
      <c r="D74" s="476">
        <v>18358147.5</v>
      </c>
      <c r="E74" s="476"/>
    </row>
    <row r="75" spans="1:6">
      <c r="A75" s="348" t="s">
        <v>64</v>
      </c>
      <c r="B75" s="348" t="s">
        <v>650</v>
      </c>
      <c r="C75" s="1307" t="s">
        <v>654</v>
      </c>
      <c r="D75" s="476">
        <v>77771484</v>
      </c>
      <c r="E75" s="476"/>
    </row>
    <row r="76" spans="1:6">
      <c r="A76" s="348" t="s">
        <v>64</v>
      </c>
      <c r="B76" s="348" t="s">
        <v>651</v>
      </c>
      <c r="C76" s="1307" t="s">
        <v>655</v>
      </c>
      <c r="D76" s="476">
        <v>966361.5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1483945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8036.6012123874061</v>
      </c>
    </row>
    <row r="92" spans="1:6">
      <c r="A92" s="341" t="s">
        <v>68</v>
      </c>
      <c r="B92" s="342">
        <v>15727.31368915486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6223</v>
      </c>
    </row>
    <row r="98" spans="1:6">
      <c r="A98" s="348" t="s">
        <v>71</v>
      </c>
      <c r="B98" s="334">
        <v>8</v>
      </c>
    </row>
    <row r="99" spans="1:6">
      <c r="A99" s="348" t="s">
        <v>72</v>
      </c>
      <c r="B99" s="334">
        <v>93</v>
      </c>
    </row>
    <row r="100" spans="1:6">
      <c r="A100" s="348" t="s">
        <v>73</v>
      </c>
      <c r="B100" s="334">
        <v>422</v>
      </c>
    </row>
    <row r="101" spans="1:6">
      <c r="A101" s="348" t="s">
        <v>74</v>
      </c>
      <c r="B101" s="334">
        <v>99</v>
      </c>
    </row>
    <row r="102" spans="1:6">
      <c r="A102" s="348" t="s">
        <v>75</v>
      </c>
      <c r="B102" s="334">
        <v>212</v>
      </c>
    </row>
    <row r="103" spans="1:6">
      <c r="A103" s="348" t="s">
        <v>76</v>
      </c>
      <c r="B103" s="334">
        <v>294</v>
      </c>
    </row>
    <row r="104" spans="1:6">
      <c r="A104" s="348" t="s">
        <v>77</v>
      </c>
      <c r="B104" s="334">
        <v>7679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77</v>
      </c>
      <c r="C123" s="334">
        <v>38</v>
      </c>
    </row>
    <row r="124" spans="1:6">
      <c r="A124" s="341" t="s">
        <v>88</v>
      </c>
      <c r="B124" s="334">
        <v>3</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286</v>
      </c>
    </row>
    <row r="130" spans="1:6">
      <c r="A130" s="348" t="s">
        <v>294</v>
      </c>
      <c r="B130" s="334">
        <v>0</v>
      </c>
    </row>
    <row r="131" spans="1:6">
      <c r="A131" s="348" t="s">
        <v>295</v>
      </c>
      <c r="B131" s="334">
        <v>3</v>
      </c>
    </row>
    <row r="132" spans="1:6">
      <c r="A132" s="341" t="s">
        <v>296</v>
      </c>
      <c r="B132" s="342">
        <v>81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270661.08416629303</v>
      </c>
      <c r="C3" s="43" t="s">
        <v>169</v>
      </c>
      <c r="D3" s="43"/>
      <c r="E3" s="154"/>
      <c r="F3" s="43"/>
      <c r="G3" s="43"/>
      <c r="H3" s="43"/>
      <c r="I3" s="43"/>
      <c r="J3" s="43"/>
      <c r="K3" s="96"/>
    </row>
    <row r="4" spans="1:11">
      <c r="A4" s="383" t="s">
        <v>170</v>
      </c>
      <c r="B4" s="49">
        <f>IF(ISERROR('SEAP template'!B78+'SEAP template'!C78),0,'SEAP template'!B78+'SEAP template'!C78)</f>
        <v>24282.764901542265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5.6678823529411773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0.20119359459302902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8.0969747899159685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34.071428571428577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2482.1959999999999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2482.1959999999999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0.20119359459302902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499.40193572443826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56583.136190000099</v>
      </c>
      <c r="C5" s="17">
        <f>IF(ISERROR('Eigen informatie GS &amp; warmtenet'!B59),0,'Eigen informatie GS &amp; warmtenet'!B59)</f>
        <v>0</v>
      </c>
      <c r="D5" s="30">
        <f>(SUM(HH_hh_gas_kWh,HH_rest_gas_kWh)/1000)*0.902</f>
        <v>189743.76640560004</v>
      </c>
      <c r="E5" s="17">
        <f>B46*B57</f>
        <v>18259.325408153716</v>
      </c>
      <c r="F5" s="17">
        <f>B51*B62</f>
        <v>67089.602155053348</v>
      </c>
      <c r="G5" s="18"/>
      <c r="H5" s="17"/>
      <c r="I5" s="17"/>
      <c r="J5" s="17">
        <f>B50*B61+C50*C61</f>
        <v>0</v>
      </c>
      <c r="K5" s="17"/>
      <c r="L5" s="17"/>
      <c r="M5" s="17"/>
      <c r="N5" s="17">
        <f>B48*B59+C48*C59</f>
        <v>33637.022541827151</v>
      </c>
      <c r="O5" s="17">
        <f>B69*B70*B71</f>
        <v>648.75433773955933</v>
      </c>
      <c r="P5" s="17">
        <f>B77*B78*B79/1000-B77*B78*B79/1000/B80</f>
        <v>1695.9674485372886</v>
      </c>
    </row>
    <row r="6" spans="1:16">
      <c r="A6" s="16" t="s">
        <v>615</v>
      </c>
      <c r="B6" s="809">
        <f>kWh_PV_kleiner_dan_10kW</f>
        <v>8036.6012123874061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64619.737402387502</v>
      </c>
      <c r="C8" s="21">
        <f>C5</f>
        <v>0</v>
      </c>
      <c r="D8" s="21">
        <f>D5</f>
        <v>189743.76640560004</v>
      </c>
      <c r="E8" s="21">
        <f>E5</f>
        <v>18259.325408153716</v>
      </c>
      <c r="F8" s="21">
        <f>F5</f>
        <v>67089.602155053348</v>
      </c>
      <c r="G8" s="21"/>
      <c r="H8" s="21"/>
      <c r="I8" s="21"/>
      <c r="J8" s="21">
        <f>J5</f>
        <v>0</v>
      </c>
      <c r="K8" s="21"/>
      <c r="L8" s="21">
        <f>L5</f>
        <v>0</v>
      </c>
      <c r="M8" s="21">
        <f>M5</f>
        <v>0</v>
      </c>
      <c r="N8" s="21">
        <f>N5</f>
        <v>33637.022541827151</v>
      </c>
      <c r="O8" s="21">
        <f>O5</f>
        <v>648.75433773955933</v>
      </c>
      <c r="P8" s="21">
        <f>P5</f>
        <v>1695.9674485372886</v>
      </c>
    </row>
    <row r="9" spans="1:16">
      <c r="B9" s="19"/>
      <c r="C9" s="19"/>
      <c r="D9" s="258"/>
      <c r="E9" s="19"/>
      <c r="F9" s="19"/>
      <c r="G9" s="19"/>
      <c r="H9" s="19"/>
      <c r="I9" s="19"/>
      <c r="J9" s="19"/>
      <c r="K9" s="19"/>
      <c r="L9" s="19"/>
      <c r="M9" s="19"/>
      <c r="N9" s="19"/>
      <c r="O9" s="19"/>
      <c r="P9" s="19"/>
    </row>
    <row r="10" spans="1:16">
      <c r="A10" s="24" t="s">
        <v>213</v>
      </c>
      <c r="B10" s="25">
        <f ca="1">'EF ele_warmte'!B12</f>
        <v>0.20119359459302902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13001.077249643946</v>
      </c>
      <c r="C12" s="23">
        <f ca="1">C10*C8</f>
        <v>0</v>
      </c>
      <c r="D12" s="23">
        <f>D8*D10</f>
        <v>38328.24081393121</v>
      </c>
      <c r="E12" s="23">
        <f>E10*E8</f>
        <v>4144.8668676508933</v>
      </c>
      <c r="F12" s="23">
        <f>F10*F8</f>
        <v>17912.923775399246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6223</v>
      </c>
      <c r="C18" s="166" t="s">
        <v>110</v>
      </c>
      <c r="D18" s="228"/>
      <c r="E18" s="15"/>
    </row>
    <row r="19" spans="1:7">
      <c r="A19" s="171" t="s">
        <v>71</v>
      </c>
      <c r="B19" s="37">
        <f>aantalw2001_ander</f>
        <v>8</v>
      </c>
      <c r="C19" s="166" t="s">
        <v>110</v>
      </c>
      <c r="D19" s="229"/>
      <c r="E19" s="15"/>
    </row>
    <row r="20" spans="1:7">
      <c r="A20" s="171" t="s">
        <v>72</v>
      </c>
      <c r="B20" s="37">
        <f>aantalw2001_propaan</f>
        <v>93</v>
      </c>
      <c r="C20" s="167">
        <f>IF(ISERROR(B20/SUM($B$20,$B$21,$B$22)*100),0,B20/SUM($B$20,$B$21,$B$22)*100)</f>
        <v>15.146579804560261</v>
      </c>
      <c r="D20" s="229"/>
      <c r="E20" s="15"/>
    </row>
    <row r="21" spans="1:7">
      <c r="A21" s="171" t="s">
        <v>73</v>
      </c>
      <c r="B21" s="37">
        <f>aantalw2001_elektriciteit</f>
        <v>422</v>
      </c>
      <c r="C21" s="167">
        <f>IF(ISERROR(B21/SUM($B$20,$B$21,$B$22)*100),0,B21/SUM($B$20,$B$21,$B$22)*100)</f>
        <v>68.729641693811075</v>
      </c>
      <c r="D21" s="229"/>
      <c r="E21" s="15"/>
    </row>
    <row r="22" spans="1:7">
      <c r="A22" s="171" t="s">
        <v>74</v>
      </c>
      <c r="B22" s="37">
        <f>aantalw2001_hout</f>
        <v>99</v>
      </c>
      <c r="C22" s="167">
        <f>IF(ISERROR(B22/SUM($B$20,$B$21,$B$22)*100),0,B22/SUM($B$20,$B$21,$B$22)*100)</f>
        <v>16.123778501628664</v>
      </c>
      <c r="D22" s="229"/>
      <c r="E22" s="15"/>
    </row>
    <row r="23" spans="1:7">
      <c r="A23" s="171" t="s">
        <v>75</v>
      </c>
      <c r="B23" s="37">
        <f>aantalw2001_niet_gespec</f>
        <v>212</v>
      </c>
      <c r="C23" s="166" t="s">
        <v>110</v>
      </c>
      <c r="D23" s="228"/>
      <c r="E23" s="15"/>
    </row>
    <row r="24" spans="1:7">
      <c r="A24" s="171" t="s">
        <v>76</v>
      </c>
      <c r="B24" s="37">
        <f>aantalw2001_steenkool</f>
        <v>294</v>
      </c>
      <c r="C24" s="166" t="s">
        <v>110</v>
      </c>
      <c r="D24" s="229"/>
      <c r="E24" s="15"/>
    </row>
    <row r="25" spans="1:7">
      <c r="A25" s="171" t="s">
        <v>77</v>
      </c>
      <c r="B25" s="37">
        <f>aantalw2001_stookolie</f>
        <v>7679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17635</v>
      </c>
      <c r="C28" s="36"/>
      <c r="D28" s="228"/>
    </row>
    <row r="29" spans="1:7" s="15" customFormat="1">
      <c r="A29" s="230" t="s">
        <v>837</v>
      </c>
      <c r="B29" s="37">
        <f>SUM(HH_hh_gas_aantal,HH_rest_gas_aantal)</f>
        <v>11170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11170</v>
      </c>
      <c r="C32" s="167">
        <f>IF(ISERROR(B32/SUM($B$32,$B$34,$B$35,$B$36,$B$38,$B$39)*100),0,B32/SUM($B$32,$B$34,$B$35,$B$36,$B$38,$B$39)*100)</f>
        <v>63.923543550417762</v>
      </c>
      <c r="D32" s="233"/>
      <c r="G32" s="15"/>
    </row>
    <row r="33" spans="1:7">
      <c r="A33" s="171" t="s">
        <v>71</v>
      </c>
      <c r="B33" s="34" t="s">
        <v>110</v>
      </c>
      <c r="C33" s="167"/>
      <c r="D33" s="233"/>
      <c r="G33" s="15"/>
    </row>
    <row r="34" spans="1:7">
      <c r="A34" s="171" t="s">
        <v>72</v>
      </c>
      <c r="B34" s="33">
        <f>IF((($B$28-$B$32-$B$39-$B$77-$B$38)*C20/100)&lt;0,0,($B$28-$B$32-$B$39-$B$77-$B$38)*C20/100)</f>
        <v>466.10570032573298</v>
      </c>
      <c r="C34" s="167">
        <f>IF(ISERROR(B34/SUM($B$32,$B$34,$B$35,$B$36,$B$38,$B$39)*100),0,B34/SUM($B$32,$B$34,$B$35,$B$36,$B$38,$B$39)*100)</f>
        <v>2.667424174921214</v>
      </c>
      <c r="D34" s="233"/>
      <c r="G34" s="15"/>
    </row>
    <row r="35" spans="1:7">
      <c r="A35" s="171" t="s">
        <v>73</v>
      </c>
      <c r="B35" s="33">
        <f>IF((($B$28-$B$32-$B$39-$B$77-$B$38)*C21/100)&lt;0,0,($B$28-$B$32-$B$39-$B$77-$B$38)*C21/100)</f>
        <v>2115.0172638436484</v>
      </c>
      <c r="C35" s="167">
        <f>IF(ISERROR(B35/SUM($B$32,$B$34,$B$35,$B$36,$B$38,$B$39)*100),0,B35/SUM($B$32,$B$34,$B$35,$B$36,$B$38,$B$39)*100)</f>
        <v>12.103795718459702</v>
      </c>
      <c r="D35" s="233"/>
      <c r="G35" s="15"/>
    </row>
    <row r="36" spans="1:7">
      <c r="A36" s="171" t="s">
        <v>74</v>
      </c>
      <c r="B36" s="33">
        <f>IF((($B$28-$B$32-$B$39-$B$77-$B$38)*C22/100)&lt;0,0,($B$28-$B$32-$B$39-$B$77-$B$38)*C22/100)</f>
        <v>496.17703583061893</v>
      </c>
      <c r="C36" s="167">
        <f>IF(ISERROR(B36/SUM($B$32,$B$34,$B$35,$B$36,$B$38,$B$39)*100),0,B36/SUM($B$32,$B$34,$B$35,$B$36,$B$38,$B$39)*100)</f>
        <v>2.8395160571741953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3226.7</v>
      </c>
      <c r="C39" s="167">
        <f>IF(ISERROR(B39/SUM($B$32,$B$34,$B$35,$B$36,$B$38,$B$39)*100),0,B39/SUM($B$32,$B$34,$B$35,$B$36,$B$38,$B$39)*100)</f>
        <v>18.465720499027125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11170</v>
      </c>
      <c r="C44" s="34" t="s">
        <v>110</v>
      </c>
      <c r="D44" s="174"/>
    </row>
    <row r="45" spans="1:7">
      <c r="A45" s="171" t="s">
        <v>71</v>
      </c>
      <c r="B45" s="33" t="str">
        <f t="shared" si="0"/>
        <v>-</v>
      </c>
      <c r="C45" s="34" t="s">
        <v>110</v>
      </c>
      <c r="D45" s="174"/>
    </row>
    <row r="46" spans="1:7">
      <c r="A46" s="171" t="s">
        <v>72</v>
      </c>
      <c r="B46" s="33">
        <f t="shared" si="0"/>
        <v>466.10570032573298</v>
      </c>
      <c r="C46" s="34" t="s">
        <v>110</v>
      </c>
      <c r="D46" s="174"/>
    </row>
    <row r="47" spans="1:7">
      <c r="A47" s="171" t="s">
        <v>73</v>
      </c>
      <c r="B47" s="33">
        <f t="shared" si="0"/>
        <v>2115.0172638436484</v>
      </c>
      <c r="C47" s="34" t="s">
        <v>110</v>
      </c>
      <c r="D47" s="174"/>
    </row>
    <row r="48" spans="1:7">
      <c r="A48" s="171" t="s">
        <v>74</v>
      </c>
      <c r="B48" s="33">
        <f t="shared" si="0"/>
        <v>496.17703583061893</v>
      </c>
      <c r="C48" s="33">
        <f>B48*10</f>
        <v>4961.7703583061893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3226.7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327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87450.653676999995</v>
      </c>
      <c r="C5" s="17">
        <f>IF(ISERROR('Eigen informatie GS &amp; warmtenet'!B60),0,'Eigen informatie GS &amp; warmtenet'!B60)</f>
        <v>0</v>
      </c>
      <c r="D5" s="30">
        <f>SUM(D6:D12)</f>
        <v>91518.645003742</v>
      </c>
      <c r="E5" s="17">
        <f>SUM(E6:E12)</f>
        <v>1328.209617951944</v>
      </c>
      <c r="F5" s="17">
        <f>SUM(F6:F12)</f>
        <v>9576.5244110609456</v>
      </c>
      <c r="G5" s="18"/>
      <c r="H5" s="17"/>
      <c r="I5" s="17"/>
      <c r="J5" s="17">
        <f>SUM(J6:J12)</f>
        <v>0.19211140309142369</v>
      </c>
      <c r="K5" s="17"/>
      <c r="L5" s="17"/>
      <c r="M5" s="17"/>
      <c r="N5" s="17">
        <f>SUM(N6:N12)</f>
        <v>7603.2418221316511</v>
      </c>
      <c r="O5" s="17">
        <f>B38*B39*B40</f>
        <v>0</v>
      </c>
      <c r="P5" s="17">
        <f>B46*B47*B48/1000-B46*B47*B48/1000/B49</f>
        <v>157.61741491948504</v>
      </c>
      <c r="R5" s="32"/>
    </row>
    <row r="6" spans="1:18">
      <c r="A6" s="32" t="s">
        <v>53</v>
      </c>
      <c r="B6" s="37">
        <f>B26</f>
        <v>17860.908097</v>
      </c>
      <c r="C6" s="33"/>
      <c r="D6" s="37">
        <f>IF(ISERROR(TER_kantoor_gas_kWh/1000),0,TER_kantoor_gas_kWh/1000)*0.902</f>
        <v>33196.957252118002</v>
      </c>
      <c r="E6" s="33">
        <f>$C$26*'E Balans VL '!I12/100/3.6*1000000</f>
        <v>143.72100079826325</v>
      </c>
      <c r="F6" s="33">
        <f>$C$26*('E Balans VL '!L12+'E Balans VL '!N12)/100/3.6*1000000</f>
        <v>2183.6839055959849</v>
      </c>
      <c r="G6" s="34"/>
      <c r="H6" s="33"/>
      <c r="I6" s="33"/>
      <c r="J6" s="33">
        <f>$C$26*('E Balans VL '!D12+'E Balans VL '!E12)/100/3.6*1000000</f>
        <v>0</v>
      </c>
      <c r="K6" s="33"/>
      <c r="L6" s="33"/>
      <c r="M6" s="33"/>
      <c r="N6" s="33">
        <f>$C$26*'E Balans VL '!Y12/100/3.6*1000000</f>
        <v>9.5993585476118639</v>
      </c>
      <c r="O6" s="33"/>
      <c r="P6" s="33"/>
      <c r="R6" s="32"/>
    </row>
    <row r="7" spans="1:18">
      <c r="A7" s="32" t="s">
        <v>52</v>
      </c>
      <c r="B7" s="37">
        <f t="shared" ref="B7:B12" si="0">B27</f>
        <v>7200.5590169999996</v>
      </c>
      <c r="C7" s="33"/>
      <c r="D7" s="37">
        <f>IF(ISERROR(TER_horeca_gas_kWh/1000),0,TER_horeca_gas_kWh/1000)*0.902</f>
        <v>9447.1088667120002</v>
      </c>
      <c r="E7" s="33">
        <f>$C$27*'E Balans VL '!I9/100/3.6*1000000</f>
        <v>77.316322360857072</v>
      </c>
      <c r="F7" s="33">
        <f>$C$27*('E Balans VL '!L9+'E Balans VL '!N9)/100/3.6*1000000</f>
        <v>866.05264560218927</v>
      </c>
      <c r="G7" s="34"/>
      <c r="H7" s="33"/>
      <c r="I7" s="33"/>
      <c r="J7" s="33">
        <f>$C$27*('E Balans VL '!D9+'E Balans VL '!E9)/100/3.6*1000000</f>
        <v>0</v>
      </c>
      <c r="K7" s="33"/>
      <c r="L7" s="33"/>
      <c r="M7" s="33"/>
      <c r="N7" s="33">
        <f>$C$27*'E Balans VL '!Y9/100/3.6*1000000</f>
        <v>1.0795097350363418</v>
      </c>
      <c r="O7" s="33"/>
      <c r="P7" s="33"/>
      <c r="R7" s="32"/>
    </row>
    <row r="8" spans="1:18">
      <c r="A8" s="6" t="s">
        <v>51</v>
      </c>
      <c r="B8" s="37">
        <f t="shared" si="0"/>
        <v>38159.731178999995</v>
      </c>
      <c r="C8" s="33"/>
      <c r="D8" s="37">
        <f>IF(ISERROR(TER_handel_gas_kWh/1000),0,TER_handel_gas_kWh/1000)*0.902</f>
        <v>17119.584993500001</v>
      </c>
      <c r="E8" s="33">
        <f>$C$28*'E Balans VL '!I13/100/3.6*1000000</f>
        <v>1024.0903599606495</v>
      </c>
      <c r="F8" s="33">
        <f>$C$28*('E Balans VL '!L13+'E Balans VL '!N13)/100/3.6*1000000</f>
        <v>3641.6144677173261</v>
      </c>
      <c r="G8" s="34"/>
      <c r="H8" s="33"/>
      <c r="I8" s="33"/>
      <c r="J8" s="33">
        <f>$C$28*('E Balans VL '!D13+'E Balans VL '!E13)/100/3.6*1000000</f>
        <v>0</v>
      </c>
      <c r="K8" s="33"/>
      <c r="L8" s="33"/>
      <c r="M8" s="33"/>
      <c r="N8" s="33">
        <f>$C$28*'E Balans VL '!Y13/100/3.6*1000000</f>
        <v>15.126951330208943</v>
      </c>
      <c r="O8" s="33"/>
      <c r="P8" s="33"/>
      <c r="R8" s="32"/>
    </row>
    <row r="9" spans="1:18">
      <c r="A9" s="32" t="s">
        <v>50</v>
      </c>
      <c r="B9" s="37">
        <f t="shared" si="0"/>
        <v>11159.564929</v>
      </c>
      <c r="C9" s="33"/>
      <c r="D9" s="37">
        <f>IF(ISERROR(TER_gezond_gas_kWh/1000),0,TER_gezond_gas_kWh/1000)*0.902</f>
        <v>19659.030950570002</v>
      </c>
      <c r="E9" s="33">
        <f>$C$29*'E Balans VL '!I10/100/3.6*1000000</f>
        <v>20.916658389076463</v>
      </c>
      <c r="F9" s="33">
        <f>$C$29*('E Balans VL '!L10+'E Balans VL '!N10)/100/3.6*1000000</f>
        <v>917.41806034796343</v>
      </c>
      <c r="G9" s="34"/>
      <c r="H9" s="33"/>
      <c r="I9" s="33"/>
      <c r="J9" s="33">
        <f>$C$29*('E Balans VL '!D10+'E Balans VL '!E10)/100/3.6*1000000</f>
        <v>0</v>
      </c>
      <c r="K9" s="33"/>
      <c r="L9" s="33"/>
      <c r="M9" s="33"/>
      <c r="N9" s="33">
        <f>$C$29*'E Balans VL '!Y10/100/3.6*1000000</f>
        <v>86.829741379427915</v>
      </c>
      <c r="O9" s="33"/>
      <c r="P9" s="33"/>
      <c r="R9" s="32"/>
    </row>
    <row r="10" spans="1:18">
      <c r="A10" s="32" t="s">
        <v>49</v>
      </c>
      <c r="B10" s="37">
        <f t="shared" si="0"/>
        <v>11316.610799</v>
      </c>
      <c r="C10" s="33"/>
      <c r="D10" s="37">
        <f>IF(ISERROR(TER_ander_gas_kWh/1000),0,TER_ander_gas_kWh/1000)*0.902</f>
        <v>8447.1065162000014</v>
      </c>
      <c r="E10" s="33">
        <f>$C$30*'E Balans VL '!I14/100/3.6*1000000</f>
        <v>17.444670216103933</v>
      </c>
      <c r="F10" s="33">
        <f>$C$30*('E Balans VL '!L14+'E Balans VL '!N14)/100/3.6*1000000</f>
        <v>1756.9069506669218</v>
      </c>
      <c r="G10" s="34"/>
      <c r="H10" s="33"/>
      <c r="I10" s="33"/>
      <c r="J10" s="33">
        <f>$C$30*('E Balans VL '!D14+'E Balans VL '!E14)/100/3.6*1000000</f>
        <v>0.19211140309142369</v>
      </c>
      <c r="K10" s="33"/>
      <c r="L10" s="33"/>
      <c r="M10" s="33"/>
      <c r="N10" s="33">
        <f>$C$30*'E Balans VL '!Y14/100/3.6*1000000</f>
        <v>7486.7070099648145</v>
      </c>
      <c r="O10" s="33"/>
      <c r="P10" s="33"/>
      <c r="R10" s="32"/>
    </row>
    <row r="11" spans="1:18">
      <c r="A11" s="32" t="s">
        <v>54</v>
      </c>
      <c r="B11" s="37">
        <f t="shared" si="0"/>
        <v>1753.2796559999999</v>
      </c>
      <c r="C11" s="33"/>
      <c r="D11" s="37">
        <f>IF(ISERROR(TER_onderwijs_gas_kWh/1000),0,TER_onderwijs_gas_kWh/1000)*0.902</f>
        <v>3648.8564246419996</v>
      </c>
      <c r="E11" s="33">
        <f>$C$31*'E Balans VL '!I11/100/3.6*1000000</f>
        <v>44.720606226993915</v>
      </c>
      <c r="F11" s="33">
        <f>$C$31*('E Balans VL '!L11+'E Balans VL '!N11)/100/3.6*1000000</f>
        <v>210.84838113055932</v>
      </c>
      <c r="G11" s="34"/>
      <c r="H11" s="33"/>
      <c r="I11" s="33"/>
      <c r="J11" s="33">
        <f>$C$31*('E Balans VL '!D11+'E Balans VL '!E11)/100/3.6*1000000</f>
        <v>0</v>
      </c>
      <c r="K11" s="33"/>
      <c r="L11" s="33"/>
      <c r="M11" s="33"/>
      <c r="N11" s="33">
        <f>$C$31*'E Balans VL '!Y11/100/3.6*1000000</f>
        <v>3.8992511745517686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518.85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-1414.2857142857144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87969.503677000001</v>
      </c>
      <c r="C16" s="21">
        <f t="shared" ca="1" si="1"/>
        <v>34.071428571428577</v>
      </c>
      <c r="D16" s="21">
        <f t="shared" ca="1" si="1"/>
        <v>91450.502146599145</v>
      </c>
      <c r="E16" s="21">
        <f t="shared" si="1"/>
        <v>1328.209617951944</v>
      </c>
      <c r="F16" s="21">
        <f t="shared" ca="1" si="1"/>
        <v>9576.5244110609456</v>
      </c>
      <c r="G16" s="21">
        <f t="shared" si="1"/>
        <v>0</v>
      </c>
      <c r="H16" s="21">
        <f t="shared" si="1"/>
        <v>0</v>
      </c>
      <c r="I16" s="21">
        <f t="shared" si="1"/>
        <v>0</v>
      </c>
      <c r="J16" s="21">
        <f t="shared" si="1"/>
        <v>0.19211140309142369</v>
      </c>
      <c r="K16" s="21">
        <f t="shared" si="1"/>
        <v>0</v>
      </c>
      <c r="L16" s="21">
        <f t="shared" ca="1" si="1"/>
        <v>0</v>
      </c>
      <c r="M16" s="21">
        <f t="shared" si="1"/>
        <v>0</v>
      </c>
      <c r="N16" s="21">
        <f t="shared" ca="1" si="1"/>
        <v>6188.9561078459365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0.20119359459302902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17698.900659340314</v>
      </c>
      <c r="C20" s="23">
        <f t="shared" ref="C20:P20" ca="1" si="2">C16*C18</f>
        <v>8.0969747899159685</v>
      </c>
      <c r="D20" s="23">
        <f t="shared" ca="1" si="2"/>
        <v>18473.00143361303</v>
      </c>
      <c r="E20" s="23">
        <f t="shared" si="2"/>
        <v>301.50358327509127</v>
      </c>
      <c r="F20" s="23">
        <f t="shared" ca="1" si="2"/>
        <v>2556.9320177532727</v>
      </c>
      <c r="G20" s="23">
        <f t="shared" si="2"/>
        <v>0</v>
      </c>
      <c r="H20" s="23">
        <f t="shared" si="2"/>
        <v>0</v>
      </c>
      <c r="I20" s="23">
        <f t="shared" si="2"/>
        <v>0</v>
      </c>
      <c r="J20" s="23">
        <f t="shared" si="2"/>
        <v>6.8007436694363987E-2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17860.908097</v>
      </c>
      <c r="C26" s="39">
        <f>IF(ISERROR(B26*3.6/1000000/'E Balans VL '!Z12*100),0,B26*3.6/1000000/'E Balans VL '!Z12*100)</f>
        <v>0.37890282442342649</v>
      </c>
      <c r="D26" s="237" t="s">
        <v>716</v>
      </c>
      <c r="F26" s="6"/>
    </row>
    <row r="27" spans="1:18">
      <c r="A27" s="231" t="s">
        <v>52</v>
      </c>
      <c r="B27" s="33">
        <f>IF(ISERROR(TER_horeca_ele_kWh/1000),0,TER_horeca_ele_kWh/1000)</f>
        <v>7200.5590169999996</v>
      </c>
      <c r="C27" s="39">
        <f>IF(ISERROR(B27*3.6/1000000/'E Balans VL '!Z9*100),0,B27*3.6/1000000/'E Balans VL '!Z9*100)</f>
        <v>0.54226588017937039</v>
      </c>
      <c r="D27" s="237" t="s">
        <v>716</v>
      </c>
      <c r="F27" s="6"/>
    </row>
    <row r="28" spans="1:18">
      <c r="A28" s="171" t="s">
        <v>51</v>
      </c>
      <c r="B28" s="33">
        <f>IF(ISERROR(TER_handel_ele_kWh/1000),0,TER_handel_ele_kWh/1000)</f>
        <v>38159.731178999995</v>
      </c>
      <c r="C28" s="39">
        <f>IF(ISERROR(B28*3.6/1000000/'E Balans VL '!Z13*100),0,B28*3.6/1000000/'E Balans VL '!Z13*100)</f>
        <v>1.1076417856494374</v>
      </c>
      <c r="D28" s="237" t="s">
        <v>716</v>
      </c>
      <c r="F28" s="6"/>
    </row>
    <row r="29" spans="1:18">
      <c r="A29" s="231" t="s">
        <v>50</v>
      </c>
      <c r="B29" s="33">
        <f>IF(ISERROR(TER_gezond_ele_kWh/1000),0,TER_gezond_ele_kWh/1000)</f>
        <v>11159.564929</v>
      </c>
      <c r="C29" s="39">
        <f>IF(ISERROR(B29*3.6/1000000/'E Balans VL '!Z10*100),0,B29*3.6/1000000/'E Balans VL '!Z10*100)</f>
        <v>1.1254554314128642</v>
      </c>
      <c r="D29" s="237" t="s">
        <v>716</v>
      </c>
      <c r="F29" s="6"/>
    </row>
    <row r="30" spans="1:18">
      <c r="A30" s="231" t="s">
        <v>49</v>
      </c>
      <c r="B30" s="33">
        <f>IF(ISERROR(TER_ander_ele_kWh/1000),0,TER_ander_ele_kWh/1000)</f>
        <v>11316.610799</v>
      </c>
      <c r="C30" s="39">
        <f>IF(ISERROR(B30*3.6/1000000/'E Balans VL '!Z14*100),0,B30*3.6/1000000/'E Balans VL '!Z14*100)</f>
        <v>0.82117450034636752</v>
      </c>
      <c r="D30" s="237" t="s">
        <v>716</v>
      </c>
      <c r="F30" s="6"/>
    </row>
    <row r="31" spans="1:18">
      <c r="A31" s="231" t="s">
        <v>54</v>
      </c>
      <c r="B31" s="33">
        <f>IF(ISERROR(TER_onderwijs_ele_kWh/1000),0,TER_onderwijs_ele_kWh/1000)</f>
        <v>1753.2796559999999</v>
      </c>
      <c r="C31" s="39">
        <f>IF(ISERROR(B31*3.6/1000000/'E Balans VL '!Z11*100),0,B31*3.6/1000000/'E Balans VL '!Z11*100)</f>
        <v>0.49975609883208955</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103751.17147800002</v>
      </c>
      <c r="C5" s="17">
        <f>IF(ISERROR('Eigen informatie GS &amp; warmtenet'!B61),0,'Eigen informatie GS &amp; warmtenet'!B61)</f>
        <v>0</v>
      </c>
      <c r="D5" s="30">
        <f>SUM(D6:D15)</f>
        <v>47445.126802700004</v>
      </c>
      <c r="E5" s="17">
        <f>SUM(E6:E15)</f>
        <v>2179.6802067879335</v>
      </c>
      <c r="F5" s="17">
        <f>SUM(F6:F15)</f>
        <v>13482.237171854867</v>
      </c>
      <c r="G5" s="18"/>
      <c r="H5" s="17"/>
      <c r="I5" s="17"/>
      <c r="J5" s="17">
        <f>SUM(J6:J15)</f>
        <v>102.86657547302428</v>
      </c>
      <c r="K5" s="17"/>
      <c r="L5" s="17"/>
      <c r="M5" s="17"/>
      <c r="N5" s="17">
        <f>SUM(N6:N15)</f>
        <v>2400.3493146423734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84019.66</v>
      </c>
      <c r="C8" s="33"/>
      <c r="D8" s="37">
        <f>IF( ISERROR(IND_metaal_Gas_kWH/1000),0,IND_metaal_Gas_kWH/1000)*0.902</f>
        <v>40575.851228</v>
      </c>
      <c r="E8" s="33">
        <f>C30*'E Balans VL '!I18/100/3.6*1000000</f>
        <v>606.14287639125405</v>
      </c>
      <c r="F8" s="33">
        <f>C30*'E Balans VL '!L18/100/3.6*1000000+C30*'E Balans VL '!N18/100/3.6*1000000</f>
        <v>7946.7106219923699</v>
      </c>
      <c r="G8" s="34"/>
      <c r="H8" s="33"/>
      <c r="I8" s="33"/>
      <c r="J8" s="40">
        <f>C30*'E Balans VL '!D18/100/3.6*1000000+C30*'E Balans VL '!E18/100/3.6*1000000</f>
        <v>84.507462282889989</v>
      </c>
      <c r="K8" s="33"/>
      <c r="L8" s="33"/>
      <c r="M8" s="33"/>
      <c r="N8" s="33">
        <f>C30*'E Balans VL '!Y18/100/3.6*1000000</f>
        <v>1062.2307964740548</v>
      </c>
      <c r="O8" s="33"/>
      <c r="P8" s="33"/>
      <c r="R8" s="32"/>
    </row>
    <row r="9" spans="1:18">
      <c r="A9" s="6" t="s">
        <v>32</v>
      </c>
      <c r="B9" s="37">
        <f t="shared" si="0"/>
        <v>5426.3166569999994</v>
      </c>
      <c r="C9" s="33"/>
      <c r="D9" s="37">
        <f>IF( ISERROR(IND_andere_gas_kWh/1000),0,IND_andere_gas_kWh/1000)*0.902</f>
        <v>3955.5345115</v>
      </c>
      <c r="E9" s="33">
        <f>C31*'E Balans VL '!I19/100/3.6*1000000</f>
        <v>1503.7049045987499</v>
      </c>
      <c r="F9" s="33">
        <f>C31*'E Balans VL '!L19/100/3.6*1000000+C31*'E Balans VL '!N19/100/3.6*1000000</f>
        <v>4497.3429716822693</v>
      </c>
      <c r="G9" s="34"/>
      <c r="H9" s="33"/>
      <c r="I9" s="33"/>
      <c r="J9" s="40">
        <f>C31*'E Balans VL '!D19/100/3.6*1000000+C31*'E Balans VL '!E19/100/3.6*1000000</f>
        <v>0</v>
      </c>
      <c r="K9" s="33"/>
      <c r="L9" s="33"/>
      <c r="M9" s="33"/>
      <c r="N9" s="33">
        <f>C31*'E Balans VL '!Y19/100/3.6*1000000</f>
        <v>393.88421826027144</v>
      </c>
      <c r="O9" s="33"/>
      <c r="P9" s="33"/>
      <c r="R9" s="32"/>
    </row>
    <row r="10" spans="1:18">
      <c r="A10" s="6" t="s">
        <v>40</v>
      </c>
      <c r="B10" s="37">
        <f t="shared" si="0"/>
        <v>13076.212821000001</v>
      </c>
      <c r="C10" s="33"/>
      <c r="D10" s="37">
        <f>IF( ISERROR(IND_voed_gas_kWh/1000),0,IND_voed_gas_kWh/1000)*0.902</f>
        <v>2277.0454212</v>
      </c>
      <c r="E10" s="33">
        <f>C32*'E Balans VL '!I20/100/3.6*1000000</f>
        <v>23.149325890420993</v>
      </c>
      <c r="F10" s="33">
        <f>C32*'E Balans VL '!L20/100/3.6*1000000+C32*'E Balans VL '!N20/100/3.6*1000000</f>
        <v>706.23138576865131</v>
      </c>
      <c r="G10" s="34"/>
      <c r="H10" s="33"/>
      <c r="I10" s="33"/>
      <c r="J10" s="40">
        <f>C32*'E Balans VL '!D20/100/3.6*1000000+C32*'E Balans VL '!E20/100/3.6*1000000</f>
        <v>0</v>
      </c>
      <c r="K10" s="33"/>
      <c r="L10" s="33"/>
      <c r="M10" s="33"/>
      <c r="N10" s="33">
        <f>C32*'E Balans VL '!Y20/100/3.6*1000000</f>
        <v>759.82782918181181</v>
      </c>
      <c r="O10" s="33"/>
      <c r="P10" s="33"/>
      <c r="R10" s="32"/>
    </row>
    <row r="11" spans="1:18">
      <c r="A11" s="6" t="s">
        <v>39</v>
      </c>
      <c r="B11" s="37">
        <f t="shared" si="0"/>
        <v>63.226999999999997</v>
      </c>
      <c r="C11" s="33"/>
      <c r="D11" s="37">
        <f>IF( ISERROR(IND_textiel_gas_kWh/1000),0,IND_textiel_gas_kWh/1000)*0.902</f>
        <v>138.35868199999999</v>
      </c>
      <c r="E11" s="33">
        <f>C33*'E Balans VL '!I21/100/3.6*1000000</f>
        <v>0.22288173764457425</v>
      </c>
      <c r="F11" s="33">
        <f>C33*'E Balans VL '!L21/100/3.6*1000000+C33*'E Balans VL '!N21/100/3.6*1000000</f>
        <v>1.8558069972114919</v>
      </c>
      <c r="G11" s="34"/>
      <c r="H11" s="33"/>
      <c r="I11" s="33"/>
      <c r="J11" s="40">
        <f>C33*'E Balans VL '!D21/100/3.6*1000000+C33*'E Balans VL '!E21/100/3.6*1000000</f>
        <v>0</v>
      </c>
      <c r="K11" s="33"/>
      <c r="L11" s="33"/>
      <c r="M11" s="33"/>
      <c r="N11" s="33">
        <f>C33*'E Balans VL '!Y21/100/3.6*1000000</f>
        <v>2.7857725692903741</v>
      </c>
      <c r="O11" s="33"/>
      <c r="P11" s="33"/>
      <c r="R11" s="32"/>
    </row>
    <row r="12" spans="1:18">
      <c r="A12" s="6" t="s">
        <v>36</v>
      </c>
      <c r="B12" s="37">
        <f t="shared" si="0"/>
        <v>685.91899999999998</v>
      </c>
      <c r="C12" s="33"/>
      <c r="D12" s="37">
        <f>IF( ISERROR(IND_min_gas_kWh/1000),0,IND_min_gas_kWh/1000)*0.902</f>
        <v>21.529838000000002</v>
      </c>
      <c r="E12" s="33">
        <f>C34*'E Balans VL '!I22/100/3.6*1000000</f>
        <v>30.205426063615743</v>
      </c>
      <c r="F12" s="33">
        <f>C34*'E Balans VL '!L22/100/3.6*1000000+C34*'E Balans VL '!N22/100/3.6*1000000</f>
        <v>268.2220302226425</v>
      </c>
      <c r="G12" s="34"/>
      <c r="H12" s="33"/>
      <c r="I12" s="33"/>
      <c r="J12" s="40">
        <f>C34*'E Balans VL '!D22/100/3.6*1000000+C34*'E Balans VL '!E22/100/3.6*1000000</f>
        <v>0.20826938319082119</v>
      </c>
      <c r="K12" s="33"/>
      <c r="L12" s="33"/>
      <c r="M12" s="33"/>
      <c r="N12" s="33">
        <f>C34*'E Balans VL '!Y22/100/3.6*1000000</f>
        <v>169.6755737698374</v>
      </c>
      <c r="O12" s="33"/>
      <c r="P12" s="33"/>
      <c r="R12" s="32"/>
    </row>
    <row r="13" spans="1:18">
      <c r="A13" s="6" t="s">
        <v>38</v>
      </c>
      <c r="B13" s="37">
        <f t="shared" si="0"/>
        <v>140.26300000000001</v>
      </c>
      <c r="C13" s="33"/>
      <c r="D13" s="37">
        <f>IF( ISERROR(IND_papier_gas_kWh/1000),0,IND_papier_gas_kWh/1000)*0.902</f>
        <v>238.615982</v>
      </c>
      <c r="E13" s="33">
        <f>C35*'E Balans VL '!I23/100/3.6*1000000</f>
        <v>0.20637503653363817</v>
      </c>
      <c r="F13" s="33">
        <f>C35*'E Balans VL '!L23/100/3.6*1000000+C35*'E Balans VL '!N23/100/3.6*1000000</f>
        <v>1.5018389354741359</v>
      </c>
      <c r="G13" s="34"/>
      <c r="H13" s="33"/>
      <c r="I13" s="33"/>
      <c r="J13" s="40">
        <f>C35*'E Balans VL '!D23/100/3.6*1000000+C35*'E Balans VL '!E23/100/3.6*1000000</f>
        <v>15.345558753744308</v>
      </c>
      <c r="K13" s="33"/>
      <c r="L13" s="33"/>
      <c r="M13" s="33"/>
      <c r="N13" s="33">
        <f>C35*'E Balans VL '!Y23/100/3.6*1000000</f>
        <v>-1.2706625931683828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339.57299999999998</v>
      </c>
      <c r="C15" s="33"/>
      <c r="D15" s="37">
        <f>IF( ISERROR(IND_rest_gas_kWh/1000),0,IND_rest_gas_kWh/1000)*0.902</f>
        <v>238.19113999999999</v>
      </c>
      <c r="E15" s="33">
        <f>C37*'E Balans VL '!I15/100/3.6*1000000</f>
        <v>16.048417069714269</v>
      </c>
      <c r="F15" s="33">
        <f>C37*'E Balans VL '!L15/100/3.6*1000000+C37*'E Balans VL '!N15/100/3.6*1000000</f>
        <v>60.372516256250265</v>
      </c>
      <c r="G15" s="34"/>
      <c r="H15" s="33"/>
      <c r="I15" s="33"/>
      <c r="J15" s="40">
        <f>C37*'E Balans VL '!D15/100/3.6*1000000+C37*'E Balans VL '!E15/100/3.6*1000000</f>
        <v>2.8052850531991549</v>
      </c>
      <c r="K15" s="33"/>
      <c r="L15" s="33"/>
      <c r="M15" s="33"/>
      <c r="N15" s="33">
        <f>C37*'E Balans VL '!Y15/100/3.6*1000000</f>
        <v>13.215786980276382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103751.17147800002</v>
      </c>
      <c r="C18" s="21">
        <f>C5+C16</f>
        <v>0</v>
      </c>
      <c r="D18" s="21">
        <f>MAX((D5+D16),0)</f>
        <v>47445.126802700004</v>
      </c>
      <c r="E18" s="21">
        <f>MAX((E5+E16),0)</f>
        <v>2179.6802067879335</v>
      </c>
      <c r="F18" s="21">
        <f>MAX((F5+F16),0)</f>
        <v>13482.237171854867</v>
      </c>
      <c r="G18" s="21"/>
      <c r="H18" s="21"/>
      <c r="I18" s="21"/>
      <c r="J18" s="21">
        <f>MAX((J5+J16),0)</f>
        <v>102.86657547302428</v>
      </c>
      <c r="K18" s="21"/>
      <c r="L18" s="21">
        <f>MAX((L5+L16),0)</f>
        <v>0</v>
      </c>
      <c r="M18" s="21"/>
      <c r="N18" s="21">
        <f>MAX((N5+N16),0)</f>
        <v>2400.3493146423734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0.20119359459302902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20874.07113289657</v>
      </c>
      <c r="C22" s="23">
        <f ca="1">C18*C20</f>
        <v>0</v>
      </c>
      <c r="D22" s="23">
        <f>D18*D20</f>
        <v>9583.9156141454023</v>
      </c>
      <c r="E22" s="23">
        <f>E18*E20</f>
        <v>494.78740694086093</v>
      </c>
      <c r="F22" s="23">
        <f>F18*F20</f>
        <v>3599.75732488525</v>
      </c>
      <c r="G22" s="23"/>
      <c r="H22" s="23"/>
      <c r="I22" s="23"/>
      <c r="J22" s="23">
        <f>J18*J20</f>
        <v>36.414767717450594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84019.66</v>
      </c>
      <c r="C30" s="39">
        <f>IF(ISERROR(B30*3.6/1000000/'E Balans VL '!Z18*100),0,B30*3.6/1000000/'E Balans VL '!Z18*100)</f>
        <v>4.8503238719194695</v>
      </c>
      <c r="D30" s="237" t="s">
        <v>716</v>
      </c>
    </row>
    <row r="31" spans="1:18">
      <c r="A31" s="6" t="s">
        <v>32</v>
      </c>
      <c r="B31" s="37">
        <f>IF( ISERROR(IND_ander_ele_kWh/1000),0,IND_ander_ele_kWh/1000)</f>
        <v>5426.3166569999994</v>
      </c>
      <c r="C31" s="39">
        <f>IF(ISERROR(B31*3.6/1000000/'E Balans VL '!Z19*100),0,B31*3.6/1000000/'E Balans VL '!Z19*100)</f>
        <v>0.27292613912270886</v>
      </c>
      <c r="D31" s="237" t="s">
        <v>716</v>
      </c>
    </row>
    <row r="32" spans="1:18">
      <c r="A32" s="171" t="s">
        <v>40</v>
      </c>
      <c r="B32" s="37">
        <f>IF( ISERROR(IND_voed_ele_kWh/1000),0,IND_voed_ele_kWh/1000)</f>
        <v>13076.212821000001</v>
      </c>
      <c r="C32" s="39">
        <f>IF(ISERROR(B32*3.6/1000000/'E Balans VL '!Z20*100),0,B32*3.6/1000000/'E Balans VL '!Z20*100)</f>
        <v>0.43551553673504817</v>
      </c>
      <c r="D32" s="237" t="s">
        <v>716</v>
      </c>
    </row>
    <row r="33" spans="1:5">
      <c r="A33" s="171" t="s">
        <v>39</v>
      </c>
      <c r="B33" s="37">
        <f>IF( ISERROR(IND_textiel_ele_kWh/1000),0,IND_textiel_ele_kWh/1000)</f>
        <v>63.226999999999997</v>
      </c>
      <c r="C33" s="39">
        <f>IF(ISERROR(B33*3.6/1000000/'E Balans VL '!Z21*100),0,B33*3.6/1000000/'E Balans VL '!Z21*100)</f>
        <v>9.8578940173130285E-3</v>
      </c>
      <c r="D33" s="237" t="s">
        <v>716</v>
      </c>
    </row>
    <row r="34" spans="1:5">
      <c r="A34" s="171" t="s">
        <v>36</v>
      </c>
      <c r="B34" s="37">
        <f>IF( ISERROR(IND_min_ele_kWh/1000),0,IND_min_ele_kWh/1000)</f>
        <v>685.91899999999998</v>
      </c>
      <c r="C34" s="39">
        <f>IF(ISERROR(B34*3.6/1000000/'E Balans VL '!Z22*100),0,B34*3.6/1000000/'E Balans VL '!Z22*100)</f>
        <v>0.12794706134589023</v>
      </c>
      <c r="D34" s="237" t="s">
        <v>716</v>
      </c>
    </row>
    <row r="35" spans="1:5">
      <c r="A35" s="171" t="s">
        <v>38</v>
      </c>
      <c r="B35" s="37">
        <f>IF( ISERROR(IND_papier_ele_kWh/1000),0,IND_papier_ele_kWh/1000)</f>
        <v>140.26300000000001</v>
      </c>
      <c r="C35" s="39">
        <f>IF(ISERROR(B35*3.6/1000000/'E Balans VL '!Z22*100),0,B35*3.6/1000000/'E Balans VL '!Z22*100)</f>
        <v>2.6163787073340449E-2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339.57299999999998</v>
      </c>
      <c r="C37" s="39">
        <f>IF(ISERROR(B37*3.6/1000000/'E Balans VL '!Z15*100),0,B37*3.6/1000000/'E Balans VL '!Z15*100)</f>
        <v>2.6495980069181379E-3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9966.9879700000001</v>
      </c>
      <c r="C5" s="17">
        <f>'Eigen informatie GS &amp; warmtenet'!B62</f>
        <v>0</v>
      </c>
      <c r="D5" s="30">
        <f>IF(ISERROR(SUM(LB_lb_gas_kWh,LB_rest_gas_kWh)/1000),0,SUM(LB_lb_gas_kWh,LB_rest_gas_kWh)/1000)*0.902</f>
        <v>6761.022918738</v>
      </c>
      <c r="E5" s="17">
        <f>B17*'E Balans VL '!I25/3.6*1000000/100</f>
        <v>311.0664078365416</v>
      </c>
      <c r="F5" s="17">
        <f>B17*('E Balans VL '!L25/3.6*1000000+'E Balans VL '!N25/3.6*1000000)/100</f>
        <v>35224.439599122765</v>
      </c>
      <c r="G5" s="18"/>
      <c r="H5" s="17"/>
      <c r="I5" s="17"/>
      <c r="J5" s="17">
        <f>('E Balans VL '!D25+'E Balans VL '!E25)/3.6*1000000*landbouw!B17/100</f>
        <v>2745.9743061908048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9966.9879700000001</v>
      </c>
      <c r="C8" s="21">
        <f>C5+C6</f>
        <v>0</v>
      </c>
      <c r="D8" s="21">
        <f>MAX((D5+D6),0)</f>
        <v>6761.022918738</v>
      </c>
      <c r="E8" s="21">
        <f>MAX((E5+E6),0)</f>
        <v>311.0664078365416</v>
      </c>
      <c r="F8" s="21">
        <f>MAX((F5+F6),0)</f>
        <v>35224.439599122765</v>
      </c>
      <c r="G8" s="21"/>
      <c r="H8" s="21"/>
      <c r="I8" s="21"/>
      <c r="J8" s="21">
        <f>MAX((J5+J6),0)</f>
        <v>2745.9743061908048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0.20119359459302902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2005.2941369497773</v>
      </c>
      <c r="C12" s="23">
        <f ca="1">C8*C10</f>
        <v>0</v>
      </c>
      <c r="D12" s="23">
        <f>D8*D10</f>
        <v>1365.7266295850761</v>
      </c>
      <c r="E12" s="23">
        <f>E8*E10</f>
        <v>70.612074578894948</v>
      </c>
      <c r="F12" s="23">
        <f>F8*F10</f>
        <v>9404.9253729657794</v>
      </c>
      <c r="G12" s="23"/>
      <c r="H12" s="23"/>
      <c r="I12" s="23"/>
      <c r="J12" s="23">
        <f>J8*J10</f>
        <v>972.07490439154481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1.4816642118781815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215.24317650778301</v>
      </c>
      <c r="C26" s="247">
        <f>B26*'GWP N2O_CH4'!B5</f>
        <v>4520.1067066634432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57.539771834789086</v>
      </c>
      <c r="C27" s="247">
        <f>B27*'GWP N2O_CH4'!B5</f>
        <v>1208.3352085305708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3.3043047899568556</v>
      </c>
      <c r="C28" s="247">
        <f>B28*'GWP N2O_CH4'!B4</f>
        <v>1024.3344848866252</v>
      </c>
      <c r="D28" s="50"/>
    </row>
    <row r="29" spans="1:4">
      <c r="A29" s="41" t="s">
        <v>276</v>
      </c>
      <c r="B29" s="247">
        <f>B34*'ha_N2O bodem landbouw'!B4</f>
        <v>42.75371410710472</v>
      </c>
      <c r="C29" s="247">
        <f>B29*'GWP N2O_CH4'!B4</f>
        <v>13253.651373202463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9.3751197403735536E-3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5.9344520005999999E-4</v>
      </c>
      <c r="C5" s="463" t="s">
        <v>210</v>
      </c>
      <c r="D5" s="448">
        <f>SUM(D6:D11)</f>
        <v>2.4704580440379842E-3</v>
      </c>
      <c r="E5" s="448">
        <f>SUM(E6:E11)</f>
        <v>1.8925496234186998E-3</v>
      </c>
      <c r="F5" s="461" t="s">
        <v>210</v>
      </c>
      <c r="G5" s="448">
        <f>SUM(G6:G11)</f>
        <v>0.68714150615559411</v>
      </c>
      <c r="H5" s="448">
        <f>SUM(H6:H11)</f>
        <v>0.18364763846963097</v>
      </c>
      <c r="I5" s="463" t="s">
        <v>210</v>
      </c>
      <c r="J5" s="463" t="s">
        <v>210</v>
      </c>
      <c r="K5" s="463" t="s">
        <v>210</v>
      </c>
      <c r="L5" s="463" t="s">
        <v>210</v>
      </c>
      <c r="M5" s="448">
        <f>SUM(M6:M11)</f>
        <v>5.1692642160772032E-2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4.4140194883999996E-4</v>
      </c>
      <c r="C6" s="449"/>
      <c r="D6" s="917">
        <f>vkm_2011_GW_PW*SUMIFS(TableVerdeelsleutelVkm[CNG],TableVerdeelsleutelVkm[Voertuigtype],"Lichte voertuigen")*SUMIFS(TableECFTransport[EnergieConsumptieFactor (PJ per km)],TableECFTransport[Index],CONCATENATE($A6,"_CNG_CNG"))</f>
        <v>1.5348297612056642E-3</v>
      </c>
      <c r="E6" s="917">
        <f>vkm_2011_GW_PW*SUMIFS(TableVerdeelsleutelVkm[LPG],TableVerdeelsleutelVkm[Voertuigtype],"Lichte voertuigen")*SUMIFS(TableECFTransport[EnergieConsumptieFactor (PJ per km)],TableECFTransport[Index],CONCATENATE($A6,"_LPG_LPG"))</f>
        <v>1.2091929806687998E-3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0.32915638915782358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0.11518287415166432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2.6552063809688685E-2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0.17367084959735279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4.3753283532039595E-5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1.0014403773302011E-2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1.5204325122E-4</v>
      </c>
      <c r="C8" s="449"/>
      <c r="D8" s="451">
        <f>vkm_2011_NGW_PW*SUMIFS(TableVerdeelsleutelVkm[CNG],TableVerdeelsleutelVkm[Voertuigtype],"Lichte voertuigen")*SUMIFS(TableECFTransport[EnergieConsumptieFactor (PJ per km)],TableECFTransport[Index],CONCATENATE($A8,"_CNG_CNG"))</f>
        <v>9.3562828283232004E-4</v>
      </c>
      <c r="E8" s="451">
        <f>vkm_2011_NGW_PW*SUMIFS(TableVerdeelsleutelVkm[LPG],TableVerdeelsleutelVkm[Voertuigtype],"Lichte voertuigen")*SUMIFS(TableECFTransport[EnergieConsumptieFactor (PJ per km)],TableECFTransport[Index],CONCATENATE($A8,"_LPG_LPG"))</f>
        <v>6.8335664274989994E-4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0.1726186850888449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6.8418230856050574E-2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1.4451781703270284E-2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1.1695582311572706E-2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2.7801783840263122E-6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6.7439287451105255E-4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164.84588890555554</v>
      </c>
      <c r="C14" s="21"/>
      <c r="D14" s="21">
        <f t="shared" ref="D14:M14" si="0">((D5)*10^9/3600)+D12</f>
        <v>686.23834556610677</v>
      </c>
      <c r="E14" s="21">
        <f t="shared" si="0"/>
        <v>525.70822872741655</v>
      </c>
      <c r="F14" s="21"/>
      <c r="G14" s="21">
        <f t="shared" si="0"/>
        <v>190872.64059877614</v>
      </c>
      <c r="H14" s="21">
        <f t="shared" si="0"/>
        <v>51013.232908230828</v>
      </c>
      <c r="I14" s="21"/>
      <c r="J14" s="21"/>
      <c r="K14" s="21"/>
      <c r="L14" s="21"/>
      <c r="M14" s="21">
        <f t="shared" si="0"/>
        <v>14359.06726688112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0.20119359459302902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33.165936942791845</v>
      </c>
      <c r="C18" s="23"/>
      <c r="D18" s="23">
        <f t="shared" ref="D18:M18" si="1">D14*D16</f>
        <v>138.62014580435357</v>
      </c>
      <c r="E18" s="23">
        <f t="shared" si="1"/>
        <v>119.33576792112356</v>
      </c>
      <c r="F18" s="23"/>
      <c r="G18" s="23">
        <f t="shared" si="1"/>
        <v>50962.995039873233</v>
      </c>
      <c r="H18" s="23">
        <f t="shared" si="1"/>
        <v>12702.294994149475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1.8217001341413359E-2</v>
      </c>
      <c r="H50" s="321">
        <f t="shared" si="2"/>
        <v>0</v>
      </c>
      <c r="I50" s="321">
        <f t="shared" si="2"/>
        <v>0</v>
      </c>
      <c r="J50" s="321">
        <f t="shared" si="2"/>
        <v>0</v>
      </c>
      <c r="K50" s="321">
        <f t="shared" si="2"/>
        <v>0</v>
      </c>
      <c r="L50" s="321">
        <f t="shared" si="2"/>
        <v>0</v>
      </c>
      <c r="M50" s="321">
        <f t="shared" si="2"/>
        <v>1.012502950156226E-3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1.8217001341413359E-2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1.012502950156226E-3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5060.2781503925999</v>
      </c>
      <c r="H54" s="21">
        <f t="shared" si="3"/>
        <v>0</v>
      </c>
      <c r="I54" s="21">
        <f t="shared" si="3"/>
        <v>0</v>
      </c>
      <c r="J54" s="21">
        <f t="shared" si="3"/>
        <v>0</v>
      </c>
      <c r="K54" s="21">
        <f t="shared" si="3"/>
        <v>0</v>
      </c>
      <c r="L54" s="21">
        <f t="shared" si="3"/>
        <v>0</v>
      </c>
      <c r="M54" s="21">
        <f t="shared" si="3"/>
        <v>281.25081948784054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0.20119359459302902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1351.0942661548243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23763.914901542266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23.85</v>
      </c>
      <c r="C8" s="574">
        <f>B101</f>
        <v>28.058823529411768</v>
      </c>
      <c r="D8" s="575"/>
      <c r="E8" s="575">
        <f>E101</f>
        <v>0</v>
      </c>
      <c r="F8" s="576"/>
      <c r="G8" s="577"/>
      <c r="H8" s="575">
        <f>I101</f>
        <v>0</v>
      </c>
      <c r="I8" s="575">
        <f>G101+F101</f>
        <v>0</v>
      </c>
      <c r="J8" s="575">
        <f>H101+D101+C101</f>
        <v>0</v>
      </c>
      <c r="K8" s="575"/>
      <c r="L8" s="575"/>
      <c r="M8" s="575"/>
      <c r="N8" s="578"/>
      <c r="O8" s="579">
        <f>C8*$C$12+D8*$D$12+E8*$E$12+F8*$F$12+G8*$G$12+H8*$H$12+I8*$I$12+J8*$J$12</f>
        <v>5.6678823529411773</v>
      </c>
      <c r="P8" s="1291"/>
      <c r="Q8" s="1292"/>
      <c r="S8" s="569"/>
      <c r="T8" s="1288"/>
      <c r="U8" s="1288"/>
    </row>
    <row r="9" spans="1:21" s="560" customFormat="1" ht="17.45" customHeight="1" thickBot="1">
      <c r="A9" s="580" t="s">
        <v>247</v>
      </c>
      <c r="B9" s="581">
        <f>N89+'Eigen informatie GS &amp; warmtenet'!B12</f>
        <v>495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24282.764901542265</v>
      </c>
      <c r="C10" s="589">
        <f t="shared" ref="C10:L10" si="0">SUM(C8:C9)</f>
        <v>28.058823529411768</v>
      </c>
      <c r="D10" s="589">
        <f t="shared" si="0"/>
        <v>0</v>
      </c>
      <c r="E10" s="589">
        <f t="shared" si="0"/>
        <v>0</v>
      </c>
      <c r="F10" s="589">
        <f t="shared" si="0"/>
        <v>0</v>
      </c>
      <c r="G10" s="589">
        <f t="shared" si="0"/>
        <v>0</v>
      </c>
      <c r="H10" s="589">
        <f t="shared" si="0"/>
        <v>0</v>
      </c>
      <c r="I10" s="589">
        <f t="shared" si="0"/>
        <v>0</v>
      </c>
      <c r="J10" s="589">
        <f t="shared" si="0"/>
        <v>1414.2857142857144</v>
      </c>
      <c r="K10" s="589">
        <f t="shared" si="0"/>
        <v>0</v>
      </c>
      <c r="L10" s="589">
        <f t="shared" si="0"/>
        <v>0</v>
      </c>
      <c r="M10" s="1004"/>
      <c r="N10" s="1004"/>
      <c r="O10" s="590">
        <f>SUM(O4:O9)</f>
        <v>5.6678823529411773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34.071428571428577</v>
      </c>
      <c r="C17" s="605">
        <f>B102</f>
        <v>40.084033613445385</v>
      </c>
      <c r="D17" s="606"/>
      <c r="E17" s="606">
        <f>E102</f>
        <v>0</v>
      </c>
      <c r="F17" s="607"/>
      <c r="G17" s="608"/>
      <c r="H17" s="605">
        <f>I102</f>
        <v>0</v>
      </c>
      <c r="I17" s="606">
        <f>G102+F102</f>
        <v>0</v>
      </c>
      <c r="J17" s="606">
        <f>H102+D102+C102</f>
        <v>0</v>
      </c>
      <c r="K17" s="606"/>
      <c r="L17" s="606"/>
      <c r="M17" s="606"/>
      <c r="N17" s="1005"/>
      <c r="O17" s="609">
        <f>C17*$C$22+E17*$E$22+H17*$H$22+I17*$I$22+J17*$J$22+D17*$D$22+F17*$F$22+G17*$G$22+K17*$K$22+L17*$L$22</f>
        <v>8.0969747899159685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34.071428571428577</v>
      </c>
      <c r="C20" s="588">
        <f>SUM(C17:C19)</f>
        <v>40.084033613445385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8.0969747899159685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71053</v>
      </c>
      <c r="C28" s="817">
        <v>3800</v>
      </c>
      <c r="D28" s="666" t="s">
        <v>886</v>
      </c>
      <c r="E28" s="665" t="s">
        <v>887</v>
      </c>
      <c r="F28" s="665" t="s">
        <v>888</v>
      </c>
      <c r="G28" s="665" t="s">
        <v>889</v>
      </c>
      <c r="H28" s="665" t="s">
        <v>890</v>
      </c>
      <c r="I28" s="665" t="s">
        <v>887</v>
      </c>
      <c r="J28" s="816">
        <v>39764</v>
      </c>
      <c r="K28" s="816">
        <v>40238</v>
      </c>
      <c r="L28" s="665" t="s">
        <v>891</v>
      </c>
      <c r="M28" s="665">
        <v>5.3</v>
      </c>
      <c r="N28" s="665">
        <v>23.85</v>
      </c>
      <c r="O28" s="665">
        <v>34.071428571428577</v>
      </c>
      <c r="P28" s="665">
        <v>68.142857142857153</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5.3</v>
      </c>
      <c r="N58" s="623">
        <f>SUM(N28:N57)</f>
        <v>23.85</v>
      </c>
      <c r="O58" s="623">
        <f t="shared" ref="O58:W58" si="2">SUM(O28:O57)</f>
        <v>34.071428571428577</v>
      </c>
      <c r="P58" s="623">
        <f t="shared" si="2"/>
        <v>68.142857142857153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5.3</v>
      </c>
      <c r="N60" s="623">
        <f ca="1">SUMIF($Z$28:AD57,"tertiair",N28:N57)</f>
        <v>23.85</v>
      </c>
      <c r="O60" s="623">
        <f ca="1">SUMIF($Z$28:AE57,"tertiair",O28:O57)</f>
        <v>34.071428571428577</v>
      </c>
      <c r="P60" s="623">
        <f ca="1">SUMIF($Z$28:AF57,"tertiair",P28:P57)</f>
        <v>68.142857142857153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71053</v>
      </c>
      <c r="C64" s="817">
        <v>3803</v>
      </c>
      <c r="D64" s="668" t="s">
        <v>892</v>
      </c>
      <c r="E64" s="668" t="s">
        <v>893</v>
      </c>
      <c r="F64" s="668" t="s">
        <v>894</v>
      </c>
      <c r="G64" s="668" t="s">
        <v>895</v>
      </c>
      <c r="H64" s="668" t="s">
        <v>896</v>
      </c>
      <c r="I64" s="668" t="s">
        <v>897</v>
      </c>
      <c r="J64" s="816">
        <v>40606</v>
      </c>
      <c r="K64" s="816">
        <v>40606</v>
      </c>
      <c r="L64" s="668" t="s">
        <v>891</v>
      </c>
      <c r="M64" s="668">
        <v>110</v>
      </c>
      <c r="N64" s="668">
        <v>495</v>
      </c>
      <c r="O64" s="668">
        <v>0</v>
      </c>
      <c r="P64" s="668">
        <v>0</v>
      </c>
      <c r="Q64" s="668">
        <v>1414.2857142857144</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110</v>
      </c>
      <c r="N89" s="623">
        <f t="shared" ref="N89:W89" si="5">SUM(N64:N88)</f>
        <v>495</v>
      </c>
      <c r="O89" s="623">
        <f t="shared" si="5"/>
        <v>0</v>
      </c>
      <c r="P89" s="623">
        <f t="shared" si="5"/>
        <v>0</v>
      </c>
      <c r="Q89" s="623">
        <f t="shared" si="5"/>
        <v>1414.2857142857144</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110</v>
      </c>
      <c r="N91" s="623">
        <f t="shared" si="7"/>
        <v>495</v>
      </c>
      <c r="O91" s="623">
        <f t="shared" si="7"/>
        <v>0</v>
      </c>
      <c r="P91" s="623">
        <f t="shared" si="7"/>
        <v>0</v>
      </c>
      <c r="Q91" s="623">
        <f t="shared" si="7"/>
        <v>1414.2857142857144</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28.058823529411768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40.084033613445385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2019-08-12T08:41:28Z</dcterms:modified>
</cp:coreProperties>
</file>