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16"/>
  <c r="E27" s="1"/>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<sst xmlns="http://schemas.openxmlformats.org/spreadsheetml/2006/main" count="2384" uniqueCount="886">
  <si>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</si>
  <si>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</si>
  <si>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</si>
  <si>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</si>
  <si>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</si>
  <si>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</si>
  <si>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</si>
  <si>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</si>
  <si>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</si>
  <si>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</si>
  <si>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</si>
  <si>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</si>
  <si>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</si>
  <si>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</si>
  <si>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</si>
  <si>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</si>
  <si>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</si>
  <si>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</si>
  <si>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</si>
  <si>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</si>
  <si>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</si>
  <si>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</si>
  <si>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</si>
  <si>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</si>
  <si>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</si>
  <si>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</si>
  <si>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</si>
  <si>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</si>
  <si>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</si>
  <si>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</si>
  <si>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</si>
  <si>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</si>
  <si>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</si>
  <si>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</si>
  <si>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</si>
  <si>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</si>
  <si>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</si>
  <si>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</si>
  <si>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</si>
  <si>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</si>
  <si>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</si>
  <si>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</si>
  <si>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</si>
  <si>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</si>
  <si>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</si>
  <si>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</si>
  <si>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</si>
  <si>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</si>
  <si>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</si>
  <si>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</si>
  <si>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</si>
  <si>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</si>
  <si>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</si>
  <si>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</si>
  <si>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</si>
  <si>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</si>
  <si>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</si>
  <si>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</si>
  <si>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</si>
  <si>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</si>
  <si>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</si>
  <si>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</si>
  <si>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</si>
  <si>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</si>
  <si>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</si>
  <si>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</si>
  <si>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</si>
  <si>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</si>
  <si>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</si>
  <si>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</si>
  <si>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</si>
  <si>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</si>
  <si>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</si>
  <si>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</si>
  <si>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</si>
  <si>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</si>
  <si>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</si>
  <si>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</si>
  <si>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</si>
  <si>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</si>
  <si>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</si>
  <si>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</si>
  <si>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</si>
  <si>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</si>
  <si>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</si>
  <si>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</si>
  <si>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</si>
  <si>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</si>
  <si>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</si>
  <si>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</si>
  <si>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</si>
  <si>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</si>
  <si>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</si>
  <si>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</si>
  <si>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</si>
  <si>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</si>
  <si>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</si>
  <si>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</si>
  <si>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</si>
  <si>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</si>
  <si>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</si>
  <si>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</si>
  <si>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</si>
  <si>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</si>
  <si>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</si>
  <si>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</si>
  <si>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</si>
  <si>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</si>
  <si>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</si>
  <si>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</si>
  <si>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</si>
  <si>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</si>
  <si>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</si>
  <si>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</si>
  <si>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</si>
  <si>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</si>
  <si>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</si>
  <si>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</si>
  <si>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</si>
  <si>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</si>
  <si>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</si>
  <si>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</si>
  <si>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</si>
  <si>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</si>
  <si>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</si>
  <si>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</si>
  <si>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</si>
  <si>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</si>
  <si>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</si>
  <si>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</si>
  <si>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</si>
  <si>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</si>
  <si>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</si>
  <si>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</si>
  <si>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</si>
  <si>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</si>
  <si>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</si>
  <si>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</si>
  <si>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</si>
  <si>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</si>
  <si>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</si>
  <si>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</si>
  <si>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</si>
  <si>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</si>
  <si>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</si>
  <si>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</si>
  <si>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</si>
  <si>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</si>
  <si>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</si>
  <si>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</si>
  <si>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</si>
  <si>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</si>
  <si>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</si>
  <si>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</si>
  <si>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</si>
  <si>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</si>
  <si>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</si>
  <si>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</si>
  <si>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</si>
  <si>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</si>
  <si>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</si>
  <si>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</si>
  <si>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</si>
  <si>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</si>
  <si>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</si>
  <si>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</si>
  <si>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</si>
  <si>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</si>
  <si>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</si>
  <si>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</si>
  <si>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</si>
  <si>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</si>
  <si>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</si>
  <si>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</si>
  <si>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</si>
  <si>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</si>
  <si>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</si>
  <si>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</si>
  <si>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</si>
  <si>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</si>
  <si>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</si>
  <si>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</si>
  <si>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</si>
  <si>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</si>
  <si>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</si>
  <si>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</si>
  <si>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</si>
  <si>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</si>
  <si>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</si>
  <si>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</si>
  <si>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</si>
  <si>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</si>
  <si>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</si>
  <si>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</si>
  <si>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</si>
  <si>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</si>
  <si>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</si>
  <si>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</si>
  <si>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</si>
  <si>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</si>
  <si>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</si>
  <si>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</si>
  <si>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</si>
  <si>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</si>
  <si>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</si>
  <si>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</si>
  <si>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</si>
  <si>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</si>
  <si>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</si>
  <si>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</si>
  <si>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</si>
  <si>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</si>
  <si>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</si>
  <si>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</si>
  <si>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</si>
  <si>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</si>
  <si>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</si>
  <si>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</si>
  <si>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</si>
  <si>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</si>
  <si>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</si>
  <si>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</si>
  <si>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</si>
  <si>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</si>
  <si>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</si>
  <si>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</si>
  <si>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</si>
  <si>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</si>
  <si>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</si>
  <si>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</si>
  <si>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</si>
  <si>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</si>
  <si>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</si>
  <si>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</si>
  <si>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</si>
  <si>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</si>
  <si>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</si>
  <si>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</si>
  <si>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</si>
  <si>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</si>
  <si>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</si>
  <si>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</si>
  <si>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</si>
  <si>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</si>
  <si>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</si>
  <si>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</si>
  <si>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</si>
  <si>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</si>
  <si>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</si>
  <si>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</si>
  <si>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</si>
  <si>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</si>
  <si>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</si>
  <si>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</si>
  <si>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</si>
  <si>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</si>
  <si>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</si>
  <si>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</si>
  <si>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</si>
  <si>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</si>
  <si>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</si>
  <si>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</si>
  <si>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</si>
  <si>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</si>
  <si>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</si>
  <si>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</si>
  <si>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</si>
  <si>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</si>
  <si>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</si>
  <si>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</si>
  <si>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</si>
  <si>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</si>
  <si>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</si>
  <si>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</si>
  <si>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</si>
  <si>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</si>
  <si>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</si>
  <si>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</si>
  <si>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</si>
  <si>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</si>
  <si>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</si>
  <si>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</si>
  <si>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</si>
  <si>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</si>
  <si>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</si>
  <si>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</si>
  <si>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</si>
  <si>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</si>
  <si>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</si>
  <si>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</si>
  <si>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</si>
  <si>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</si>
  <si>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</si>
  <si>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</si>
  <si>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</si>
  <si>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</si>
  <si>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</si>
  <si>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</si>
  <si>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</si>
  <si>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</si>
  <si>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</si>
  <si>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</si>
  <si>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</si>
  <si>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</si>
  <si>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</si>
  <si>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</si>
  <si>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</si>
  <si>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</si>
  <si>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</si>
  <si>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</si>
  <si>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</si>
  <si>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</si>
  <si>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</si>
  <si>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</si>
  <si>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</si>
  <si>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</si>
  <si>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</si>
  <si>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</si>
  <si>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</si>
  <si>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</si>
  <si>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</si>
  <si>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</si>
  <si>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</si>
  <si>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</si>
  <si>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</si>
  <si>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</si>
  <si>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</si>
  <si>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</si>
  <si>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</si>
  <si>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</si>
  <si>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</si>
  <si>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</si>
  <si>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</si>
  <si>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</si>
  <si>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</si>
  <si>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</si>
  <si>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</si>
  <si>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</si>
  <si>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</si>
  <si>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</si>
  <si>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</si>
  <si>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</si>
  <si>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</si>
  <si>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</si>
  <si>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</si>
  <si>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</si>
  <si>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</si>
  <si>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</si>
  <si>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</si>
  <si>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</si>
  <si>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</si>
  <si>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</si>
  <si>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</si>
  <si>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</si>
  <si>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</si>
  <si>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</si>
  <si>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</si>
  <si>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</si>
  <si>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</si>
  <si>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</si>
  <si>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</si>
  <si>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</si>
  <si>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</si>
  <si>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</si>
  <si>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</si>
  <si>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</si>
  <si>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</si>
  <si>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</si>
  <si>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</si>
  <si>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</si>
  <si>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</si>
  <si>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</si>
  <si>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</si>
  <si>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</si>
  <si>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</si>
  <si>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</si>
  <si>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</si>
  <si>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</si>
  <si>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</si>
  <si>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</si>
  <si>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</si>
  <si>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</si>
  <si>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</si>
  <si>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</si>
  <si>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</si>
  <si>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</si>
  <si>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</si>
  <si>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</si>
  <si>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</si>
  <si>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</si>
  <si>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</si>
  <si>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</si>
  <si>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</si>
  <si>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</si>
  <si>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</si>
  <si>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</si>
  <si>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</si>
  <si>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</si>
  <si>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</si>
  <si>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</si>
  <si>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</si>
  <si>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</si>
  <si>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</si>
  <si>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</si>
  <si>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</si>
  <si>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</si>
  <si>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</si>
  <si>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</si>
  <si>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</si>
  <si>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</si>
  <si>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</si>
  <si>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</si>
  <si>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</si>
  <si>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</si>
  <si>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</si>
  <si>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</si>
  <si>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</si>
  <si>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</si>
  <si>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</si>
  <si>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</si>
  <si>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</si>
  <si>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</si>
  <si>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</si>
  <si>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</si>
  <si>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</si>
  <si>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</si>
  <si>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</si>
  <si>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</si>
  <si>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</si>
  <si>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</si>
  <si>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</si>
  <si>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</si>
  <si>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</si>
  <si>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</si>
  <si>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</si>
  <si>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</si>
  <si>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</si>
  <si>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</si>
  <si>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</si>
  <si>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</si>
  <si>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</si>
  <si>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</si>
  <si>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</si>
  <si>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</si>
  <si>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</si>
  <si>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</si>
  <si>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</si>
  <si>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</si>
  <si>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</si>
  <si>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</si>
  <si>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</si>
  <si>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</si>
  <si>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</si>
  <si>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</si>
  <si>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</si>
  <si>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</si>
  <si>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</si>
  <si>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</si>
  <si>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</si>
  <si>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</si>
  <si>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</si>
  <si>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</si>
  <si>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</si>
  <si>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</si>
  <si>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</si>
  <si>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</si>
  <si>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</si>
  <si>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</si>
  <si>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</si>
  <si>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</si>
  <si>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</si>
  <si>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</si>
  <si>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</si>
  <si>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</si>
  <si>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</si>
  <si>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</si>
  <si>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</si>
  <si>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</si>
  <si>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</si>
  <si>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</si>
  <si>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</si>
  <si>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</si>
  <si>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</si>
  <si>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</si>
  <si>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</si>
  <si>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</si>
  <si>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</si>
  <si>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</si>
  <si>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</si>
  <si>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</si>
  <si>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</si>
  <si>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</si>
  <si>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</si>
  <si>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</si>
  <si>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</si>
  <si>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</si>
  <si>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</si>
  <si>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</si>
  <si>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</si>
  <si>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</si>
  <si>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</si>
  <si>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</si>
  <si>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</si>
  <si>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</si>
  <si>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</si>
  <si>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</si>
  <si>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</si>
  <si>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</si>
  <si>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</si>
  <si>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</si>
  <si>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</si>
  <si>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</si>
  <si>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</si>
  <si>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</si>
  <si>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</si>
  <si>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</si>
  <si>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</si>
  <si>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</si>
  <si>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</si>
  <si>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</si>
  <si>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</si>
  <si>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</si>
  <si>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</si>
  <si>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</si>
  <si>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</si>
  <si>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</si>
  <si>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</si>
  <si>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</si>
  <si>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</si>
  <si>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</si>
  <si>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</si>
  <si>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</si>
  <si>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</si>
  <si>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</si>
  <si>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</si>
  <si>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</si>
  <si>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</si>
  <si>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</si>
  <si>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</si>
  <si>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</si>
  <si>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</si>
  <si>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</si>
  <si>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</si>
  <si>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</si>
  <si>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</si>
  <si>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</si>
  <si>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</si>
  <si>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</si>
  <si>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</si>
  <si>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</si>
  <si>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</si>
  <si>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</si>
  <si>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</si>
  <si>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</si>
  <si>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</si>
  <si>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</si>
  <si>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</si>
  <si>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</si>
  <si>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</si>
  <si>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</si>
  <si>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</si>
  <si>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</si>
  <si>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</si>
  <si>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</si>
  <si>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</si>
  <si>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</si>
  <si>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</si>
  <si>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</si>
  <si>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</si>
  <si>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</si>
  <si>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</si>
  <si>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</si>
  <si>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</si>
  <si>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</si>
  <si>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</si>
  <si>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</si>
  <si>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</si>
  <si>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</si>
  <si>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</si>
  <si>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</si>
  <si>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</si>
  <si>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</si>
  <si>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</si>
  <si>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</si>
  <si>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</si>
  <si>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</si>
  <si>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</si>
  <si>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</si>
  <si>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</si>
  <si>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</si>
  <si>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</si>
  <si>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</si>
  <si>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</si>
  <si>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</si>
  <si>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</si>
  <si>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</si>
  <si>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</si>
  <si>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</si>
  <si>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</si>
  <si>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</si>
  <si>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</si>
  <si>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</si>
  <si>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</si>
  <si>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</si>
  <si>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</si>
  <si>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</si>
  <si>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</si>
  <si>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</si>
  <si>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</si>
  <si>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</si>
  <si>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</si>
  <si>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</si>
  <si>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</si>
  <si>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</si>
  <si>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</si>
  <si>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</si>
  <si>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</si>
  <si>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</si>
  <si>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</si>
  <si>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</si>
  <si>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</si>
  <si>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</si>
  <si>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</si>
  <si>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</si>
  <si>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</si>
  <si>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</si>
  <si>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</si>
  <si>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</si>
  <si>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</si>
  <si>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</si>
  <si>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</si>
  <si>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</si>
  <si>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</si>
  <si>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</si>
  <si>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</si>
  <si>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</si>
  <si>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</si>
  <si>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</si>
  <si>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</si>
  <si>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</si>
  <si>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</si>
  <si>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</si>
  <si>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</si>
  <si>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</si>
  <si>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</si>
  <si>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</si>
  <si>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</si>
  <si>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</si>
  <si>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</si>
  <si>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</si>
  <si>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</si>
  <si>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</si>
  <si>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</si>
  <si>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</si>
  <si>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</si>
  <si>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</si>
  <si>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</si>
  <si>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</si>
  <si>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</si>
  <si>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</si>
  <si>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</si>
  <si>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</si>
  <si>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</si>
  <si>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</si>
  <si>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</si>
  <si>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</si>
  <si>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</si>
  <si>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</si>
  <si>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</si>
  <si>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</si>
  <si>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</si>
  <si>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</si>
  <si>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</si>
  <si>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</si>
  <si>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</si>
  <si>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</si>
  <si>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</si>
  <si>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</si>
  <si>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</si>
  <si>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</si>
  <si>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</si>
  <si>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</si>
  <si>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</si>
  <si>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</si>
  <si>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</si>
  <si>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</si>
  <si>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</si>
  <si>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</si>
  <si>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</si>
  <si>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</si>
  <si>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</si>
  <si>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</si>
  <si>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</si>
  <si>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</si>
  <si>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</si>
  <si>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</si>
  <si>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</si>
  <si>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</si>
  <si>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</si>
  <si>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</si>
  <si>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</si>
  <si>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</si>
  <si>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</si>
  <si>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</si>
  <si>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</si>
  <si>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</si>
  <si>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</si>
  <si>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</si>
  <si>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</si>
  <si>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</si>
  <si>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</si>
  <si>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</si>
  <si>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</si>
  <si>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</si>
  <si>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</si>
  <si>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</si>
  <si>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</si>
  <si>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</si>
  <si>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</si>
  <si>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</si>
  <si>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</si>
  <si>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</si>
  <si>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</si>
  <si>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</si>
  <si>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</si>
  <si>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</si>
  <si>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</si>
  <si>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</si>
  <si>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</si>
  <si>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</si>
  <si>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</si>
  <si>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</si>
  <si>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</si>
  <si>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</si>
  <si>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</si>
  <si>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</si>
  <si>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</si>
  <si>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</si>
  <si>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</si>
  <si>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</si>
  <si>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</si>
  <si>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</si>
  <si>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</si>
  <si>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</si>
  <si>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</si>
  <si>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</si>
  <si>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</si>
  <si>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</si>
  <si>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</si>
  <si>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</si>
  <si>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</si>
  <si>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</si>
  <si>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</si>
  <si>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</si>
  <si>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</si>
  <si>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</si>
  <si>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</si>
  <si>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</si>
  <si>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</si>
  <si>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</si>
  <si>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</si>
  <si>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</si>
  <si>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</si>
  <si>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</si>
  <si>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</si>
  <si>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</si>
  <si>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</si>
  <si>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</si>
  <si>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</si>
  <si>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</si>
  <si>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</si>
  <si>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</si>
  <si>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</si>
  <si>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</si>
  <si>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</si>
  <si>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</si>
  <si>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</si>
  <si>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</si>
  <si>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</si>
  <si>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</si>
  <si>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</si>
  <si>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</si>
  <si>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</si>
  <si>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</si>
  <si>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</si>
  <si>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</si>
  <si>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</si>
  <si>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</si>
  <si>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</si>
  <si>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</si>
  <si>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</si>
  <si>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</si>
  <si>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</si>
  <si>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</si>
  <si>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</si>
  <si>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</si>
  <si>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</si>
  <si>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</si>
  <si>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</si>
  <si>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</si>
  <si>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</si>
  <si>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</si>
  <si>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</si>
  <si>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</si>
  <si>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</si>
  <si>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</si>
  <si>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</si>
  <si>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</si>
  <si>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</si>
  <si>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</si>
  <si>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</si>
  <si>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</si>
  <si>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</si>
  <si>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</si>
  <si>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</si>
  <si>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</si>
  <si>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</si>
  <si>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</si>
  <si>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</si>
  <si>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</si>
  <si>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</si>
  <si>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</si>
  <si>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</si>
  <si>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</si>
  <si>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</si>
  <si>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</si>
  <si>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</si>
  <si>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</si>
  <si>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</si>
  <si>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</si>
  <si>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</si>
  <si>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</si>
  <si>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</si>
  <si>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</si>
  <si>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</si>
  <si>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</si>
  <si>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</si>
  <si>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</si>
  <si>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</si>
  <si>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</si>
  <si>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</si>
  <si>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</si>
  <si>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</si>
  <si>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</si>
  <si>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</si>
  <si>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</si>
  <si>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</si>
  <si>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</si>
  <si>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</si>
  <si>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</si>
  <si>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</si>
  <si>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</si>
  <si>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</si>
  <si>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</si>
  <si>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</si>
  <si>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</si>
  <si>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</si>
  <si>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</si>
  <si>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</si>
  <si>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</si>
  <si>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</si>
  <si>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</si>
  <si>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</si>
  <si>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</si>
  <si>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</si>
  <si>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</si>
  <si>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</si>
  <si>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</si>
  <si>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</si>
  <si>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</si>
  <si>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</si>
  <si>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</si>
  <si>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</si>
  <si>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</si>
  <si>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</si>
  <si>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</si>
  <si>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</si>
  <si>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</si>
  <si>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71047</t>
  </si>
  <si>
    <t>OPGLABBEEK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</si>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</sst>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87682.522016529911</c:v>
                </c:pt>
                <c:pt idx="1">
                  <c:v>43032.333902784136</c:v>
                </c:pt>
                <c:pt idx="2">
                  <c:v>653.41399999999999</c:v>
                </c:pt>
                <c:pt idx="3">
                  <c:v>1683.0345512225758</c:v>
                </c:pt>
                <c:pt idx="4">
                  <c:v>31886.71750837901</c:v>
                </c:pt>
                <c:pt idx="5">
                  <c:v>50142.649417892011</c:v>
                </c:pt>
                <c:pt idx="6">
                  <c:v>1104.5028331662991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8224"/>
        <c:axId val="180869760"/>
      </c:barChart>
      <c:catAx>
        <c:axId val="180868224"/>
        <c:scaling>
          <c:orientation val="minMax"/>
        </c:scaling>
        <c:axPos val="b"/>
        <c:numFmt formatCode="General" sourceLinked="0"/>
        <c:tickLblPos val="nextTo"/>
        <c:crossAx val="180869760"/>
        <c:crosses val="autoZero"/>
        <c:auto val="1"/>
        <c:lblAlgn val="ctr"/>
        <c:lblOffset val="100"/>
      </c:catAx>
      <c:valAx>
        <c:axId val="180869760"/>
        <c:scaling>
          <c:orientation val="minMax"/>
        </c:scaling>
        <c:axPos val="l"/>
        <c:majorGridlines/>
        <c:numFmt formatCode="#,##0" sourceLinked="1"/>
        <c:tickLblPos val="nextTo"/>
        <c:crossAx val="18086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87682.522016529911</c:v>
                </c:pt>
                <c:pt idx="1">
                  <c:v>43032.333902784136</c:v>
                </c:pt>
                <c:pt idx="2">
                  <c:v>653.41399999999999</c:v>
                </c:pt>
                <c:pt idx="3">
                  <c:v>1683.0345512225758</c:v>
                </c:pt>
                <c:pt idx="4">
                  <c:v>31886.71750837901</c:v>
                </c:pt>
                <c:pt idx="5">
                  <c:v>50142.649417892011</c:v>
                </c:pt>
                <c:pt idx="6">
                  <c:v>1104.5028331662991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16391.146764978341</c:v>
                </c:pt>
                <c:pt idx="1">
                  <c:v>8065.7000890941508</c:v>
                </c:pt>
                <c:pt idx="2">
                  <c:v>109.31143856565731</c:v>
                </c:pt>
                <c:pt idx="3">
                  <c:v>420.39912553753328</c:v>
                </c:pt>
                <c:pt idx="4">
                  <c:v>6018.3724564493414</c:v>
                </c:pt>
                <c:pt idx="5">
                  <c:v>12433.809253245143</c:v>
                </c:pt>
                <c:pt idx="6">
                  <c:v>279.37458605155649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60288"/>
        <c:axId val="181261824"/>
      </c:barChart>
      <c:catAx>
        <c:axId val="181260288"/>
        <c:scaling>
          <c:orientation val="minMax"/>
        </c:scaling>
        <c:axPos val="b"/>
        <c:numFmt formatCode="General" sourceLinked="0"/>
        <c:tickLblPos val="nextTo"/>
        <c:crossAx val="181261824"/>
        <c:crosses val="autoZero"/>
        <c:auto val="1"/>
        <c:lblAlgn val="ctr"/>
        <c:lblOffset val="100"/>
      </c:catAx>
      <c:valAx>
        <c:axId val="181261824"/>
        <c:scaling>
          <c:orientation val="minMax"/>
        </c:scaling>
        <c:axPos val="l"/>
        <c:majorGridlines/>
        <c:numFmt formatCode="#,##0" sourceLinked="1"/>
        <c:tickLblPos val="nextTo"/>
        <c:crossAx val="181260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16391.146764978341</c:v>
                </c:pt>
                <c:pt idx="1">
                  <c:v>8065.7000890941508</c:v>
                </c:pt>
                <c:pt idx="2">
                  <c:v>109.31143856565731</c:v>
                </c:pt>
                <c:pt idx="3">
                  <c:v>420.39912553753328</c:v>
                </c:pt>
                <c:pt idx="4">
                  <c:v>6018.3724564493414</c:v>
                </c:pt>
                <c:pt idx="5">
                  <c:v>12433.809253245143</c:v>
                </c:pt>
                <c:pt idx="6">
                  <c:v>279.37458605155649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0.16729277084001462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0.16729277084001462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4046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519.02</v>
      </c>
    </row>
    <row r="15" spans="1:6">
      <c r="A15" s="348" t="s">
        <v>183</v>
      </c>
      <c r="B15" s="334">
        <v>4</v>
      </c>
    </row>
    <row r="16" spans="1:6">
      <c r="A16" s="348" t="s">
        <v>6</v>
      </c>
      <c r="B16" s="334">
        <v>262</v>
      </c>
    </row>
    <row r="17" spans="1:6">
      <c r="A17" s="348" t="s">
        <v>7</v>
      </c>
      <c r="B17" s="334">
        <v>17</v>
      </c>
    </row>
    <row r="18" spans="1:6">
      <c r="A18" s="348" t="s">
        <v>8</v>
      </c>
      <c r="B18" s="334">
        <v>91</v>
      </c>
    </row>
    <row r="19" spans="1:6">
      <c r="A19" s="348" t="s">
        <v>9</v>
      </c>
      <c r="B19" s="334">
        <v>97</v>
      </c>
    </row>
    <row r="20" spans="1:6">
      <c r="A20" s="348" t="s">
        <v>10</v>
      </c>
      <c r="B20" s="334">
        <v>82</v>
      </c>
    </row>
    <row r="21" spans="1:6">
      <c r="A21" s="348" t="s">
        <v>11</v>
      </c>
      <c r="B21" s="334">
        <v>198</v>
      </c>
    </row>
    <row r="22" spans="1:6">
      <c r="A22" s="348" t="s">
        <v>12</v>
      </c>
      <c r="B22" s="334">
        <v>465</v>
      </c>
    </row>
    <row r="23" spans="1:6">
      <c r="A23" s="348" t="s">
        <v>13</v>
      </c>
      <c r="B23" s="334">
        <v>11</v>
      </c>
    </row>
    <row r="24" spans="1:6">
      <c r="A24" s="348" t="s">
        <v>14</v>
      </c>
      <c r="B24" s="334">
        <v>1</v>
      </c>
    </row>
    <row r="25" spans="1:6">
      <c r="A25" s="348" t="s">
        <v>15</v>
      </c>
      <c r="B25" s="334">
        <v>67</v>
      </c>
    </row>
    <row r="26" spans="1:6">
      <c r="A26" s="348" t="s">
        <v>16</v>
      </c>
      <c r="B26" s="334">
        <v>0</v>
      </c>
    </row>
    <row r="27" spans="1:6">
      <c r="A27" s="348" t="s">
        <v>17</v>
      </c>
      <c r="B27" s="334">
        <v>0</v>
      </c>
    </row>
    <row r="28" spans="1:6" s="356" customFormat="1">
      <c r="A28" s="355" t="s">
        <v>18</v>
      </c>
      <c r="B28" s="355">
        <v>31100</v>
      </c>
    </row>
    <row r="29" spans="1:6">
      <c r="A29" s="355" t="s">
        <v>713</v>
      </c>
      <c r="B29" s="355">
        <v>101</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2348</v>
      </c>
    </row>
    <row r="39" spans="1:6">
      <c r="A39" s="348" t="s">
        <v>29</v>
      </c>
      <c r="B39" s="348" t="s">
        <v>30</v>
      </c>
      <c r="C39" s="334">
        <v>1757</v>
      </c>
      <c r="D39" s="334">
        <v>31340215.5</v>
      </c>
      <c r="E39" s="334">
        <v>3997</v>
      </c>
      <c r="F39" s="334">
        <v>13200449.550000001</v>
      </c>
    </row>
    <row r="40" spans="1:6">
      <c r="A40" s="348" t="s">
        <v>29</v>
      </c>
      <c r="B40" s="348" t="s">
        <v>28</v>
      </c>
      <c r="C40" s="334">
        <v>0</v>
      </c>
      <c r="D40" s="334">
        <v>0</v>
      </c>
      <c r="E40" s="334">
        <v>0</v>
      </c>
      <c r="F40" s="334">
        <v>0</v>
      </c>
    </row>
    <row r="41" spans="1:6">
      <c r="A41" s="348" t="s">
        <v>31</v>
      </c>
      <c r="B41" s="348" t="s">
        <v>32</v>
      </c>
      <c r="C41" s="334">
        <v>59</v>
      </c>
      <c r="D41" s="334">
        <v>2886992</v>
      </c>
      <c r="E41" s="334">
        <v>104</v>
      </c>
      <c r="F41" s="334">
        <v>2769224.7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30</v>
      </c>
      <c r="D44" s="334">
        <v>4784068</v>
      </c>
      <c r="E44" s="334">
        <v>47</v>
      </c>
      <c r="F44" s="334">
        <v>3168914</v>
      </c>
    </row>
    <row r="45" spans="1:6">
      <c r="A45" s="348" t="s">
        <v>31</v>
      </c>
      <c r="B45" s="348" t="s">
        <v>36</v>
      </c>
      <c r="C45" s="334">
        <v>3</v>
      </c>
      <c r="D45" s="334">
        <v>4446588</v>
      </c>
      <c r="E45" s="334">
        <v>4</v>
      </c>
      <c r="F45" s="334">
        <v>5751987</v>
      </c>
    </row>
    <row r="46" spans="1:6">
      <c r="A46" s="348" t="s">
        <v>31</v>
      </c>
      <c r="B46" s="348" t="s">
        <v>37</v>
      </c>
      <c r="C46" s="334">
        <v>0</v>
      </c>
      <c r="D46" s="334">
        <v>0</v>
      </c>
      <c r="E46" s="334">
        <v>0</v>
      </c>
      <c r="F46" s="334">
        <v>0</v>
      </c>
    </row>
    <row r="47" spans="1:6">
      <c r="A47" s="348" t="s">
        <v>31</v>
      </c>
      <c r="B47" s="348" t="s">
        <v>38</v>
      </c>
      <c r="C47" s="334">
        <v>0</v>
      </c>
      <c r="D47" s="334">
        <v>0</v>
      </c>
      <c r="E47" s="334">
        <v>3</v>
      </c>
      <c r="F47" s="334">
        <v>512789</v>
      </c>
    </row>
    <row r="48" spans="1:6">
      <c r="A48" s="348" t="s">
        <v>31</v>
      </c>
      <c r="B48" s="348" t="s">
        <v>28</v>
      </c>
      <c r="C48" s="334">
        <v>0</v>
      </c>
      <c r="D48" s="334">
        <v>0</v>
      </c>
      <c r="E48" s="334">
        <v>0</v>
      </c>
      <c r="F48" s="334">
        <v>0</v>
      </c>
    </row>
    <row r="49" spans="1:6">
      <c r="A49" s="348" t="s">
        <v>31</v>
      </c>
      <c r="B49" s="348" t="s">
        <v>39</v>
      </c>
      <c r="C49" s="334">
        <v>3</v>
      </c>
      <c r="D49" s="334">
        <v>842488</v>
      </c>
      <c r="E49" s="334">
        <v>3</v>
      </c>
      <c r="F49" s="334">
        <v>233045</v>
      </c>
    </row>
    <row r="50" spans="1:6">
      <c r="A50" s="348" t="s">
        <v>31</v>
      </c>
      <c r="B50" s="348" t="s">
        <v>40</v>
      </c>
      <c r="C50" s="334">
        <v>0</v>
      </c>
      <c r="D50" s="334">
        <v>0</v>
      </c>
      <c r="E50" s="334">
        <v>5</v>
      </c>
      <c r="F50" s="334">
        <v>115398</v>
      </c>
    </row>
    <row r="51" spans="1:6">
      <c r="A51" s="348" t="s">
        <v>41</v>
      </c>
      <c r="B51" s="348" t="s">
        <v>42</v>
      </c>
      <c r="C51" s="334">
        <v>4</v>
      </c>
      <c r="D51" s="334">
        <v>49787</v>
      </c>
      <c r="E51" s="334">
        <v>20</v>
      </c>
      <c r="F51" s="334">
        <v>338398.07699999999</v>
      </c>
    </row>
    <row r="52" spans="1:6">
      <c r="A52" s="348" t="s">
        <v>41</v>
      </c>
      <c r="B52" s="348" t="s">
        <v>28</v>
      </c>
      <c r="C52" s="334">
        <v>0</v>
      </c>
      <c r="D52" s="334">
        <v>0</v>
      </c>
      <c r="E52" s="334">
        <v>0</v>
      </c>
      <c r="F52" s="334">
        <v>0</v>
      </c>
    </row>
    <row r="53" spans="1:6">
      <c r="A53" s="348" t="s">
        <v>43</v>
      </c>
      <c r="B53" s="348" t="s">
        <v>44</v>
      </c>
      <c r="C53" s="334">
        <v>25</v>
      </c>
      <c r="D53" s="334">
        <v>1015198.6</v>
      </c>
      <c r="E53" s="334">
        <v>63</v>
      </c>
      <c r="F53" s="334">
        <v>451357.8</v>
      </c>
    </row>
    <row r="54" spans="1:6">
      <c r="A54" s="348" t="s">
        <v>45</v>
      </c>
      <c r="B54" s="348" t="s">
        <v>46</v>
      </c>
      <c r="C54" s="334">
        <v>0</v>
      </c>
      <c r="D54" s="334">
        <v>0</v>
      </c>
      <c r="E54" s="334">
        <v>3</v>
      </c>
      <c r="F54" s="334">
        <v>653414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1896243</v>
      </c>
      <c r="E57" s="334">
        <v>52</v>
      </c>
      <c r="F57" s="334">
        <v>712472</v>
      </c>
    </row>
    <row r="58" spans="1:6">
      <c r="A58" s="348" t="s">
        <v>48</v>
      </c>
      <c r="B58" s="348" t="s">
        <v>50</v>
      </c>
      <c r="C58" s="334">
        <v>14</v>
      </c>
      <c r="D58" s="334">
        <v>1096933.05</v>
      </c>
      <c r="E58" s="334">
        <v>25</v>
      </c>
      <c r="F58" s="334">
        <v>583312</v>
      </c>
    </row>
    <row r="59" spans="1:6">
      <c r="A59" s="348" t="s">
        <v>48</v>
      </c>
      <c r="B59" s="348" t="s">
        <v>51</v>
      </c>
      <c r="C59" s="334">
        <v>77</v>
      </c>
      <c r="D59" s="334">
        <v>14321011.308</v>
      </c>
      <c r="E59" s="334">
        <v>155</v>
      </c>
      <c r="F59" s="334">
        <v>11843151.818</v>
      </c>
    </row>
    <row r="60" spans="1:6">
      <c r="A60" s="348" t="s">
        <v>48</v>
      </c>
      <c r="B60" s="348" t="s">
        <v>52</v>
      </c>
      <c r="C60" s="334">
        <v>21</v>
      </c>
      <c r="D60" s="334">
        <v>861677</v>
      </c>
      <c r="E60" s="334">
        <v>31</v>
      </c>
      <c r="F60" s="334">
        <v>1200226.6000000001</v>
      </c>
    </row>
    <row r="61" spans="1:6">
      <c r="A61" s="348" t="s">
        <v>48</v>
      </c>
      <c r="B61" s="348" t="s">
        <v>53</v>
      </c>
      <c r="C61" s="334">
        <v>63</v>
      </c>
      <c r="D61" s="334">
        <v>4907092.5109999999</v>
      </c>
      <c r="E61" s="334">
        <v>121</v>
      </c>
      <c r="F61" s="334">
        <v>4844407.9139999999</v>
      </c>
    </row>
    <row r="62" spans="1:6">
      <c r="A62" s="348" t="s">
        <v>48</v>
      </c>
      <c r="B62" s="348" t="s">
        <v>54</v>
      </c>
      <c r="C62" s="334">
        <v>0</v>
      </c>
      <c r="D62" s="334">
        <v>0</v>
      </c>
      <c r="E62" s="334">
        <v>0</v>
      </c>
      <c r="F62" s="334">
        <v>0</v>
      </c>
    </row>
    <row r="63" spans="1:6">
      <c r="A63" s="348" t="s">
        <v>48</v>
      </c>
      <c r="B63" s="348" t="s">
        <v>28</v>
      </c>
      <c r="C63" s="334">
        <v>1</v>
      </c>
      <c r="D63" s="334">
        <v>103802</v>
      </c>
      <c r="E63" s="334">
        <v>1</v>
      </c>
      <c r="F63" s="334">
        <v>32354</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3</v>
      </c>
      <c r="F66" s="334">
        <v>79183</v>
      </c>
    </row>
    <row r="67" spans="1:6">
      <c r="A67" s="355" t="s">
        <v>55</v>
      </c>
      <c r="B67" s="355" t="s">
        <v>58</v>
      </c>
      <c r="C67" s="334">
        <v>0</v>
      </c>
      <c r="D67" s="334">
        <v>0</v>
      </c>
      <c r="E67" s="334">
        <v>0</v>
      </c>
      <c r="F67" s="334">
        <v>0</v>
      </c>
    </row>
    <row r="68" spans="1:6">
      <c r="A68" s="341" t="s">
        <v>55</v>
      </c>
      <c r="B68" s="341" t="s">
        <v>59</v>
      </c>
      <c r="C68" s="334">
        <v>3</v>
      </c>
      <c r="D68" s="334">
        <v>857716.69200000004</v>
      </c>
      <c r="E68" s="334">
        <v>7</v>
      </c>
      <c r="F68" s="334">
        <v>759410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31082138</v>
      </c>
      <c r="E73" s="476"/>
    </row>
    <row r="74" spans="1:6">
      <c r="A74" s="348" t="s">
        <v>63</v>
      </c>
      <c r="B74" s="348" t="s">
        <v>651</v>
      </c>
      <c r="C74" s="1307" t="s">
        <v>653</v>
      </c>
      <c r="D74" s="476">
        <v>2423965.5</v>
      </c>
      <c r="E74" s="476"/>
    </row>
    <row r="75" spans="1:6">
      <c r="A75" s="348" t="s">
        <v>64</v>
      </c>
      <c r="B75" s="348" t="s">
        <v>650</v>
      </c>
      <c r="C75" s="1307" t="s">
        <v>654</v>
      </c>
      <c r="D75" s="476">
        <v>25226880</v>
      </c>
      <c r="E75" s="476"/>
    </row>
    <row r="76" spans="1:6">
      <c r="A76" s="348" t="s">
        <v>64</v>
      </c>
      <c r="B76" s="348" t="s">
        <v>651</v>
      </c>
      <c r="C76" s="1307" t="s">
        <v>655</v>
      </c>
      <c r="D76" s="476">
        <v>589125.5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306845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4729.9512737456007</v>
      </c>
    </row>
    <row r="92" spans="1:6">
      <c r="A92" s="341" t="s">
        <v>68</v>
      </c>
      <c r="B92" s="342">
        <v>7705.6858596928996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217</v>
      </c>
    </row>
    <row r="98" spans="1:6">
      <c r="A98" s="348" t="s">
        <v>71</v>
      </c>
      <c r="B98" s="334">
        <v>5</v>
      </c>
    </row>
    <row r="99" spans="1:6">
      <c r="A99" s="348" t="s">
        <v>72</v>
      </c>
      <c r="B99" s="334">
        <v>11</v>
      </c>
    </row>
    <row r="100" spans="1:6">
      <c r="A100" s="348" t="s">
        <v>73</v>
      </c>
      <c r="B100" s="334">
        <v>176</v>
      </c>
    </row>
    <row r="101" spans="1:6">
      <c r="A101" s="348" t="s">
        <v>74</v>
      </c>
      <c r="B101" s="334">
        <v>42</v>
      </c>
    </row>
    <row r="102" spans="1:6">
      <c r="A102" s="348" t="s">
        <v>75</v>
      </c>
      <c r="B102" s="334">
        <v>26</v>
      </c>
    </row>
    <row r="103" spans="1:6">
      <c r="A103" s="348" t="s">
        <v>76</v>
      </c>
      <c r="B103" s="334">
        <v>39</v>
      </c>
    </row>
    <row r="104" spans="1:6">
      <c r="A104" s="348" t="s">
        <v>77</v>
      </c>
      <c r="B104" s="334">
        <v>2697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158</v>
      </c>
    </row>
    <row r="130" spans="1:6">
      <c r="A130" s="348" t="s">
        <v>294</v>
      </c>
      <c r="B130" s="334">
        <v>3</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51171.431657798377</v>
      </c>
      <c r="C3" s="43" t="s">
        <v>169</v>
      </c>
      <c r="D3" s="43"/>
      <c r="E3" s="154"/>
      <c r="F3" s="43"/>
      <c r="G3" s="43"/>
      <c r="H3" s="43"/>
      <c r="I3" s="43"/>
      <c r="J3" s="43"/>
      <c r="K3" s="96"/>
    </row>
    <row r="4" spans="1:11">
      <c r="A4" s="383" t="s">
        <v>170</v>
      </c>
      <c r="B4" s="49">
        <f>IF(ISERROR('SEAP template'!B78+'SEAP template'!C78),0,'SEAP template'!B78+'SEAP template'!C78)</f>
        <v>12435.6371334385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0.16729277084001462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653.41399999999999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653.41399999999999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0.16729277084001462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109.31143856565731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13200.449550000001</v>
      </c>
      <c r="C5" s="17">
        <f>IF(ISERROR('Eigen informatie GS &amp; warmtenet'!B59),0,'Eigen informatie GS &amp; warmtenet'!B59)</f>
        <v>0</v>
      </c>
      <c r="D5" s="30">
        <f>(SUM(HH_hh_gas_kWh,HH_rest_gas_kWh)/1000)*0.902</f>
        <v>28268.874380999998</v>
      </c>
      <c r="E5" s="17">
        <f>B46*B57</f>
        <v>1776.3539715967554</v>
      </c>
      <c r="F5" s="17">
        <f>B51*B62</f>
        <v>27258.334653136313</v>
      </c>
      <c r="G5" s="18"/>
      <c r="H5" s="17"/>
      <c r="I5" s="17"/>
      <c r="J5" s="17">
        <f>B50*B61+C50*C61</f>
        <v>0</v>
      </c>
      <c r="K5" s="17"/>
      <c r="L5" s="17"/>
      <c r="M5" s="17"/>
      <c r="N5" s="17">
        <f>B48*B59+C48*C59</f>
        <v>11737.259007539047</v>
      </c>
      <c r="O5" s="17">
        <f>B69*B70*B71</f>
        <v>353.14456305089169</v>
      </c>
      <c r="P5" s="17">
        <f>B77*B78*B79/1000-B77*B78*B79/1000/B80</f>
        <v>358.15461646129074</v>
      </c>
    </row>
    <row r="6" spans="1:16">
      <c r="A6" s="16" t="s">
        <v>615</v>
      </c>
      <c r="B6" s="809">
        <f>kWh_PV_kleiner_dan_10kW</f>
        <v>4729.9512737456007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17930.4008237456</v>
      </c>
      <c r="C8" s="21">
        <f>C5</f>
        <v>0</v>
      </c>
      <c r="D8" s="21">
        <f>D5</f>
        <v>28268.874380999998</v>
      </c>
      <c r="E8" s="21">
        <f>E5</f>
        <v>1776.3539715967554</v>
      </c>
      <c r="F8" s="21">
        <f>F5</f>
        <v>27258.334653136313</v>
      </c>
      <c r="G8" s="21"/>
      <c r="H8" s="21"/>
      <c r="I8" s="21"/>
      <c r="J8" s="21">
        <f>J5</f>
        <v>0</v>
      </c>
      <c r="K8" s="21"/>
      <c r="L8" s="21">
        <f>L5</f>
        <v>0</v>
      </c>
      <c r="M8" s="21">
        <f>M5</f>
        <v>0</v>
      </c>
      <c r="N8" s="21">
        <f>N5</f>
        <v>11737.259007539047</v>
      </c>
      <c r="O8" s="21">
        <f>O5</f>
        <v>353.14456305089169</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0.16729277084001462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2999.6264360764822</v>
      </c>
      <c r="C12" s="23">
        <f ca="1">C10*C8</f>
        <v>0</v>
      </c>
      <c r="D12" s="23">
        <f>D8*D10</f>
        <v>5710.312624962</v>
      </c>
      <c r="E12" s="23">
        <f>E10*E8</f>
        <v>403.23235155246351</v>
      </c>
      <c r="F12" s="23">
        <f>F10*F8</f>
        <v>7277.975352387396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4046</v>
      </c>
      <c r="C28" s="36"/>
      <c r="D28" s="228"/>
    </row>
    <row r="29" spans="1:7" s="15" customFormat="1">
      <c r="A29" s="230" t="s">
        <v>837</v>
      </c>
      <c r="B29" s="37">
        <f>SUM(HH_hh_gas_aantal,HH_rest_gas_aantal)</f>
        <v>1757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1757</v>
      </c>
      <c r="C32" s="167">
        <f>IF(ISERROR(B32/SUM($B$32,$B$34,$B$35,$B$36,$B$38,$B$39)*100),0,B32/SUM($B$32,$B$34,$B$35,$B$36,$B$38,$B$39)*100)</f>
        <v>43.793619142572282</v>
      </c>
      <c r="D32" s="233"/>
      <c r="G32" s="15"/>
    </row>
    <row r="33" spans="1:7">
      <c r="A33" s="171" t="s">
        <v>71</v>
      </c>
      <c r="B33" s="34" t="s">
        <v>110</v>
      </c>
      <c r="C33" s="167"/>
      <c r="D33" s="233"/>
      <c r="G33" s="15"/>
    </row>
    <row r="34" spans="1:7">
      <c r="A34" s="171" t="s">
        <v>72</v>
      </c>
      <c r="B34" s="33">
        <f>IF((($B$28-$B$32-$B$39-$B$77-$B$38)*C20/100)&lt;0,0,($B$28-$B$32-$B$39-$B$77-$B$38)*C20/100)</f>
        <v>45.344978165938862</v>
      </c>
      <c r="C34" s="167">
        <f>IF(ISERROR(B34/SUM($B$32,$B$34,$B$35,$B$36,$B$38,$B$39)*100),0,B34/SUM($B$32,$B$34,$B$35,$B$36,$B$38,$B$39)*100)</f>
        <v>1.1302337528898021</v>
      </c>
      <c r="D34" s="233"/>
      <c r="G34" s="15"/>
    </row>
    <row r="35" spans="1:7">
      <c r="A35" s="171" t="s">
        <v>73</v>
      </c>
      <c r="B35" s="33">
        <f>IF((($B$28-$B$32-$B$39-$B$77-$B$38)*C21/100)&lt;0,0,($B$28-$B$32-$B$39-$B$77-$B$38)*C21/100)</f>
        <v>725.51965065502179</v>
      </c>
      <c r="C35" s="167">
        <f>IF(ISERROR(B35/SUM($B$32,$B$34,$B$35,$B$36,$B$38,$B$39)*100),0,B35/SUM($B$32,$B$34,$B$35,$B$36,$B$38,$B$39)*100)</f>
        <v>18.083740046236834</v>
      </c>
      <c r="D35" s="233"/>
      <c r="G35" s="15"/>
    </row>
    <row r="36" spans="1:7">
      <c r="A36" s="171" t="s">
        <v>74</v>
      </c>
      <c r="B36" s="33">
        <f>IF((($B$28-$B$32-$B$39-$B$77-$B$38)*C22/100)&lt;0,0,($B$28-$B$32-$B$39-$B$77-$B$38)*C22/100)</f>
        <v>173.13537117903931</v>
      </c>
      <c r="C36" s="167">
        <f>IF(ISERROR(B36/SUM($B$32,$B$34,$B$35,$B$36,$B$38,$B$39)*100),0,B36/SUM($B$32,$B$34,$B$35,$B$36,$B$38,$B$39)*100)</f>
        <v>4.3154379655792452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1311</v>
      </c>
      <c r="C39" s="167">
        <f>IF(ISERROR(B39/SUM($B$32,$B$34,$B$35,$B$36,$B$38,$B$39)*100),0,B39/SUM($B$32,$B$34,$B$35,$B$36,$B$38,$B$39)*100)</f>
        <v>32.676969092721833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1757</v>
      </c>
      <c r="C44" s="34" t="s">
        <v>110</v>
      </c>
      <c r="D44" s="174"/>
    </row>
    <row r="45" spans="1:7">
      <c r="A45" s="171" t="s">
        <v>71</v>
      </c>
      <c r="B45" s="33" t="str">
        <f t="shared" si="0"/>
        <v>-</v>
      </c>
      <c r="C45" s="34" t="s">
        <v>110</v>
      </c>
      <c r="D45" s="174"/>
    </row>
    <row r="46" spans="1:7">
      <c r="A46" s="171" t="s">
        <v>72</v>
      </c>
      <c r="B46" s="33">
        <f t="shared" si="0"/>
        <v>45.344978165938862</v>
      </c>
      <c r="C46" s="34" t="s">
        <v>110</v>
      </c>
      <c r="D46" s="174"/>
    </row>
    <row r="47" spans="1:7">
      <c r="A47" s="171" t="s">
        <v>73</v>
      </c>
      <c r="B47" s="33">
        <f t="shared" si="0"/>
        <v>725.51965065502179</v>
      </c>
      <c r="C47" s="34" t="s">
        <v>110</v>
      </c>
      <c r="D47" s="174"/>
    </row>
    <row r="48" spans="1:7">
      <c r="A48" s="171" t="s">
        <v>74</v>
      </c>
      <c r="B48" s="33">
        <f t="shared" si="0"/>
        <v>173.13537117903931</v>
      </c>
      <c r="C48" s="33">
        <f>B48*10</f>
        <v>1731.3537117903932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1311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19215.924332000002</v>
      </c>
      <c r="C5" s="17">
        <f>IF(ISERROR('Eigen informatie GS &amp; warmtenet'!B60),0,'Eigen informatie GS &amp; warmtenet'!B60)</f>
        <v>0</v>
      </c>
      <c r="D5" s="30">
        <f>SUM(D6:D12)</f>
        <v>20914.456499838005</v>
      </c>
      <c r="E5" s="17">
        <f>SUM(E6:E12)</f>
        <v>372.31205843296465</v>
      </c>
      <c r="F5" s="17">
        <f>SUM(F6:F12)</f>
        <v>2029.1217585897707</v>
      </c>
      <c r="G5" s="18"/>
      <c r="H5" s="17"/>
      <c r="I5" s="17"/>
      <c r="J5" s="17">
        <f>SUM(J6:J12)</f>
        <v>1.2156968319841196E-2</v>
      </c>
      <c r="K5" s="17"/>
      <c r="L5" s="17"/>
      <c r="M5" s="17"/>
      <c r="N5" s="17">
        <f>SUM(N6:N12)</f>
        <v>485.81531465755779</v>
      </c>
      <c r="O5" s="17">
        <f>B38*B39*B40</f>
        <v>14.691782297523464</v>
      </c>
      <c r="P5" s="17">
        <f>B46*B47*B48/1000-B46*B47*B48/1000/B49</f>
        <v>0</v>
      </c>
      <c r="R5" s="32"/>
    </row>
    <row r="6" spans="1:18">
      <c r="A6" s="32" t="s">
        <v>53</v>
      </c>
      <c r="B6" s="37">
        <f>B26</f>
        <v>4844.4079139999994</v>
      </c>
      <c r="C6" s="33"/>
      <c r="D6" s="37">
        <f>IF(ISERROR(TER_kantoor_gas_kWh/1000),0,TER_kantoor_gas_kWh/1000)*0.902</f>
        <v>4426.1974449219997</v>
      </c>
      <c r="E6" s="33">
        <f>$C$26*'E Balans VL '!I12/100/3.6*1000000</f>
        <v>38.981397244412847</v>
      </c>
      <c r="F6" s="33">
        <f>$C$26*('E Balans VL '!L12+'E Balans VL '!N12)/100/3.6*1000000</f>
        <v>592.27982902618805</v>
      </c>
      <c r="G6" s="34"/>
      <c r="H6" s="33"/>
      <c r="I6" s="33"/>
      <c r="J6" s="33">
        <f>$C$26*('E Balans VL '!D12+'E Balans VL '!E12)/100/3.6*1000000</f>
        <v>0</v>
      </c>
      <c r="K6" s="33"/>
      <c r="L6" s="33"/>
      <c r="M6" s="33"/>
      <c r="N6" s="33">
        <f>$C$26*'E Balans VL '!Y12/100/3.6*1000000</f>
        <v>2.6036306925057948</v>
      </c>
      <c r="O6" s="33"/>
      <c r="P6" s="33"/>
      <c r="R6" s="32"/>
    </row>
    <row r="7" spans="1:18">
      <c r="A7" s="32" t="s">
        <v>52</v>
      </c>
      <c r="B7" s="37">
        <f t="shared" ref="B7:B12" si="0">B27</f>
        <v>1200.2266000000002</v>
      </c>
      <c r="C7" s="33"/>
      <c r="D7" s="37">
        <f>IF(ISERROR(TER_horeca_gas_kWh/1000),0,TER_horeca_gas_kWh/1000)*0.902</f>
        <v>777.23265400000003</v>
      </c>
      <c r="E7" s="33">
        <f>$C$27*'E Balans VL '!I9/100/3.6*1000000</f>
        <v>12.887486442731486</v>
      </c>
      <c r="F7" s="33">
        <f>$C$27*('E Balans VL '!L9+'E Balans VL '!N9)/100/3.6*1000000</f>
        <v>144.35815605399969</v>
      </c>
      <c r="G7" s="34"/>
      <c r="H7" s="33"/>
      <c r="I7" s="33"/>
      <c r="J7" s="33">
        <f>$C$27*('E Balans VL '!D9+'E Balans VL '!E9)/100/3.6*1000000</f>
        <v>0</v>
      </c>
      <c r="K7" s="33"/>
      <c r="L7" s="33"/>
      <c r="M7" s="33"/>
      <c r="N7" s="33">
        <f>$C$27*'E Balans VL '!Y9/100/3.6*1000000</f>
        <v>0.17993829310899587</v>
      </c>
      <c r="O7" s="33"/>
      <c r="P7" s="33"/>
      <c r="R7" s="32"/>
    </row>
    <row r="8" spans="1:18">
      <c r="A8" s="6" t="s">
        <v>51</v>
      </c>
      <c r="B8" s="37">
        <f t="shared" si="0"/>
        <v>11843.151818</v>
      </c>
      <c r="C8" s="33"/>
      <c r="D8" s="37">
        <f>IF(ISERROR(TER_handel_gas_kWh/1000),0,TER_handel_gas_kWh/1000)*0.902</f>
        <v>12917.552199816002</v>
      </c>
      <c r="E8" s="33">
        <f>$C$28*'E Balans VL '!I13/100/3.6*1000000</f>
        <v>317.83393733755531</v>
      </c>
      <c r="F8" s="33">
        <f>$C$28*('E Balans VL '!L13+'E Balans VL '!N13)/100/3.6*1000000</f>
        <v>1130.2016987880613</v>
      </c>
      <c r="G8" s="34"/>
      <c r="H8" s="33"/>
      <c r="I8" s="33"/>
      <c r="J8" s="33">
        <f>$C$28*('E Balans VL '!D13+'E Balans VL '!E13)/100/3.6*1000000</f>
        <v>0</v>
      </c>
      <c r="K8" s="33"/>
      <c r="L8" s="33"/>
      <c r="M8" s="33"/>
      <c r="N8" s="33">
        <f>$C$28*'E Balans VL '!Y13/100/3.6*1000000</f>
        <v>4.6947600418566777</v>
      </c>
      <c r="O8" s="33"/>
      <c r="P8" s="33"/>
      <c r="R8" s="32"/>
    </row>
    <row r="9" spans="1:18">
      <c r="A9" s="32" t="s">
        <v>50</v>
      </c>
      <c r="B9" s="37">
        <f t="shared" si="0"/>
        <v>583.31200000000001</v>
      </c>
      <c r="C9" s="33"/>
      <c r="D9" s="37">
        <f>IF(ISERROR(TER_gezond_gas_kWh/1000),0,TER_gezond_gas_kWh/1000)*0.902</f>
        <v>989.43361110000012</v>
      </c>
      <c r="E9" s="33">
        <f>$C$29*'E Balans VL '!I10/100/3.6*1000000</f>
        <v>1.0933166226348832</v>
      </c>
      <c r="F9" s="33">
        <f>$C$29*('E Balans VL '!L10+'E Balans VL '!N10)/100/3.6*1000000</f>
        <v>47.953568711898228</v>
      </c>
      <c r="G9" s="34"/>
      <c r="H9" s="33"/>
      <c r="I9" s="33"/>
      <c r="J9" s="33">
        <f>$C$29*('E Balans VL '!D10+'E Balans VL '!E10)/100/3.6*1000000</f>
        <v>0</v>
      </c>
      <c r="K9" s="33"/>
      <c r="L9" s="33"/>
      <c r="M9" s="33"/>
      <c r="N9" s="33">
        <f>$C$29*'E Balans VL '!Y10/100/3.6*1000000</f>
        <v>4.5386025732864717</v>
      </c>
      <c r="O9" s="33"/>
      <c r="P9" s="33"/>
      <c r="R9" s="32"/>
    </row>
    <row r="10" spans="1:18">
      <c r="A10" s="32" t="s">
        <v>49</v>
      </c>
      <c r="B10" s="37">
        <f t="shared" si="0"/>
        <v>712.47199999999998</v>
      </c>
      <c r="C10" s="33"/>
      <c r="D10" s="37">
        <f>IF(ISERROR(TER_ander_gas_kWh/1000),0,TER_ander_gas_kWh/1000)*0.902</f>
        <v>1710.411186</v>
      </c>
      <c r="E10" s="33">
        <f>$C$30*'E Balans VL '!I14/100/3.6*1000000</f>
        <v>1.0982828073672275</v>
      </c>
      <c r="F10" s="33">
        <f>$C$30*('E Balans VL '!L14+'E Balans VL '!N14)/100/3.6*1000000</f>
        <v>110.61147468870931</v>
      </c>
      <c r="G10" s="34"/>
      <c r="H10" s="33"/>
      <c r="I10" s="33"/>
      <c r="J10" s="33">
        <f>$C$30*('E Balans VL '!D14+'E Balans VL '!E14)/100/3.6*1000000</f>
        <v>1.2094963590640386E-2</v>
      </c>
      <c r="K10" s="33"/>
      <c r="L10" s="33"/>
      <c r="M10" s="33"/>
      <c r="N10" s="33">
        <f>$C$30*'E Balans VL '!Y14/100/3.6*1000000</f>
        <v>471.34864064380474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32.353999999999999</v>
      </c>
      <c r="C12" s="33"/>
      <c r="D12" s="37">
        <f>IF(ISERROR(TER_rest_gas_kWh/1000),0,TER_rest_gas_kWh/1000)*0.902</f>
        <v>93.629404000000008</v>
      </c>
      <c r="E12" s="33">
        <f>$C$32*'E Balans VL '!I8/100/3.6*1000000</f>
        <v>0.41763797826289856</v>
      </c>
      <c r="F12" s="33">
        <f>$C$32*('E Balans VL '!L8+'E Balans VL '!N8)/100/3.6*1000000</f>
        <v>3.7170313209141104</v>
      </c>
      <c r="G12" s="34"/>
      <c r="H12" s="33"/>
      <c r="I12" s="33"/>
      <c r="J12" s="33">
        <f>$C$32*('E Balans VL '!D8+'E Balans VL '!E8)/100/3.6*1000000</f>
        <v>6.2004729200810626E-5</v>
      </c>
      <c r="K12" s="33"/>
      <c r="L12" s="33"/>
      <c r="M12" s="33"/>
      <c r="N12" s="33">
        <f>$C$32*'E Balans VL '!Y8/100/3.6*1000000</f>
        <v>2.4497424129951497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19215.924332000002</v>
      </c>
      <c r="C16" s="21">
        <f t="shared" ca="1" si="1"/>
        <v>0</v>
      </c>
      <c r="D16" s="21">
        <f t="shared" ca="1" si="1"/>
        <v>20914.456499838005</v>
      </c>
      <c r="E16" s="21">
        <f t="shared" si="1"/>
        <v>372.31205843296465</v>
      </c>
      <c r="F16" s="21">
        <f t="shared" ca="1" si="1"/>
        <v>2029.1217585897707</v>
      </c>
      <c r="G16" s="21">
        <f t="shared" si="1"/>
        <v>0</v>
      </c>
      <c r="H16" s="21">
        <f t="shared" si="1"/>
        <v>0</v>
      </c>
      <c r="I16" s="21">
        <f t="shared" si="1"/>
        <v>0</v>
      </c>
      <c r="J16" s="21">
        <f t="shared" si="1"/>
        <v>1.2156968319841196E-2</v>
      </c>
      <c r="K16" s="21">
        <f t="shared" si="1"/>
        <v>0</v>
      </c>
      <c r="L16" s="21">
        <f t="shared" ca="1" si="1"/>
        <v>0</v>
      </c>
      <c r="M16" s="21">
        <f t="shared" si="1"/>
        <v>0</v>
      </c>
      <c r="N16" s="21">
        <f t="shared" ca="1" si="1"/>
        <v>485.81531465755779</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0.16729277084001462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3214.6852257523374</v>
      </c>
      <c r="C20" s="23">
        <f t="shared" ref="C20:P20" ca="1" si="2">C16*C18</f>
        <v>0</v>
      </c>
      <c r="D20" s="23">
        <f t="shared" ca="1" si="2"/>
        <v>4224.7202129672769</v>
      </c>
      <c r="E20" s="23">
        <f t="shared" si="2"/>
        <v>84.514837264282974</v>
      </c>
      <c r="F20" s="23">
        <f t="shared" ca="1" si="2"/>
        <v>541.77550954346884</v>
      </c>
      <c r="G20" s="23">
        <f t="shared" si="2"/>
        <v>0</v>
      </c>
      <c r="H20" s="23">
        <f t="shared" si="2"/>
        <v>0</v>
      </c>
      <c r="I20" s="23">
        <f t="shared" si="2"/>
        <v>0</v>
      </c>
      <c r="J20" s="23">
        <f t="shared" si="2"/>
        <v>4.3035667852237827E-3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4844.4079139999994</v>
      </c>
      <c r="C26" s="39">
        <f>IF(ISERROR(B26*3.6/1000000/'E Balans VL '!Z12*100),0,B26*3.6/1000000/'E Balans VL '!Z12*100)</f>
        <v>0.10276968177122578</v>
      </c>
      <c r="D26" s="237" t="s">
        <v>716</v>
      </c>
      <c r="F26" s="6"/>
    </row>
    <row r="27" spans="1:18">
      <c r="A27" s="231" t="s">
        <v>52</v>
      </c>
      <c r="B27" s="33">
        <f>IF(ISERROR(TER_horeca_ele_kWh/1000),0,TER_horeca_ele_kWh/1000)</f>
        <v>1200.2266000000002</v>
      </c>
      <c r="C27" s="39">
        <f>IF(ISERROR(B27*3.6/1000000/'E Balans VL '!Z9*100),0,B27*3.6/1000000/'E Balans VL '!Z9*100)</f>
        <v>9.0387695195206688E-2</v>
      </c>
      <c r="D27" s="237" t="s">
        <v>716</v>
      </c>
      <c r="F27" s="6"/>
    </row>
    <row r="28" spans="1:18">
      <c r="A28" s="171" t="s">
        <v>51</v>
      </c>
      <c r="B28" s="33">
        <f>IF(ISERROR(TER_handel_ele_kWh/1000),0,TER_handel_ele_kWh/1000)</f>
        <v>11843.151818</v>
      </c>
      <c r="C28" s="39">
        <f>IF(ISERROR(B28*3.6/1000000/'E Balans VL '!Z13*100),0,B28*3.6/1000000/'E Balans VL '!Z13*100)</f>
        <v>0.34376473371557614</v>
      </c>
      <c r="D28" s="237" t="s">
        <v>716</v>
      </c>
      <c r="F28" s="6"/>
    </row>
    <row r="29" spans="1:18">
      <c r="A29" s="231" t="s">
        <v>50</v>
      </c>
      <c r="B29" s="33">
        <f>IF(ISERROR(TER_gezond_ele_kWh/1000),0,TER_gezond_ele_kWh/1000)</f>
        <v>583.31200000000001</v>
      </c>
      <c r="C29" s="39">
        <f>IF(ISERROR(B29*3.6/1000000/'E Balans VL '!Z10*100),0,B29*3.6/1000000/'E Balans VL '!Z10*100)</f>
        <v>5.8827710827892302E-2</v>
      </c>
      <c r="D29" s="237" t="s">
        <v>716</v>
      </c>
      <c r="F29" s="6"/>
    </row>
    <row r="30" spans="1:18">
      <c r="A30" s="231" t="s">
        <v>49</v>
      </c>
      <c r="B30" s="33">
        <f>IF(ISERROR(TER_ander_ele_kWh/1000),0,TER_ander_ele_kWh/1000)</f>
        <v>712.47199999999998</v>
      </c>
      <c r="C30" s="39">
        <f>IF(ISERROR(B30*3.6/1000000/'E Balans VL '!Z14*100),0,B30*3.6/1000000/'E Balans VL '!Z14*100)</f>
        <v>5.1699563500273132E-2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32.353999999999999</v>
      </c>
      <c r="C32" s="39">
        <f>IF(ISERROR(B32*3.6/1000000/'E Balans VL '!Z8*100),0,B32*3.6/1000000/'E Balans VL '!Z8*100)</f>
        <v>2.6503737779873905E-4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12551.3577</v>
      </c>
      <c r="C5" s="17">
        <f>IF(ISERROR('Eigen informatie GS &amp; warmtenet'!B61),0,'Eigen informatie GS &amp; warmtenet'!B61)</f>
        <v>0</v>
      </c>
      <c r="D5" s="30">
        <f>SUM(D6:D15)</f>
        <v>11690.042672000001</v>
      </c>
      <c r="E5" s="17">
        <f>SUM(E6:E15)</f>
        <v>1045.327963910795</v>
      </c>
      <c r="F5" s="17">
        <f>SUM(F6:F15)</f>
        <v>4862.6827866400608</v>
      </c>
      <c r="G5" s="18"/>
      <c r="H5" s="17"/>
      <c r="I5" s="17"/>
      <c r="J5" s="17">
        <f>SUM(J6:J15)</f>
        <v>61.035811942208504</v>
      </c>
      <c r="K5" s="17"/>
      <c r="L5" s="17"/>
      <c r="M5" s="17"/>
      <c r="N5" s="17">
        <f>SUM(N6:N15)</f>
        <v>1676.2705738859433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3168.9140000000002</v>
      </c>
      <c r="C8" s="33"/>
      <c r="D8" s="37">
        <f>IF( ISERROR(IND_metaal_Gas_kWH/1000),0,IND_metaal_Gas_kWH/1000)*0.902</f>
        <v>4315.2293360000003</v>
      </c>
      <c r="E8" s="33">
        <f>C30*'E Balans VL '!I18/100/3.6*1000000</f>
        <v>22.861490358286556</v>
      </c>
      <c r="F8" s="33">
        <f>C30*'E Balans VL '!L18/100/3.6*1000000+C30*'E Balans VL '!N18/100/3.6*1000000</f>
        <v>299.72083371892165</v>
      </c>
      <c r="G8" s="34"/>
      <c r="H8" s="33"/>
      <c r="I8" s="33"/>
      <c r="J8" s="40">
        <f>C30*'E Balans VL '!D18/100/3.6*1000000+C30*'E Balans VL '!E18/100/3.6*1000000</f>
        <v>3.1873121163870697</v>
      </c>
      <c r="K8" s="33"/>
      <c r="L8" s="33"/>
      <c r="M8" s="33"/>
      <c r="N8" s="33">
        <f>C30*'E Balans VL '!Y18/100/3.6*1000000</f>
        <v>40.06345707870971</v>
      </c>
      <c r="O8" s="33"/>
      <c r="P8" s="33"/>
      <c r="R8" s="32"/>
    </row>
    <row r="9" spans="1:18">
      <c r="A9" s="6" t="s">
        <v>32</v>
      </c>
      <c r="B9" s="37">
        <f t="shared" si="0"/>
        <v>2769.2247000000002</v>
      </c>
      <c r="C9" s="33"/>
      <c r="D9" s="37">
        <f>IF( ISERROR(IND_andere_gas_kWh/1000),0,IND_andere_gas_kWh/1000)*0.902</f>
        <v>2604.0667840000001</v>
      </c>
      <c r="E9" s="33">
        <f>C31*'E Balans VL '!I19/100/3.6*1000000</f>
        <v>767.38919354333655</v>
      </c>
      <c r="F9" s="33">
        <f>C31*'E Balans VL '!L19/100/3.6*1000000+C31*'E Balans VL '!N19/100/3.6*1000000</f>
        <v>2295.139415700698</v>
      </c>
      <c r="G9" s="34"/>
      <c r="H9" s="33"/>
      <c r="I9" s="33"/>
      <c r="J9" s="40">
        <f>C31*'E Balans VL '!D19/100/3.6*1000000+C31*'E Balans VL '!E19/100/3.6*1000000</f>
        <v>0</v>
      </c>
      <c r="K9" s="33"/>
      <c r="L9" s="33"/>
      <c r="M9" s="33"/>
      <c r="N9" s="33">
        <f>C31*'E Balans VL '!Y19/100/3.6*1000000</f>
        <v>201.01184193507257</v>
      </c>
      <c r="O9" s="33"/>
      <c r="P9" s="33"/>
      <c r="R9" s="32"/>
    </row>
    <row r="10" spans="1:18">
      <c r="A10" s="6" t="s">
        <v>40</v>
      </c>
      <c r="B10" s="37">
        <f t="shared" si="0"/>
        <v>115.398</v>
      </c>
      <c r="C10" s="33"/>
      <c r="D10" s="37">
        <f>IF( ISERROR(IND_voed_gas_kWh/1000),0,IND_voed_gas_kWh/1000)*0.902</f>
        <v>0</v>
      </c>
      <c r="E10" s="33">
        <f>C32*'E Balans VL '!I20/100/3.6*1000000</f>
        <v>0.20429354780863135</v>
      </c>
      <c r="F10" s="33">
        <f>C32*'E Balans VL '!L20/100/3.6*1000000+C32*'E Balans VL '!N20/100/3.6*1000000</f>
        <v>6.2325147632996627</v>
      </c>
      <c r="G10" s="34"/>
      <c r="H10" s="33"/>
      <c r="I10" s="33"/>
      <c r="J10" s="40">
        <f>C32*'E Balans VL '!D20/100/3.6*1000000+C32*'E Balans VL '!E20/100/3.6*1000000</f>
        <v>0</v>
      </c>
      <c r="K10" s="33"/>
      <c r="L10" s="33"/>
      <c r="M10" s="33"/>
      <c r="N10" s="33">
        <f>C32*'E Balans VL '!Y20/100/3.6*1000000</f>
        <v>6.7055051055078492</v>
      </c>
      <c r="O10" s="33"/>
      <c r="P10" s="33"/>
      <c r="R10" s="32"/>
    </row>
    <row r="11" spans="1:18">
      <c r="A11" s="6" t="s">
        <v>39</v>
      </c>
      <c r="B11" s="37">
        <f t="shared" si="0"/>
        <v>233.04499999999999</v>
      </c>
      <c r="C11" s="33"/>
      <c r="D11" s="37">
        <f>IF( ISERROR(IND_textiel_gas_kWh/1000),0,IND_textiel_gas_kWh/1000)*0.902</f>
        <v>759.9241760000001</v>
      </c>
      <c r="E11" s="33">
        <f>C33*'E Balans VL '!I21/100/3.6*1000000</f>
        <v>0.82150781389880612</v>
      </c>
      <c r="F11" s="33">
        <f>C33*'E Balans VL '!L21/100/3.6*1000000+C33*'E Balans VL '!N21/100/3.6*1000000</f>
        <v>6.840219236483656</v>
      </c>
      <c r="G11" s="34"/>
      <c r="H11" s="33"/>
      <c r="I11" s="33"/>
      <c r="J11" s="40">
        <f>C33*'E Balans VL '!D21/100/3.6*1000000+C33*'E Balans VL '!E21/100/3.6*1000000</f>
        <v>0</v>
      </c>
      <c r="K11" s="33"/>
      <c r="L11" s="33"/>
      <c r="M11" s="33"/>
      <c r="N11" s="33">
        <f>C33*'E Balans VL '!Y21/100/3.6*1000000</f>
        <v>10.267929340475986</v>
      </c>
      <c r="O11" s="33"/>
      <c r="P11" s="33"/>
      <c r="R11" s="32"/>
    </row>
    <row r="12" spans="1:18">
      <c r="A12" s="6" t="s">
        <v>36</v>
      </c>
      <c r="B12" s="37">
        <f t="shared" si="0"/>
        <v>5751.9870000000001</v>
      </c>
      <c r="C12" s="33"/>
      <c r="D12" s="37">
        <f>IF( ISERROR(IND_min_gas_kWh/1000),0,IND_min_gas_kWh/1000)*0.902</f>
        <v>4010.8223760000001</v>
      </c>
      <c r="E12" s="33">
        <f>C34*'E Balans VL '!I22/100/3.6*1000000</f>
        <v>253.29698994688724</v>
      </c>
      <c r="F12" s="33">
        <f>C34*'E Balans VL '!L22/100/3.6*1000000+C34*'E Balans VL '!N22/100/3.6*1000000</f>
        <v>2249.2592142137005</v>
      </c>
      <c r="G12" s="34"/>
      <c r="H12" s="33"/>
      <c r="I12" s="33"/>
      <c r="J12" s="40">
        <f>C34*'E Balans VL '!D22/100/3.6*1000000+C34*'E Balans VL '!E22/100/3.6*1000000</f>
        <v>1.7465076555856047</v>
      </c>
      <c r="K12" s="33"/>
      <c r="L12" s="33"/>
      <c r="M12" s="33"/>
      <c r="N12" s="33">
        <f>C34*'E Balans VL '!Y22/100/3.6*1000000</f>
        <v>1422.8672693738558</v>
      </c>
      <c r="O12" s="33"/>
      <c r="P12" s="33"/>
      <c r="R12" s="32"/>
    </row>
    <row r="13" spans="1:18">
      <c r="A13" s="6" t="s">
        <v>38</v>
      </c>
      <c r="B13" s="37">
        <f t="shared" si="0"/>
        <v>512.78899999999999</v>
      </c>
      <c r="C13" s="33"/>
      <c r="D13" s="37">
        <f>IF( ISERROR(IND_papier_gas_kWh/1000),0,IND_papier_gas_kWh/1000)*0.902</f>
        <v>0</v>
      </c>
      <c r="E13" s="33">
        <f>C35*'E Balans VL '!I23/100/3.6*1000000</f>
        <v>0.75448870057711404</v>
      </c>
      <c r="F13" s="33">
        <f>C35*'E Balans VL '!L23/100/3.6*1000000+C35*'E Balans VL '!N23/100/3.6*1000000</f>
        <v>5.4905890069572632</v>
      </c>
      <c r="G13" s="34"/>
      <c r="H13" s="33"/>
      <c r="I13" s="33"/>
      <c r="J13" s="40">
        <f>C35*'E Balans VL '!D23/100/3.6*1000000+C35*'E Balans VL '!E23/100/3.6*1000000</f>
        <v>56.101992170235832</v>
      </c>
      <c r="K13" s="33"/>
      <c r="L13" s="33"/>
      <c r="M13" s="33"/>
      <c r="N13" s="33">
        <f>C35*'E Balans VL '!Y23/100/3.6*1000000</f>
        <v>-4.6454289476784441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12551.3577</v>
      </c>
      <c r="C18" s="21">
        <f>C5+C16</f>
        <v>0</v>
      </c>
      <c r="D18" s="21">
        <f>MAX((D5+D16),0)</f>
        <v>11690.042672000001</v>
      </c>
      <c r="E18" s="21">
        <f>MAX((E5+E16),0)</f>
        <v>1045.327963910795</v>
      </c>
      <c r="F18" s="21">
        <f>MAX((F5+F16),0)</f>
        <v>4862.6827866400608</v>
      </c>
      <c r="G18" s="21"/>
      <c r="H18" s="21"/>
      <c r="I18" s="21"/>
      <c r="J18" s="21">
        <f>MAX((J5+J16),0)</f>
        <v>61.035811942208504</v>
      </c>
      <c r="K18" s="21"/>
      <c r="L18" s="21">
        <f>MAX((L5+L16),0)</f>
        <v>0</v>
      </c>
      <c r="M18" s="21"/>
      <c r="N18" s="21">
        <f>MAX((N5+N16),0)</f>
        <v>1676.2705738859433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0.16729277084001462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2099.7514074371529</v>
      </c>
      <c r="C22" s="23">
        <f ca="1">C18*C20</f>
        <v>0</v>
      </c>
      <c r="D22" s="23">
        <f>D18*D20</f>
        <v>2361.3886197440006</v>
      </c>
      <c r="E22" s="23">
        <f>E18*E20</f>
        <v>237.28944780775046</v>
      </c>
      <c r="F22" s="23">
        <f>F18*F20</f>
        <v>1298.3363040328964</v>
      </c>
      <c r="G22" s="23"/>
      <c r="H22" s="23"/>
      <c r="I22" s="23"/>
      <c r="J22" s="23">
        <f>J18*J20</f>
        <v>21.606677427541808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3168.9140000000002</v>
      </c>
      <c r="C30" s="39">
        <f>IF(ISERROR(B30*3.6/1000000/'E Balans VL '!Z18*100),0,B30*3.6/1000000/'E Balans VL '!Z18*100)</f>
        <v>0.18293646061243066</v>
      </c>
      <c r="D30" s="237" t="s">
        <v>716</v>
      </c>
    </row>
    <row r="31" spans="1:18">
      <c r="A31" s="6" t="s">
        <v>32</v>
      </c>
      <c r="B31" s="37">
        <f>IF( ISERROR(IND_ander_ele_kWh/1000),0,IND_ander_ele_kWh/1000)</f>
        <v>2769.2247000000002</v>
      </c>
      <c r="C31" s="39">
        <f>IF(ISERROR(B31*3.6/1000000/'E Balans VL '!Z19*100),0,B31*3.6/1000000/'E Balans VL '!Z19*100)</f>
        <v>0.13928302631569811</v>
      </c>
      <c r="D31" s="237" t="s">
        <v>716</v>
      </c>
    </row>
    <row r="32" spans="1:18">
      <c r="A32" s="171" t="s">
        <v>40</v>
      </c>
      <c r="B32" s="37">
        <f>IF( ISERROR(IND_voed_ele_kWh/1000),0,IND_voed_ele_kWh/1000)</f>
        <v>115.398</v>
      </c>
      <c r="C32" s="39">
        <f>IF(ISERROR(B32*3.6/1000000/'E Balans VL '!Z20*100),0,B32*3.6/1000000/'E Balans VL '!Z20*100)</f>
        <v>3.8434386619525551E-3</v>
      </c>
      <c r="D32" s="237" t="s">
        <v>716</v>
      </c>
    </row>
    <row r="33" spans="1:5">
      <c r="A33" s="171" t="s">
        <v>39</v>
      </c>
      <c r="B33" s="37">
        <f>IF( ISERROR(IND_textiel_ele_kWh/1000),0,IND_textiel_ele_kWh/1000)</f>
        <v>233.04499999999999</v>
      </c>
      <c r="C33" s="39">
        <f>IF(ISERROR(B33*3.6/1000000/'E Balans VL '!Z21*100),0,B33*3.6/1000000/'E Balans VL '!Z21*100)</f>
        <v>3.6334681564279735E-2</v>
      </c>
      <c r="D33" s="237" t="s">
        <v>716</v>
      </c>
    </row>
    <row r="34" spans="1:5">
      <c r="A34" s="171" t="s">
        <v>36</v>
      </c>
      <c r="B34" s="37">
        <f>IF( ISERROR(IND_min_ele_kWh/1000),0,IND_min_ele_kWh/1000)</f>
        <v>5751.9870000000001</v>
      </c>
      <c r="C34" s="39">
        <f>IF(ISERROR(B34*3.6/1000000/'E Balans VL '!Z22*100),0,B34*3.6/1000000/'E Balans VL '!Z22*100)</f>
        <v>1.0729398566736936</v>
      </c>
      <c r="D34" s="237" t="s">
        <v>716</v>
      </c>
    </row>
    <row r="35" spans="1:5">
      <c r="A35" s="171" t="s">
        <v>38</v>
      </c>
      <c r="B35" s="37">
        <f>IF( ISERROR(IND_papier_ele_kWh/1000),0,IND_papier_ele_kWh/1000)</f>
        <v>512.78899999999999</v>
      </c>
      <c r="C35" s="39">
        <f>IF(ISERROR(B35*3.6/1000000/'E Balans VL '!Z22*100),0,B35*3.6/1000000/'E Balans VL '!Z22*100)</f>
        <v>9.5652468644982447E-2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338.398077</v>
      </c>
      <c r="C5" s="17">
        <f>'Eigen informatie GS &amp; warmtenet'!B62</f>
        <v>0</v>
      </c>
      <c r="D5" s="30">
        <f>IF(ISERROR(SUM(LB_lb_gas_kWh,LB_rest_gas_kWh)/1000),0,SUM(LB_lb_gas_kWh,LB_rest_gas_kWh)/1000)*0.902</f>
        <v>44.907874</v>
      </c>
      <c r="E5" s="17">
        <f>B17*'E Balans VL '!I25/3.6*1000000/100</f>
        <v>10.561292393250815</v>
      </c>
      <c r="F5" s="17">
        <f>B17*('E Balans VL '!L25/3.6*1000000+'E Balans VL '!N25/3.6*1000000)/100</f>
        <v>1195.9362908457279</v>
      </c>
      <c r="G5" s="18"/>
      <c r="H5" s="17"/>
      <c r="I5" s="17"/>
      <c r="J5" s="17">
        <f>('E Balans VL '!D25+'E Balans VL '!E25)/3.6*1000000*landbouw!B17/100</f>
        <v>93.231016983597016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338.398077</v>
      </c>
      <c r="C8" s="21">
        <f>C5+C6</f>
        <v>0</v>
      </c>
      <c r="D8" s="21">
        <f>MAX((D5+D6),0)</f>
        <v>44.907874</v>
      </c>
      <c r="E8" s="21">
        <f>MAX((E5+E6),0)</f>
        <v>10.561292393250815</v>
      </c>
      <c r="F8" s="21">
        <f>MAX((F5+F6),0)</f>
        <v>1195.9362908457279</v>
      </c>
      <c r="G8" s="21"/>
      <c r="H8" s="21"/>
      <c r="I8" s="21"/>
      <c r="J8" s="21">
        <f>MAX((J5+J6),0)</f>
        <v>93.231016983597016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0.16729277084001462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56.611551948262623</v>
      </c>
      <c r="C12" s="23">
        <f ca="1">C8*C10</f>
        <v>0</v>
      </c>
      <c r="D12" s="23">
        <f>D8*D10</f>
        <v>9.0713905480000001</v>
      </c>
      <c r="E12" s="23">
        <f>E8*E10</f>
        <v>2.397413373267935</v>
      </c>
      <c r="F12" s="23">
        <f>F8*F10</f>
        <v>319.31498965580937</v>
      </c>
      <c r="G12" s="23"/>
      <c r="H12" s="23"/>
      <c r="I12" s="23"/>
      <c r="J12" s="23">
        <f>J8*J10</f>
        <v>33.003780012193339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5.0305300013249343E-2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56.790837349050335</v>
      </c>
      <c r="C26" s="247">
        <f>B26*'GWP N2O_CH4'!B5</f>
        <v>1192.6075843300571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15.428901197404945</v>
      </c>
      <c r="C27" s="247">
        <f>B27*'GWP N2O_CH4'!B5</f>
        <v>324.00692514550383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0.57074692231535495</v>
      </c>
      <c r="C28" s="247">
        <f>B28*'GWP N2O_CH4'!B4</f>
        <v>176.93154591776005</v>
      </c>
      <c r="D28" s="50"/>
    </row>
    <row r="29" spans="1:4">
      <c r="A29" s="41" t="s">
        <v>276</v>
      </c>
      <c r="B29" s="247">
        <f>B34*'ha_N2O bodem landbouw'!B4</f>
        <v>3.5043496662849356</v>
      </c>
      <c r="C29" s="247">
        <f>B29*'GWP N2O_CH4'!B4</f>
        <v>1086.3483965483301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7.6844078741921079E-4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1.1008413018999999E-4</v>
      </c>
      <c r="C5" s="463" t="s">
        <v>210</v>
      </c>
      <c r="D5" s="448">
        <f>SUM(D6:D11)</f>
        <v>5.1478374658418401E-4</v>
      </c>
      <c r="E5" s="448">
        <f>SUM(E6:E11)</f>
        <v>3.881251554408E-4</v>
      </c>
      <c r="F5" s="461" t="s">
        <v>210</v>
      </c>
      <c r="G5" s="448">
        <f>SUM(G6:G11)</f>
        <v>0.1313670301905786</v>
      </c>
      <c r="H5" s="448">
        <f>SUM(H6:H11)</f>
        <v>3.8057065239108262E-2</v>
      </c>
      <c r="I5" s="463" t="s">
        <v>210</v>
      </c>
      <c r="J5" s="463" t="s">
        <v>210</v>
      </c>
      <c r="K5" s="463" t="s">
        <v>210</v>
      </c>
      <c r="L5" s="463" t="s">
        <v>210</v>
      </c>
      <c r="M5" s="448">
        <f>SUM(M6:M11)</f>
        <v>1.0076449442509404E-2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6.0765579789999999E-5</v>
      </c>
      <c r="C6" s="449"/>
      <c r="D6" s="917">
        <f>vkm_2011_GW_PW*SUMIFS(TableVerdeelsleutelVkm[CNG],TableVerdeelsleutelVkm[Voertuigtype],"Lichte voertuigen")*SUMIFS(TableECFTransport[EnergieConsumptieFactor (PJ per km)],TableECFTransport[Index],CONCATENATE($A6,"_CNG_CNG"))</f>
        <v>2.1129227128178401E-4</v>
      </c>
      <c r="E6" s="917">
        <f>vkm_2011_GW_PW*SUMIFS(TableVerdeelsleutelVkm[LPG],TableVerdeelsleutelVkm[Voertuigtype],"Lichte voertuigen")*SUMIFS(TableECFTransport[EnergieConsumptieFactor (PJ per km)],TableECFTransport[Index],CONCATENATE($A6,"_LPG_LPG"))</f>
        <v>1.664634982728E-4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4.531329977432462E-2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1.5856645282374026E-2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3.6552886915360112E-3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2.2931079934926553E-2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5.7770779864026105E-6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1.3222777107305568E-3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4.9318550399999995E-5</v>
      </c>
      <c r="C8" s="449"/>
      <c r="D8" s="451">
        <f>vkm_2011_NGW_PW*SUMIFS(TableVerdeelsleutelVkm[CNG],TableVerdeelsleutelVkm[Voertuigtype],"Lichte voertuigen")*SUMIFS(TableECFTransport[EnergieConsumptieFactor (PJ per km)],TableECFTransport[Index],CONCATENATE($A8,"_CNG_CNG"))</f>
        <v>3.034914753024E-4</v>
      </c>
      <c r="E8" s="451">
        <f>vkm_2011_NGW_PW*SUMIFS(TableVerdeelsleutelVkm[LPG],TableVerdeelsleutelVkm[Voertuigtype],"Lichte voertuigen")*SUMIFS(TableECFTransport[EnergieConsumptieFactor (PJ per km)],TableECFTransport[Index],CONCATENATE($A8,"_LPG_LPG"))</f>
        <v>2.2166165716800001E-4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5.5992641910935885E-2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2.2192947991295692E-2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4.6877511404385067E-3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7.1300085703915432E-3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1.6948874521374176E-6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4.1113189980432905E-4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30.578925052777773</v>
      </c>
      <c r="C14" s="21"/>
      <c r="D14" s="21">
        <f t="shared" ref="D14:M14" si="0">((D5)*10^9/3600)+D12</f>
        <v>142.99548516227333</v>
      </c>
      <c r="E14" s="21">
        <f t="shared" si="0"/>
        <v>107.812543178</v>
      </c>
      <c r="F14" s="21"/>
      <c r="G14" s="21">
        <f t="shared" si="0"/>
        <v>36490.841719605167</v>
      </c>
      <c r="H14" s="21">
        <f t="shared" si="0"/>
        <v>10571.407010863406</v>
      </c>
      <c r="I14" s="21"/>
      <c r="J14" s="21"/>
      <c r="K14" s="21"/>
      <c r="L14" s="21"/>
      <c r="M14" s="21">
        <f t="shared" si="0"/>
        <v>2799.01373403039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0.16729277084001462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5.115633101388334</v>
      </c>
      <c r="C18" s="23"/>
      <c r="D18" s="23">
        <f t="shared" ref="D18:M18" si="1">D14*D16</f>
        <v>28.885088002779213</v>
      </c>
      <c r="E18" s="23">
        <f t="shared" si="1"/>
        <v>24.473447301406001</v>
      </c>
      <c r="F18" s="23"/>
      <c r="G18" s="23">
        <f t="shared" si="1"/>
        <v>9743.0547391345808</v>
      </c>
      <c r="H18" s="23">
        <f t="shared" si="1"/>
        <v>2632.2803457049881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3.7668483512569417E-3</v>
      </c>
      <c r="H50" s="321">
        <f t="shared" si="2"/>
        <v>0</v>
      </c>
      <c r="I50" s="321">
        <f t="shared" si="2"/>
        <v>0</v>
      </c>
      <c r="J50" s="321">
        <f t="shared" si="2"/>
        <v>0</v>
      </c>
      <c r="K50" s="321">
        <f t="shared" si="2"/>
        <v>0</v>
      </c>
      <c r="L50" s="321">
        <f t="shared" si="2"/>
        <v>0</v>
      </c>
      <c r="M50" s="321">
        <f t="shared" si="2"/>
        <v>2.0936184814173515E-4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3.7668483512569417E-3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2.0936184814173515E-4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1046.3467642380392</v>
      </c>
      <c r="H54" s="21">
        <f t="shared" si="3"/>
        <v>0</v>
      </c>
      <c r="I54" s="21">
        <f t="shared" si="3"/>
        <v>0</v>
      </c>
      <c r="J54" s="21">
        <f t="shared" si="3"/>
        <v>0</v>
      </c>
      <c r="K54" s="21">
        <f t="shared" si="3"/>
        <v>0</v>
      </c>
      <c r="L54" s="21">
        <f t="shared" si="3"/>
        <v>0</v>
      </c>
      <c r="M54" s="21">
        <f t="shared" si="3"/>
        <v>58.156068928259764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0.16729277084001462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279.37458605155649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19869.338332000003</v>
      </c>
      <c r="D10" s="712">
        <f ca="1">tertiair!C16</f>
        <v>0</v>
      </c>
      <c r="E10" s="712">
        <f ca="1">tertiair!D16</f>
        <v>20914.456499838005</v>
      </c>
      <c r="F10" s="712">
        <f>tertiair!E16</f>
        <v>372.31205843296465</v>
      </c>
      <c r="G10" s="712">
        <f ca="1">tertiair!F16</f>
        <v>2029.1217585897707</v>
      </c>
      <c r="H10" s="712">
        <f>tertiair!G16</f>
        <v>0</v>
      </c>
      <c r="I10" s="712">
        <f>tertiair!H16</f>
        <v>0</v>
      </c>
      <c r="J10" s="712">
        <f>tertiair!I16</f>
        <v>0</v>
      </c>
      <c r="K10" s="712">
        <f>tertiair!J16</f>
        <v>1.2156968319841196E-2</v>
      </c>
      <c r="L10" s="712">
        <f>tertiair!K16</f>
        <v>0</v>
      </c>
      <c r="M10" s="712">
        <f ca="1">tertiair!L16</f>
        <v>0</v>
      </c>
      <c r="N10" s="712">
        <f>tertiair!M16</f>
        <v>0</v>
      </c>
      <c r="O10" s="712">
        <f ca="1">tertiair!N16</f>
        <v>485.81531465755779</v>
      </c>
      <c r="P10" s="712">
        <f>tertiair!O16</f>
        <v>14.691782297523464</v>
      </c>
      <c r="Q10" s="713">
        <f>tertiair!P16</f>
        <v>0</v>
      </c>
      <c r="R10" s="715">
        <f ca="1">SUM(C10:Q10)</f>
        <v>43685.74790278414</v>
      </c>
      <c r="S10" s="67"/>
    </row>
    <row r="11" spans="1:19" s="474" customFormat="1">
      <c r="A11" s="834" t="s">
        <v>224</v>
      </c>
      <c r="B11" s="839"/>
      <c r="C11" s="712">
        <f>huishoudens!B8</f>
        <v>17930.4008237456</v>
      </c>
      <c r="D11" s="712">
        <f>huishoudens!C8</f>
        <v>0</v>
      </c>
      <c r="E11" s="712">
        <f>huishoudens!D8</f>
        <v>28268.874380999998</v>
      </c>
      <c r="F11" s="712">
        <f>huishoudens!E8</f>
        <v>1776.3539715967554</v>
      </c>
      <c r="G11" s="712">
        <f>huishoudens!F8</f>
        <v>27258.334653136313</v>
      </c>
      <c r="H11" s="712">
        <f>huishoudens!G8</f>
        <v>0</v>
      </c>
      <c r="I11" s="712">
        <f>huishoudens!H8</f>
        <v>0</v>
      </c>
      <c r="J11" s="712">
        <f>huishoudens!I8</f>
        <v>0</v>
      </c>
      <c r="K11" s="712">
        <f>huishoudens!J8</f>
        <v>0</v>
      </c>
      <c r="L11" s="712">
        <f>huishoudens!K8</f>
        <v>0</v>
      </c>
      <c r="M11" s="712">
        <f>huishoudens!L8</f>
        <v>0</v>
      </c>
      <c r="N11" s="712">
        <f>huishoudens!M8</f>
        <v>0</v>
      </c>
      <c r="O11" s="712">
        <f>huishoudens!N8</f>
        <v>11737.259007539047</v>
      </c>
      <c r="P11" s="712">
        <f>huishoudens!O8</f>
        <v>353.14456305089169</v>
      </c>
      <c r="Q11" s="713">
        <f>huishoudens!P8</f>
        <v>358.15461646129074</v>
      </c>
      <c r="R11" s="715">
        <f>SUM(C11:Q11)</f>
        <v>87682.522016529911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12551.3577</v>
      </c>
      <c r="D13" s="712">
        <f>industrie!C18</f>
        <v>0</v>
      </c>
      <c r="E13" s="712">
        <f>industrie!D18</f>
        <v>11690.042672000001</v>
      </c>
      <c r="F13" s="712">
        <f>industrie!E18</f>
        <v>1045.327963910795</v>
      </c>
      <c r="G13" s="712">
        <f>industrie!F18</f>
        <v>4862.6827866400608</v>
      </c>
      <c r="H13" s="712">
        <f>industrie!G18</f>
        <v>0</v>
      </c>
      <c r="I13" s="712">
        <f>industrie!H18</f>
        <v>0</v>
      </c>
      <c r="J13" s="712">
        <f>industrie!I18</f>
        <v>0</v>
      </c>
      <c r="K13" s="712">
        <f>industrie!J18</f>
        <v>61.035811942208504</v>
      </c>
      <c r="L13" s="712">
        <f>industrie!K18</f>
        <v>0</v>
      </c>
      <c r="M13" s="712">
        <f>industrie!L18</f>
        <v>0</v>
      </c>
      <c r="N13" s="712">
        <f>industrie!M18</f>
        <v>0</v>
      </c>
      <c r="O13" s="712">
        <f>industrie!N18</f>
        <v>1676.2705738859433</v>
      </c>
      <c r="P13" s="712">
        <f>industrie!O18</f>
        <v>0</v>
      </c>
      <c r="Q13" s="713">
        <f>industrie!P18</f>
        <v>0</v>
      </c>
      <c r="R13" s="715">
        <f>SUM(C13:Q13)</f>
        <v>31886.71750837901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50351.0968557456</v>
      </c>
      <c r="D16" s="748">
        <f t="shared" ref="D16:R16" ca="1" si="0">SUM(D9:D15)</f>
        <v>0</v>
      </c>
      <c r="E16" s="748">
        <f t="shared" ca="1" si="0"/>
        <v>60873.373552838006</v>
      </c>
      <c r="F16" s="748">
        <f t="shared" si="0"/>
        <v>3193.9939939405149</v>
      </c>
      <c r="G16" s="748">
        <f t="shared" ca="1" si="0"/>
        <v>34150.139198366145</v>
      </c>
      <c r="H16" s="748">
        <f t="shared" si="0"/>
        <v>0</v>
      </c>
      <c r="I16" s="748">
        <f t="shared" si="0"/>
        <v>0</v>
      </c>
      <c r="J16" s="748">
        <f t="shared" si="0"/>
        <v>0</v>
      </c>
      <c r="K16" s="748">
        <f t="shared" si="0"/>
        <v>61.047968910528347</v>
      </c>
      <c r="L16" s="748">
        <f t="shared" si="0"/>
        <v>0</v>
      </c>
      <c r="M16" s="748">
        <f t="shared" ca="1" si="0"/>
        <v>0</v>
      </c>
      <c r="N16" s="748">
        <f t="shared" si="0"/>
        <v>0</v>
      </c>
      <c r="O16" s="748">
        <f t="shared" ca="1" si="0"/>
        <v>13899.344896082548</v>
      </c>
      <c r="P16" s="748">
        <f t="shared" si="0"/>
        <v>367.83634534841514</v>
      </c>
      <c r="Q16" s="748">
        <f t="shared" si="0"/>
        <v>358.15461646129074</v>
      </c>
      <c r="R16" s="748">
        <f t="shared" ca="1" si="0"/>
        <v>163254.98742769306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1046.3467642380392</v>
      </c>
      <c r="I19" s="712">
        <f>transport!H54</f>
        <v>0</v>
      </c>
      <c r="J19" s="712">
        <f>transport!I54</f>
        <v>0</v>
      </c>
      <c r="K19" s="712">
        <f>transport!J54</f>
        <v>0</v>
      </c>
      <c r="L19" s="712">
        <f>transport!K54</f>
        <v>0</v>
      </c>
      <c r="M19" s="712">
        <f>transport!L54</f>
        <v>0</v>
      </c>
      <c r="N19" s="712">
        <f>transport!M54</f>
        <v>58.156068928259764</v>
      </c>
      <c r="O19" s="712">
        <f>transport!N54</f>
        <v>0</v>
      </c>
      <c r="P19" s="712">
        <f>transport!O54</f>
        <v>0</v>
      </c>
      <c r="Q19" s="713">
        <f>transport!P54</f>
        <v>0</v>
      </c>
      <c r="R19" s="715">
        <f>SUM(C19:Q19)</f>
        <v>1104.5028331662991</v>
      </c>
      <c r="S19" s="67"/>
    </row>
    <row r="20" spans="1:19" s="474" customFormat="1">
      <c r="A20" s="834" t="s">
        <v>306</v>
      </c>
      <c r="B20" s="839"/>
      <c r="C20" s="712">
        <f>transport!B14</f>
        <v>30.578925052777773</v>
      </c>
      <c r="D20" s="712">
        <f>transport!C14</f>
        <v>0</v>
      </c>
      <c r="E20" s="712">
        <f>transport!D14</f>
        <v>142.99548516227333</v>
      </c>
      <c r="F20" s="712">
        <f>transport!E14</f>
        <v>107.812543178</v>
      </c>
      <c r="G20" s="712">
        <f>transport!F14</f>
        <v>0</v>
      </c>
      <c r="H20" s="712">
        <f>transport!G14</f>
        <v>36490.841719605167</v>
      </c>
      <c r="I20" s="712">
        <f>transport!H14</f>
        <v>10571.407010863406</v>
      </c>
      <c r="J20" s="712">
        <f>transport!I14</f>
        <v>0</v>
      </c>
      <c r="K20" s="712">
        <f>transport!J14</f>
        <v>0</v>
      </c>
      <c r="L20" s="712">
        <f>transport!K14</f>
        <v>0</v>
      </c>
      <c r="M20" s="712">
        <f>transport!L14</f>
        <v>0</v>
      </c>
      <c r="N20" s="712">
        <f>transport!M14</f>
        <v>2799.01373403039</v>
      </c>
      <c r="O20" s="712">
        <f>transport!N14</f>
        <v>0</v>
      </c>
      <c r="P20" s="712">
        <f>transport!O14</f>
        <v>0</v>
      </c>
      <c r="Q20" s="713">
        <f>transport!P14</f>
        <v>0</v>
      </c>
      <c r="R20" s="715">
        <f>SUM(C20:Q20)</f>
        <v>50142.649417892011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30.578925052777773</v>
      </c>
      <c r="D22" s="837">
        <f t="shared" ref="D22:R22" si="1">SUM(D18:D21)</f>
        <v>0</v>
      </c>
      <c r="E22" s="837">
        <f t="shared" si="1"/>
        <v>142.99548516227333</v>
      </c>
      <c r="F22" s="837">
        <f t="shared" si="1"/>
        <v>107.812543178</v>
      </c>
      <c r="G22" s="837">
        <f t="shared" si="1"/>
        <v>0</v>
      </c>
      <c r="H22" s="837">
        <f t="shared" si="1"/>
        <v>37537.188483843209</v>
      </c>
      <c r="I22" s="837">
        <f t="shared" si="1"/>
        <v>10571.407010863406</v>
      </c>
      <c r="J22" s="837">
        <f t="shared" si="1"/>
        <v>0</v>
      </c>
      <c r="K22" s="837">
        <f t="shared" si="1"/>
        <v>0</v>
      </c>
      <c r="L22" s="837">
        <f t="shared" si="1"/>
        <v>0</v>
      </c>
      <c r="M22" s="837">
        <f t="shared" si="1"/>
        <v>0</v>
      </c>
      <c r="N22" s="837">
        <f t="shared" si="1"/>
        <v>2857.1698029586496</v>
      </c>
      <c r="O22" s="837">
        <f t="shared" si="1"/>
        <v>0</v>
      </c>
      <c r="P22" s="837">
        <f t="shared" si="1"/>
        <v>0</v>
      </c>
      <c r="Q22" s="837">
        <f t="shared" si="1"/>
        <v>0</v>
      </c>
      <c r="R22" s="837">
        <f t="shared" si="1"/>
        <v>51247.152251058309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338.398077</v>
      </c>
      <c r="D24" s="712">
        <f>+landbouw!C8</f>
        <v>0</v>
      </c>
      <c r="E24" s="712">
        <f>+landbouw!D8</f>
        <v>44.907874</v>
      </c>
      <c r="F24" s="712">
        <f>+landbouw!E8</f>
        <v>10.561292393250815</v>
      </c>
      <c r="G24" s="712">
        <f>+landbouw!F8</f>
        <v>1195.9362908457279</v>
      </c>
      <c r="H24" s="712">
        <f>+landbouw!G8</f>
        <v>0</v>
      </c>
      <c r="I24" s="712">
        <f>+landbouw!H8</f>
        <v>0</v>
      </c>
      <c r="J24" s="712">
        <f>+landbouw!I8</f>
        <v>0</v>
      </c>
      <c r="K24" s="712">
        <f>+landbouw!J8</f>
        <v>93.231016983597016</v>
      </c>
      <c r="L24" s="712">
        <f>+landbouw!K8</f>
        <v>0</v>
      </c>
      <c r="M24" s="712">
        <f>+landbouw!L8</f>
        <v>0</v>
      </c>
      <c r="N24" s="712">
        <f>+landbouw!M8</f>
        <v>0</v>
      </c>
      <c r="O24" s="712">
        <f>+landbouw!N8</f>
        <v>0</v>
      </c>
      <c r="P24" s="712">
        <f>+landbouw!O8</f>
        <v>0</v>
      </c>
      <c r="Q24" s="713">
        <f>+landbouw!P8</f>
        <v>0</v>
      </c>
      <c r="R24" s="715">
        <f>SUM(C24:Q24)</f>
        <v>1683.0345512225758</v>
      </c>
      <c r="S24" s="67"/>
    </row>
    <row r="25" spans="1:19" s="474" customFormat="1" ht="15" thickBot="1">
      <c r="A25" s="856" t="s">
        <v>734</v>
      </c>
      <c r="B25" s="982"/>
      <c r="C25" s="983">
        <f>IF(Onbekend_ele_kWh="---",0,Onbekend_ele_kWh)/1000+IF(REST_rest_ele_kWh="---",0,REST_rest_ele_kWh)/1000</f>
        <v>451.3578</v>
      </c>
      <c r="D25" s="983"/>
      <c r="E25" s="983">
        <f>IF(onbekend_gas_kWh="---",0,onbekend_gas_kWh)/1000+IF(REST_rest_gas_kWh="---",0,REST_rest_gas_kWh)/1000</f>
        <v>1015.1985999999999</v>
      </c>
      <c r="F25" s="983"/>
      <c r="G25" s="983"/>
      <c r="H25" s="983"/>
      <c r="I25" s="983"/>
      <c r="J25" s="983"/>
      <c r="K25" s="983"/>
      <c r="L25" s="983"/>
      <c r="M25" s="983"/>
      <c r="N25" s="983"/>
      <c r="O25" s="983"/>
      <c r="P25" s="983"/>
      <c r="Q25" s="984"/>
      <c r="R25" s="715">
        <f>SUM(C25:Q25)</f>
        <v>1466.5563999999999</v>
      </c>
      <c r="S25" s="67"/>
    </row>
    <row r="26" spans="1:19" s="474" customFormat="1" ht="15.75" thickBot="1">
      <c r="A26" s="720" t="s">
        <v>735</v>
      </c>
      <c r="B26" s="842"/>
      <c r="C26" s="837">
        <f>SUM(C24:C25)</f>
        <v>789.75587700000005</v>
      </c>
      <c r="D26" s="837">
        <f t="shared" ref="D26:R26" si="2">SUM(D24:D25)</f>
        <v>0</v>
      </c>
      <c r="E26" s="837">
        <f t="shared" si="2"/>
        <v>1060.1064739999999</v>
      </c>
      <c r="F26" s="837">
        <f t="shared" si="2"/>
        <v>10.561292393250815</v>
      </c>
      <c r="G26" s="837">
        <f t="shared" si="2"/>
        <v>1195.9362908457279</v>
      </c>
      <c r="H26" s="837">
        <f t="shared" si="2"/>
        <v>0</v>
      </c>
      <c r="I26" s="837">
        <f t="shared" si="2"/>
        <v>0</v>
      </c>
      <c r="J26" s="837">
        <f t="shared" si="2"/>
        <v>0</v>
      </c>
      <c r="K26" s="837">
        <f t="shared" si="2"/>
        <v>93.231016983597016</v>
      </c>
      <c r="L26" s="837">
        <f t="shared" si="2"/>
        <v>0</v>
      </c>
      <c r="M26" s="837">
        <f t="shared" si="2"/>
        <v>0</v>
      </c>
      <c r="N26" s="837">
        <f t="shared" si="2"/>
        <v>0</v>
      </c>
      <c r="O26" s="837">
        <f t="shared" si="2"/>
        <v>0</v>
      </c>
      <c r="P26" s="837">
        <f t="shared" si="2"/>
        <v>0</v>
      </c>
      <c r="Q26" s="837">
        <f t="shared" si="2"/>
        <v>0</v>
      </c>
      <c r="R26" s="837">
        <f t="shared" si="2"/>
        <v>3149.5909512225758</v>
      </c>
      <c r="S26" s="67"/>
    </row>
    <row r="27" spans="1:19" s="474" customFormat="1" ht="17.25" thickTop="1" thickBot="1">
      <c r="A27" s="721" t="s">
        <v>115</v>
      </c>
      <c r="B27" s="829"/>
      <c r="C27" s="722">
        <f ca="1">C22+C16+C26</f>
        <v>51171.431657798377</v>
      </c>
      <c r="D27" s="722">
        <f t="shared" ref="D27:R27" ca="1" si="3">D22+D16+D26</f>
        <v>0</v>
      </c>
      <c r="E27" s="722">
        <f t="shared" ca="1" si="3"/>
        <v>62076.475512000281</v>
      </c>
      <c r="F27" s="722">
        <f t="shared" si="3"/>
        <v>3312.3678295117656</v>
      </c>
      <c r="G27" s="722">
        <f t="shared" ca="1" si="3"/>
        <v>35346.075489211871</v>
      </c>
      <c r="H27" s="722">
        <f t="shared" si="3"/>
        <v>37537.188483843209</v>
      </c>
      <c r="I27" s="722">
        <f t="shared" si="3"/>
        <v>10571.407010863406</v>
      </c>
      <c r="J27" s="722">
        <f t="shared" si="3"/>
        <v>0</v>
      </c>
      <c r="K27" s="722">
        <f t="shared" si="3"/>
        <v>154.27898589412536</v>
      </c>
      <c r="L27" s="722">
        <f t="shared" si="3"/>
        <v>0</v>
      </c>
      <c r="M27" s="722">
        <f t="shared" ca="1" si="3"/>
        <v>0</v>
      </c>
      <c r="N27" s="722">
        <f t="shared" si="3"/>
        <v>2857.1698029586496</v>
      </c>
      <c r="O27" s="722">
        <f t="shared" ca="1" si="3"/>
        <v>13899.344896082548</v>
      </c>
      <c r="P27" s="722">
        <f t="shared" si="3"/>
        <v>367.83634534841514</v>
      </c>
      <c r="Q27" s="722">
        <f t="shared" si="3"/>
        <v>358.15461646129074</v>
      </c>
      <c r="R27" s="722">
        <f t="shared" ca="1" si="3"/>
        <v>217651.73062997396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3323.9966643179946</v>
      </c>
      <c r="D40" s="712">
        <f ca="1">tertiair!C20</f>
        <v>0</v>
      </c>
      <c r="E40" s="712">
        <f ca="1">tertiair!D20</f>
        <v>4224.7202129672769</v>
      </c>
      <c r="F40" s="712">
        <f>tertiair!E20</f>
        <v>84.514837264282974</v>
      </c>
      <c r="G40" s="712">
        <f ca="1">tertiair!F20</f>
        <v>541.77550954346884</v>
      </c>
      <c r="H40" s="712">
        <f>tertiair!G20</f>
        <v>0</v>
      </c>
      <c r="I40" s="712">
        <f>tertiair!H20</f>
        <v>0</v>
      </c>
      <c r="J40" s="712">
        <f>tertiair!I20</f>
        <v>0</v>
      </c>
      <c r="K40" s="712">
        <f>tertiair!J20</f>
        <v>4.3035667852237827E-3</v>
      </c>
      <c r="L40" s="712">
        <f>tertiair!K20</f>
        <v>0</v>
      </c>
      <c r="M40" s="712">
        <f ca="1">tertiair!L20</f>
        <v>0</v>
      </c>
      <c r="N40" s="712">
        <f>tertiair!M20</f>
        <v>0</v>
      </c>
      <c r="O40" s="712">
        <f ca="1">tertiair!N20</f>
        <v>0</v>
      </c>
      <c r="P40" s="712">
        <f>tertiair!O20</f>
        <v>0</v>
      </c>
      <c r="Q40" s="795">
        <f>tertiair!P20</f>
        <v>0</v>
      </c>
      <c r="R40" s="875">
        <f t="shared" ca="1" si="4"/>
        <v>8175.0115276598081</v>
      </c>
    </row>
    <row r="41" spans="1:18">
      <c r="A41" s="847" t="s">
        <v>224</v>
      </c>
      <c r="B41" s="854"/>
      <c r="C41" s="712">
        <f ca="1">huishoudens!B12</f>
        <v>2999.6264360764822</v>
      </c>
      <c r="D41" s="712">
        <f ca="1">huishoudens!C12</f>
        <v>0</v>
      </c>
      <c r="E41" s="712">
        <f>huishoudens!D12</f>
        <v>5710.312624962</v>
      </c>
      <c r="F41" s="712">
        <f>huishoudens!E12</f>
        <v>403.23235155246351</v>
      </c>
      <c r="G41" s="712">
        <f>huishoudens!F12</f>
        <v>7277.975352387396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16391.146764978341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2099.7514074371529</v>
      </c>
      <c r="D43" s="712">
        <f ca="1">industrie!C22</f>
        <v>0</v>
      </c>
      <c r="E43" s="712">
        <f>industrie!D22</f>
        <v>2361.3886197440006</v>
      </c>
      <c r="F43" s="712">
        <f>industrie!E22</f>
        <v>237.28944780775046</v>
      </c>
      <c r="G43" s="712">
        <f>industrie!F22</f>
        <v>1298.3363040328964</v>
      </c>
      <c r="H43" s="712">
        <f>industrie!G22</f>
        <v>0</v>
      </c>
      <c r="I43" s="712">
        <f>industrie!H22</f>
        <v>0</v>
      </c>
      <c r="J43" s="712">
        <f>industrie!I22</f>
        <v>0</v>
      </c>
      <c r="K43" s="712">
        <f>industrie!J22</f>
        <v>21.606677427541808</v>
      </c>
      <c r="L43" s="712">
        <f>industrie!K22</f>
        <v>0</v>
      </c>
      <c r="M43" s="712">
        <f>industrie!L22</f>
        <v>0</v>
      </c>
      <c r="N43" s="712">
        <f>industrie!M22</f>
        <v>0</v>
      </c>
      <c r="O43" s="712">
        <f>industrie!N22</f>
        <v>0</v>
      </c>
      <c r="P43" s="712">
        <f>industrie!O22</f>
        <v>0</v>
      </c>
      <c r="Q43" s="795">
        <f>industrie!P22</f>
        <v>0</v>
      </c>
      <c r="R43" s="874">
        <f t="shared" ca="1" si="4"/>
        <v>6018.3724564493414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8423.3745078316297</v>
      </c>
      <c r="D46" s="748">
        <f t="shared" ref="D46:Q46" ca="1" si="5">SUM(D39:D45)</f>
        <v>0</v>
      </c>
      <c r="E46" s="748">
        <f t="shared" ca="1" si="5"/>
        <v>12296.421457673277</v>
      </c>
      <c r="F46" s="748">
        <f t="shared" si="5"/>
        <v>725.03663662449696</v>
      </c>
      <c r="G46" s="748">
        <f t="shared" ca="1" si="5"/>
        <v>9118.0871659637614</v>
      </c>
      <c r="H46" s="748">
        <f t="shared" si="5"/>
        <v>0</v>
      </c>
      <c r="I46" s="748">
        <f t="shared" si="5"/>
        <v>0</v>
      </c>
      <c r="J46" s="748">
        <f t="shared" si="5"/>
        <v>0</v>
      </c>
      <c r="K46" s="748">
        <f t="shared" si="5"/>
        <v>21.610980994327033</v>
      </c>
      <c r="L46" s="748">
        <f t="shared" si="5"/>
        <v>0</v>
      </c>
      <c r="M46" s="748">
        <f t="shared" ca="1" si="5"/>
        <v>0</v>
      </c>
      <c r="N46" s="748">
        <f t="shared" si="5"/>
        <v>0</v>
      </c>
      <c r="O46" s="748">
        <f t="shared" ca="1" si="5"/>
        <v>0</v>
      </c>
      <c r="P46" s="748">
        <f t="shared" si="5"/>
        <v>0</v>
      </c>
      <c r="Q46" s="748">
        <f t="shared" si="5"/>
        <v>0</v>
      </c>
      <c r="R46" s="748">
        <f ca="1">SUM(R39:R45)</f>
        <v>30584.530749087491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279.37458605155649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279.37458605155649</v>
      </c>
    </row>
    <row r="50" spans="1:18">
      <c r="A50" s="850" t="s">
        <v>306</v>
      </c>
      <c r="B50" s="860"/>
      <c r="C50" s="718">
        <f ca="1">transport!B18</f>
        <v>5.115633101388334</v>
      </c>
      <c r="D50" s="718">
        <f>transport!C18</f>
        <v>0</v>
      </c>
      <c r="E50" s="718">
        <f>transport!D18</f>
        <v>28.885088002779213</v>
      </c>
      <c r="F50" s="718">
        <f>transport!E18</f>
        <v>24.473447301406001</v>
      </c>
      <c r="G50" s="718">
        <f>transport!F18</f>
        <v>0</v>
      </c>
      <c r="H50" s="718">
        <f>transport!G18</f>
        <v>9743.0547391345808</v>
      </c>
      <c r="I50" s="718">
        <f>transport!H18</f>
        <v>2632.2803457049881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12433.809253245143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5.115633101388334</v>
      </c>
      <c r="D52" s="748">
        <f t="shared" ref="D52:Q52" ca="1" si="6">SUM(D48:D51)</f>
        <v>0</v>
      </c>
      <c r="E52" s="748">
        <f t="shared" si="6"/>
        <v>28.885088002779213</v>
      </c>
      <c r="F52" s="748">
        <f t="shared" si="6"/>
        <v>24.473447301406001</v>
      </c>
      <c r="G52" s="748">
        <f t="shared" si="6"/>
        <v>0</v>
      </c>
      <c r="H52" s="748">
        <f t="shared" si="6"/>
        <v>10022.429325186138</v>
      </c>
      <c r="I52" s="748">
        <f t="shared" si="6"/>
        <v>2632.2803457049881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12713.1838392967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56.611551948262623</v>
      </c>
      <c r="D54" s="718">
        <f ca="1">+landbouw!C12</f>
        <v>0</v>
      </c>
      <c r="E54" s="718">
        <f>+landbouw!D12</f>
        <v>9.0713905480000001</v>
      </c>
      <c r="F54" s="718">
        <f>+landbouw!E12</f>
        <v>2.397413373267935</v>
      </c>
      <c r="G54" s="718">
        <f>+landbouw!F12</f>
        <v>319.31498965580937</v>
      </c>
      <c r="H54" s="718">
        <f>+landbouw!G12</f>
        <v>0</v>
      </c>
      <c r="I54" s="718">
        <f>+landbouw!H12</f>
        <v>0</v>
      </c>
      <c r="J54" s="718">
        <f>+landbouw!I12</f>
        <v>0</v>
      </c>
      <c r="K54" s="718">
        <f>+landbouw!J12</f>
        <v>33.003780012193339</v>
      </c>
      <c r="L54" s="718">
        <f>+landbouw!K12</f>
        <v>0</v>
      </c>
      <c r="M54" s="718">
        <f>+landbouw!L12</f>
        <v>0</v>
      </c>
      <c r="N54" s="718">
        <f>+landbouw!M12</f>
        <v>0</v>
      </c>
      <c r="O54" s="718">
        <f>+landbouw!N12</f>
        <v>0</v>
      </c>
      <c r="P54" s="718">
        <f>+landbouw!O12</f>
        <v>0</v>
      </c>
      <c r="Q54" s="719">
        <f>+landbouw!P12</f>
        <v>0</v>
      </c>
      <c r="R54" s="747">
        <f ca="1">SUM(C54:Q54)</f>
        <v>420.39912553753328</v>
      </c>
    </row>
    <row r="55" spans="1:18" ht="15" thickBot="1">
      <c r="A55" s="850" t="s">
        <v>734</v>
      </c>
      <c r="B55" s="860"/>
      <c r="C55" s="718">
        <f ca="1">C25*'EF ele_warmte'!B12</f>
        <v>75.50889700225315</v>
      </c>
      <c r="D55" s="718"/>
      <c r="E55" s="718">
        <f>E25*EF_CO2_aardgas</f>
        <v>205.0701172</v>
      </c>
      <c r="F55" s="718"/>
      <c r="G55" s="718"/>
      <c r="H55" s="718"/>
      <c r="I55" s="718"/>
      <c r="J55" s="718"/>
      <c r="K55" s="718"/>
      <c r="L55" s="718"/>
      <c r="M55" s="718"/>
      <c r="N55" s="718"/>
      <c r="O55" s="718"/>
      <c r="P55" s="718"/>
      <c r="Q55" s="719"/>
      <c r="R55" s="747">
        <f ca="1">SUM(C55:Q55)</f>
        <v>280.57901420225312</v>
      </c>
    </row>
    <row r="56" spans="1:18" ht="15.75" thickBot="1">
      <c r="A56" s="848" t="s">
        <v>735</v>
      </c>
      <c r="B56" s="861"/>
      <c r="C56" s="748">
        <f ca="1">SUM(C54:C55)</f>
        <v>132.12044895051577</v>
      </c>
      <c r="D56" s="748">
        <f t="shared" ref="D56:Q56" ca="1" si="7">SUM(D54:D55)</f>
        <v>0</v>
      </c>
      <c r="E56" s="748">
        <f t="shared" si="7"/>
        <v>214.14150774800001</v>
      </c>
      <c r="F56" s="748">
        <f t="shared" si="7"/>
        <v>2.397413373267935</v>
      </c>
      <c r="G56" s="748">
        <f t="shared" si="7"/>
        <v>319.31498965580937</v>
      </c>
      <c r="H56" s="748">
        <f t="shared" si="7"/>
        <v>0</v>
      </c>
      <c r="I56" s="748">
        <f t="shared" si="7"/>
        <v>0</v>
      </c>
      <c r="J56" s="748">
        <f t="shared" si="7"/>
        <v>0</v>
      </c>
      <c r="K56" s="748">
        <f t="shared" si="7"/>
        <v>33.003780012193339</v>
      </c>
      <c r="L56" s="748">
        <f t="shared" si="7"/>
        <v>0</v>
      </c>
      <c r="M56" s="748">
        <f t="shared" si="7"/>
        <v>0</v>
      </c>
      <c r="N56" s="748">
        <f t="shared" si="7"/>
        <v>0</v>
      </c>
      <c r="O56" s="748">
        <f t="shared" si="7"/>
        <v>0</v>
      </c>
      <c r="P56" s="748">
        <f t="shared" si="7"/>
        <v>0</v>
      </c>
      <c r="Q56" s="749">
        <f t="shared" si="7"/>
        <v>0</v>
      </c>
      <c r="R56" s="750">
        <f ca="1">SUM(R54:R55)</f>
        <v>700.97813973978646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8560.610589883534</v>
      </c>
      <c r="D61" s="756">
        <f t="shared" ref="D61:Q61" ca="1" si="8">D46+D52+D56</f>
        <v>0</v>
      </c>
      <c r="E61" s="756">
        <f t="shared" ca="1" si="8"/>
        <v>12539.448053424056</v>
      </c>
      <c r="F61" s="756">
        <f t="shared" si="8"/>
        <v>751.90749729917093</v>
      </c>
      <c r="G61" s="756">
        <f t="shared" ca="1" si="8"/>
        <v>9437.4021556195712</v>
      </c>
      <c r="H61" s="756">
        <f t="shared" si="8"/>
        <v>10022.429325186138</v>
      </c>
      <c r="I61" s="756">
        <f t="shared" si="8"/>
        <v>2632.2803457049881</v>
      </c>
      <c r="J61" s="756">
        <f t="shared" si="8"/>
        <v>0</v>
      </c>
      <c r="K61" s="756">
        <f t="shared" si="8"/>
        <v>54.614761006520368</v>
      </c>
      <c r="L61" s="756">
        <f t="shared" si="8"/>
        <v>0</v>
      </c>
      <c r="M61" s="756">
        <f t="shared" ca="1" si="8"/>
        <v>0</v>
      </c>
      <c r="N61" s="756">
        <f t="shared" si="8"/>
        <v>0</v>
      </c>
      <c r="O61" s="756">
        <f t="shared" ca="1" si="8"/>
        <v>0</v>
      </c>
      <c r="P61" s="756">
        <f t="shared" si="8"/>
        <v>0</v>
      </c>
      <c r="Q61" s="756">
        <f t="shared" si="8"/>
        <v>0</v>
      </c>
      <c r="R61" s="756">
        <f ca="1">R46+R52+R56</f>
        <v>43998.692728123977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0.16729277084001462</v>
      </c>
      <c r="D63" s="802">
        <f t="shared" ca="1" si="9"/>
        <v>0</v>
      </c>
      <c r="E63" s="1008">
        <f t="shared" ca="1" si="9"/>
        <v>0.20199999999999999</v>
      </c>
      <c r="F63" s="802">
        <f t="shared" si="9"/>
        <v>0.22700000000000004</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12435.6371334385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12435.6371334385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12435.6371334385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12435.6371334385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17930.4008237456</v>
      </c>
      <c r="C4" s="478">
        <f>huishoudens!C8</f>
        <v>0</v>
      </c>
      <c r="D4" s="478">
        <f>huishoudens!D8</f>
        <v>28268.874380999998</v>
      </c>
      <c r="E4" s="478">
        <f>huishoudens!E8</f>
        <v>1776.3539715967554</v>
      </c>
      <c r="F4" s="478">
        <f>huishoudens!F8</f>
        <v>27258.334653136313</v>
      </c>
      <c r="G4" s="478">
        <f>huishoudens!G8</f>
        <v>0</v>
      </c>
      <c r="H4" s="478">
        <f>huishoudens!H8</f>
        <v>0</v>
      </c>
      <c r="I4" s="478">
        <f>huishoudens!I8</f>
        <v>0</v>
      </c>
      <c r="J4" s="478">
        <f>huishoudens!J8</f>
        <v>0</v>
      </c>
      <c r="K4" s="478">
        <f>huishoudens!K8</f>
        <v>0</v>
      </c>
      <c r="L4" s="478">
        <f>huishoudens!L8</f>
        <v>0</v>
      </c>
      <c r="M4" s="478">
        <f>huishoudens!M8</f>
        <v>0</v>
      </c>
      <c r="N4" s="478">
        <f>huishoudens!N8</f>
        <v>11737.259007539047</v>
      </c>
      <c r="O4" s="478">
        <f>huishoudens!O8</f>
        <v>353.14456305089169</v>
      </c>
      <c r="P4" s="479">
        <f>huishoudens!P8</f>
        <v>358.15461646129074</v>
      </c>
      <c r="Q4" s="480">
        <f>SUM(B4:P4)</f>
        <v>87682.522016529911</v>
      </c>
    </row>
    <row r="5" spans="1:17">
      <c r="A5" s="477" t="s">
        <v>155</v>
      </c>
      <c r="B5" s="478">
        <f ca="1">tertiair!B16</f>
        <v>19215.924332000002</v>
      </c>
      <c r="C5" s="478">
        <f ca="1">tertiair!C16</f>
        <v>0</v>
      </c>
      <c r="D5" s="478">
        <f ca="1">tertiair!D16</f>
        <v>20914.456499838005</v>
      </c>
      <c r="E5" s="478">
        <f>tertiair!E16</f>
        <v>372.31205843296465</v>
      </c>
      <c r="F5" s="478">
        <f ca="1">tertiair!F16</f>
        <v>2029.1217585897707</v>
      </c>
      <c r="G5" s="478">
        <f>tertiair!G16</f>
        <v>0</v>
      </c>
      <c r="H5" s="478">
        <f>tertiair!H16</f>
        <v>0</v>
      </c>
      <c r="I5" s="478">
        <f>tertiair!I16</f>
        <v>0</v>
      </c>
      <c r="J5" s="478">
        <f>tertiair!J16</f>
        <v>1.2156968319841196E-2</v>
      </c>
      <c r="K5" s="478">
        <f>tertiair!K16</f>
        <v>0</v>
      </c>
      <c r="L5" s="478">
        <f ca="1">tertiair!L16</f>
        <v>0</v>
      </c>
      <c r="M5" s="478">
        <f>tertiair!M16</f>
        <v>0</v>
      </c>
      <c r="N5" s="478">
        <f ca="1">tertiair!N16</f>
        <v>485.81531465755779</v>
      </c>
      <c r="O5" s="478">
        <f>tertiair!O16</f>
        <v>14.691782297523464</v>
      </c>
      <c r="P5" s="479">
        <f>tertiair!P16</f>
        <v>0</v>
      </c>
      <c r="Q5" s="477">
        <f t="shared" ref="Q5:Q14" ca="1" si="0">SUM(B5:P5)</f>
        <v>43032.333902784136</v>
      </c>
    </row>
    <row r="6" spans="1:17">
      <c r="A6" s="477" t="s">
        <v>193</v>
      </c>
      <c r="B6" s="478">
        <f>'openbare verlichting'!B8</f>
        <v>653.41399999999999</v>
      </c>
      <c r="C6" s="478"/>
      <c r="D6" s="478"/>
      <c r="E6" s="478"/>
      <c r="F6" s="478"/>
      <c r="G6" s="478"/>
      <c r="H6" s="478"/>
      <c r="I6" s="478"/>
      <c r="J6" s="478"/>
      <c r="K6" s="478"/>
      <c r="L6" s="478"/>
      <c r="M6" s="478"/>
      <c r="N6" s="478"/>
      <c r="O6" s="478"/>
      <c r="P6" s="479"/>
      <c r="Q6" s="477">
        <f t="shared" si="0"/>
        <v>653.41399999999999</v>
      </c>
    </row>
    <row r="7" spans="1:17">
      <c r="A7" s="477" t="s">
        <v>111</v>
      </c>
      <c r="B7" s="478">
        <f>landbouw!B8</f>
        <v>338.398077</v>
      </c>
      <c r="C7" s="478">
        <f>landbouw!C8</f>
        <v>0</v>
      </c>
      <c r="D7" s="478">
        <f>landbouw!D8</f>
        <v>44.907874</v>
      </c>
      <c r="E7" s="478">
        <f>landbouw!E8</f>
        <v>10.561292393250815</v>
      </c>
      <c r="F7" s="478">
        <f>landbouw!F8</f>
        <v>1195.9362908457279</v>
      </c>
      <c r="G7" s="478">
        <f>landbouw!G8</f>
        <v>0</v>
      </c>
      <c r="H7" s="478">
        <f>landbouw!H8</f>
        <v>0</v>
      </c>
      <c r="I7" s="478">
        <f>landbouw!I8</f>
        <v>0</v>
      </c>
      <c r="J7" s="478">
        <f>landbouw!J8</f>
        <v>93.231016983597016</v>
      </c>
      <c r="K7" s="478">
        <f>landbouw!K8</f>
        <v>0</v>
      </c>
      <c r="L7" s="478">
        <f>landbouw!L8</f>
        <v>0</v>
      </c>
      <c r="M7" s="478">
        <f>landbouw!M8</f>
        <v>0</v>
      </c>
      <c r="N7" s="478">
        <f>landbouw!N8</f>
        <v>0</v>
      </c>
      <c r="O7" s="478">
        <f>landbouw!O8</f>
        <v>0</v>
      </c>
      <c r="P7" s="479">
        <f>landbouw!P8</f>
        <v>0</v>
      </c>
      <c r="Q7" s="477">
        <f t="shared" si="0"/>
        <v>1683.0345512225758</v>
      </c>
    </row>
    <row r="8" spans="1:17">
      <c r="A8" s="477" t="s">
        <v>629</v>
      </c>
      <c r="B8" s="478">
        <f>industrie!B18</f>
        <v>12551.3577</v>
      </c>
      <c r="C8" s="478">
        <f>industrie!C18</f>
        <v>0</v>
      </c>
      <c r="D8" s="478">
        <f>industrie!D18</f>
        <v>11690.042672000001</v>
      </c>
      <c r="E8" s="478">
        <f>industrie!E18</f>
        <v>1045.327963910795</v>
      </c>
      <c r="F8" s="478">
        <f>industrie!F18</f>
        <v>4862.6827866400608</v>
      </c>
      <c r="G8" s="478">
        <f>industrie!G18</f>
        <v>0</v>
      </c>
      <c r="H8" s="478">
        <f>industrie!H18</f>
        <v>0</v>
      </c>
      <c r="I8" s="478">
        <f>industrie!I18</f>
        <v>0</v>
      </c>
      <c r="J8" s="478">
        <f>industrie!J18</f>
        <v>61.035811942208504</v>
      </c>
      <c r="K8" s="478">
        <f>industrie!K18</f>
        <v>0</v>
      </c>
      <c r="L8" s="478">
        <f>industrie!L18</f>
        <v>0</v>
      </c>
      <c r="M8" s="478">
        <f>industrie!M18</f>
        <v>0</v>
      </c>
      <c r="N8" s="478">
        <f>industrie!N18</f>
        <v>1676.2705738859433</v>
      </c>
      <c r="O8" s="478">
        <f>industrie!O18</f>
        <v>0</v>
      </c>
      <c r="P8" s="479">
        <f>industrie!P18</f>
        <v>0</v>
      </c>
      <c r="Q8" s="477">
        <f t="shared" si="0"/>
        <v>31886.71750837901</v>
      </c>
    </row>
    <row r="9" spans="1:17" s="483" customFormat="1">
      <c r="A9" s="481" t="s">
        <v>555</v>
      </c>
      <c r="B9" s="482">
        <f>transport!B14</f>
        <v>30.578925052777773</v>
      </c>
      <c r="C9" s="482">
        <f>transport!C14</f>
        <v>0</v>
      </c>
      <c r="D9" s="482">
        <f>transport!D14</f>
        <v>142.99548516227333</v>
      </c>
      <c r="E9" s="482">
        <f>transport!E14</f>
        <v>107.812543178</v>
      </c>
      <c r="F9" s="482">
        <f>transport!F14</f>
        <v>0</v>
      </c>
      <c r="G9" s="482">
        <f>transport!G14</f>
        <v>36490.841719605167</v>
      </c>
      <c r="H9" s="482">
        <f>transport!H14</f>
        <v>10571.407010863406</v>
      </c>
      <c r="I9" s="482">
        <f>transport!I14</f>
        <v>0</v>
      </c>
      <c r="J9" s="482">
        <f>transport!J14</f>
        <v>0</v>
      </c>
      <c r="K9" s="482">
        <f>transport!K14</f>
        <v>0</v>
      </c>
      <c r="L9" s="482">
        <f>transport!L14</f>
        <v>0</v>
      </c>
      <c r="M9" s="482">
        <f>transport!M14</f>
        <v>2799.01373403039</v>
      </c>
      <c r="N9" s="482">
        <f>transport!N14</f>
        <v>0</v>
      </c>
      <c r="O9" s="482">
        <f>transport!O14</f>
        <v>0</v>
      </c>
      <c r="P9" s="482">
        <f>transport!P14</f>
        <v>0</v>
      </c>
      <c r="Q9" s="481">
        <f>SUM(B9:P9)</f>
        <v>50142.649417892011</v>
      </c>
    </row>
    <row r="10" spans="1:17">
      <c r="A10" s="477" t="s">
        <v>545</v>
      </c>
      <c r="B10" s="478">
        <f>transport!B54</f>
        <v>0</v>
      </c>
      <c r="C10" s="478">
        <f>transport!C54</f>
        <v>0</v>
      </c>
      <c r="D10" s="478">
        <f>transport!D54</f>
        <v>0</v>
      </c>
      <c r="E10" s="478">
        <f>transport!E54</f>
        <v>0</v>
      </c>
      <c r="F10" s="478">
        <f>transport!F54</f>
        <v>0</v>
      </c>
      <c r="G10" s="478">
        <f>transport!G54</f>
        <v>1046.3467642380392</v>
      </c>
      <c r="H10" s="478">
        <f>transport!H54</f>
        <v>0</v>
      </c>
      <c r="I10" s="478">
        <f>transport!I54</f>
        <v>0</v>
      </c>
      <c r="J10" s="478">
        <f>transport!J54</f>
        <v>0</v>
      </c>
      <c r="K10" s="478">
        <f>transport!K54</f>
        <v>0</v>
      </c>
      <c r="L10" s="478">
        <f>transport!L54</f>
        <v>0</v>
      </c>
      <c r="M10" s="478">
        <f>transport!M54</f>
        <v>58.156068928259764</v>
      </c>
      <c r="N10" s="478">
        <f>transport!N54</f>
        <v>0</v>
      </c>
      <c r="O10" s="478">
        <f>transport!O54</f>
        <v>0</v>
      </c>
      <c r="P10" s="479">
        <f>transport!P54</f>
        <v>0</v>
      </c>
      <c r="Q10" s="477">
        <f t="shared" si="0"/>
        <v>1104.5028331662991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451.3578</v>
      </c>
      <c r="C14" s="485"/>
      <c r="D14" s="485">
        <f>'SEAP template'!E25</f>
        <v>1015.1985999999999</v>
      </c>
      <c r="E14" s="485"/>
      <c r="F14" s="485"/>
      <c r="G14" s="485"/>
      <c r="H14" s="485"/>
      <c r="I14" s="485"/>
      <c r="J14" s="485"/>
      <c r="K14" s="485"/>
      <c r="L14" s="485"/>
      <c r="M14" s="485"/>
      <c r="N14" s="485"/>
      <c r="O14" s="485"/>
      <c r="P14" s="486"/>
      <c r="Q14" s="477">
        <f t="shared" si="0"/>
        <v>1466.5563999999999</v>
      </c>
    </row>
    <row r="15" spans="1:17" s="489" customFormat="1">
      <c r="A15" s="487" t="s">
        <v>549</v>
      </c>
      <c r="B15" s="488">
        <f ca="1">SUM(B4:B14)</f>
        <v>51171.43165779837</v>
      </c>
      <c r="C15" s="488">
        <f t="shared" ref="C15:Q15" ca="1" si="1">SUM(C4:C14)</f>
        <v>0</v>
      </c>
      <c r="D15" s="488">
        <f t="shared" ca="1" si="1"/>
        <v>62076.475512000281</v>
      </c>
      <c r="E15" s="488">
        <f t="shared" si="1"/>
        <v>3312.3678295117656</v>
      </c>
      <c r="F15" s="488">
        <f t="shared" ca="1" si="1"/>
        <v>35346.075489211878</v>
      </c>
      <c r="G15" s="488">
        <f t="shared" si="1"/>
        <v>37537.188483843209</v>
      </c>
      <c r="H15" s="488">
        <f t="shared" si="1"/>
        <v>10571.407010863406</v>
      </c>
      <c r="I15" s="488">
        <f t="shared" si="1"/>
        <v>0</v>
      </c>
      <c r="J15" s="488">
        <f t="shared" si="1"/>
        <v>154.27898589412536</v>
      </c>
      <c r="K15" s="488">
        <f t="shared" si="1"/>
        <v>0</v>
      </c>
      <c r="L15" s="488">
        <f t="shared" ca="1" si="1"/>
        <v>0</v>
      </c>
      <c r="M15" s="488">
        <f t="shared" si="1"/>
        <v>2857.1698029586496</v>
      </c>
      <c r="N15" s="488">
        <f t="shared" ca="1" si="1"/>
        <v>13899.344896082548</v>
      </c>
      <c r="O15" s="488">
        <f t="shared" si="1"/>
        <v>367.83634534841514</v>
      </c>
      <c r="P15" s="488">
        <f t="shared" si="1"/>
        <v>358.15461646129074</v>
      </c>
      <c r="Q15" s="488">
        <f t="shared" ca="1" si="1"/>
        <v>217651.73062997396</v>
      </c>
    </row>
    <row r="17" spans="1:17">
      <c r="A17" s="490" t="s">
        <v>550</v>
      </c>
      <c r="B17" s="807">
        <f ca="1">huishoudens!B10</f>
        <v>0.16729277084001462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2999.6264360764822</v>
      </c>
      <c r="C22" s="478">
        <f t="shared" ref="C22:C32" ca="1" si="3">C4*$C$17</f>
        <v>0</v>
      </c>
      <c r="D22" s="478">
        <f t="shared" ref="D22:D32" si="4">D4*$D$17</f>
        <v>5710.312624962</v>
      </c>
      <c r="E22" s="478">
        <f t="shared" ref="E22:E32" si="5">E4*$E$17</f>
        <v>403.23235155246351</v>
      </c>
      <c r="F22" s="478">
        <f t="shared" ref="F22:F32" si="6">F4*$F$17</f>
        <v>7277.975352387396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16391.146764978341</v>
      </c>
    </row>
    <row r="23" spans="1:17">
      <c r="A23" s="477" t="s">
        <v>155</v>
      </c>
      <c r="B23" s="478">
        <f t="shared" ca="1" si="2"/>
        <v>3214.6852257523374</v>
      </c>
      <c r="C23" s="478">
        <f t="shared" ca="1" si="3"/>
        <v>0</v>
      </c>
      <c r="D23" s="478">
        <f t="shared" ca="1" si="4"/>
        <v>4224.7202129672769</v>
      </c>
      <c r="E23" s="478">
        <f t="shared" si="5"/>
        <v>84.514837264282974</v>
      </c>
      <c r="F23" s="478">
        <f t="shared" ca="1" si="6"/>
        <v>541.77550954346884</v>
      </c>
      <c r="G23" s="478">
        <f t="shared" si="7"/>
        <v>0</v>
      </c>
      <c r="H23" s="478">
        <f t="shared" si="8"/>
        <v>0</v>
      </c>
      <c r="I23" s="478">
        <f t="shared" si="9"/>
        <v>0</v>
      </c>
      <c r="J23" s="478">
        <f t="shared" si="10"/>
        <v>4.3035667852237827E-3</v>
      </c>
      <c r="K23" s="478">
        <f t="shared" si="11"/>
        <v>0</v>
      </c>
      <c r="L23" s="478">
        <f t="shared" ca="1" si="12"/>
        <v>0</v>
      </c>
      <c r="M23" s="478">
        <f t="shared" si="13"/>
        <v>0</v>
      </c>
      <c r="N23" s="478">
        <f t="shared" ca="1" si="14"/>
        <v>0</v>
      </c>
      <c r="O23" s="478">
        <f t="shared" si="15"/>
        <v>0</v>
      </c>
      <c r="P23" s="479">
        <f t="shared" si="16"/>
        <v>0</v>
      </c>
      <c r="Q23" s="477">
        <f t="shared" ref="Q23:Q31" ca="1" si="17">SUM(B23:P23)</f>
        <v>8065.7000890941508</v>
      </c>
    </row>
    <row r="24" spans="1:17">
      <c r="A24" s="477" t="s">
        <v>193</v>
      </c>
      <c r="B24" s="478">
        <f t="shared" ca="1" si="2"/>
        <v>109.31143856565731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109.31143856565731</v>
      </c>
    </row>
    <row r="25" spans="1:17">
      <c r="A25" s="477" t="s">
        <v>111</v>
      </c>
      <c r="B25" s="478">
        <f t="shared" ca="1" si="2"/>
        <v>56.611551948262623</v>
      </c>
      <c r="C25" s="478">
        <f t="shared" ca="1" si="3"/>
        <v>0</v>
      </c>
      <c r="D25" s="478">
        <f t="shared" si="4"/>
        <v>9.0713905480000001</v>
      </c>
      <c r="E25" s="478">
        <f t="shared" si="5"/>
        <v>2.397413373267935</v>
      </c>
      <c r="F25" s="478">
        <f t="shared" si="6"/>
        <v>319.31498965580937</v>
      </c>
      <c r="G25" s="478">
        <f t="shared" si="7"/>
        <v>0</v>
      </c>
      <c r="H25" s="478">
        <f t="shared" si="8"/>
        <v>0</v>
      </c>
      <c r="I25" s="478">
        <f t="shared" si="9"/>
        <v>0</v>
      </c>
      <c r="J25" s="478">
        <f t="shared" si="10"/>
        <v>33.003780012193339</v>
      </c>
      <c r="K25" s="478">
        <f t="shared" si="11"/>
        <v>0</v>
      </c>
      <c r="L25" s="478">
        <f t="shared" si="12"/>
        <v>0</v>
      </c>
      <c r="M25" s="478">
        <f t="shared" si="13"/>
        <v>0</v>
      </c>
      <c r="N25" s="478">
        <f t="shared" si="14"/>
        <v>0</v>
      </c>
      <c r="O25" s="478">
        <f t="shared" si="15"/>
        <v>0</v>
      </c>
      <c r="P25" s="479">
        <f t="shared" si="16"/>
        <v>0</v>
      </c>
      <c r="Q25" s="477">
        <f t="shared" ca="1" si="17"/>
        <v>420.39912553753328</v>
      </c>
    </row>
    <row r="26" spans="1:17">
      <c r="A26" s="477" t="s">
        <v>629</v>
      </c>
      <c r="B26" s="478">
        <f t="shared" ca="1" si="2"/>
        <v>2099.7514074371529</v>
      </c>
      <c r="C26" s="478">
        <f t="shared" ca="1" si="3"/>
        <v>0</v>
      </c>
      <c r="D26" s="478">
        <f t="shared" si="4"/>
        <v>2361.3886197440006</v>
      </c>
      <c r="E26" s="478">
        <f t="shared" si="5"/>
        <v>237.28944780775046</v>
      </c>
      <c r="F26" s="478">
        <f t="shared" si="6"/>
        <v>1298.3363040328964</v>
      </c>
      <c r="G26" s="478">
        <f t="shared" si="7"/>
        <v>0</v>
      </c>
      <c r="H26" s="478">
        <f t="shared" si="8"/>
        <v>0</v>
      </c>
      <c r="I26" s="478">
        <f t="shared" si="9"/>
        <v>0</v>
      </c>
      <c r="J26" s="478">
        <f t="shared" si="10"/>
        <v>21.606677427541808</v>
      </c>
      <c r="K26" s="478">
        <f t="shared" si="11"/>
        <v>0</v>
      </c>
      <c r="L26" s="478">
        <f t="shared" si="12"/>
        <v>0</v>
      </c>
      <c r="M26" s="478">
        <f t="shared" si="13"/>
        <v>0</v>
      </c>
      <c r="N26" s="478">
        <f t="shared" si="14"/>
        <v>0</v>
      </c>
      <c r="O26" s="478">
        <f t="shared" si="15"/>
        <v>0</v>
      </c>
      <c r="P26" s="479">
        <f t="shared" si="16"/>
        <v>0</v>
      </c>
      <c r="Q26" s="477">
        <f t="shared" ca="1" si="17"/>
        <v>6018.3724564493414</v>
      </c>
    </row>
    <row r="27" spans="1:17" s="483" customFormat="1">
      <c r="A27" s="481" t="s">
        <v>555</v>
      </c>
      <c r="B27" s="801">
        <f t="shared" ca="1" si="2"/>
        <v>5.115633101388334</v>
      </c>
      <c r="C27" s="482">
        <f t="shared" ca="1" si="3"/>
        <v>0</v>
      </c>
      <c r="D27" s="482">
        <f t="shared" si="4"/>
        <v>28.885088002779213</v>
      </c>
      <c r="E27" s="482">
        <f t="shared" si="5"/>
        <v>24.473447301406001</v>
      </c>
      <c r="F27" s="482">
        <f t="shared" si="6"/>
        <v>0</v>
      </c>
      <c r="G27" s="482">
        <f t="shared" si="7"/>
        <v>9743.0547391345808</v>
      </c>
      <c r="H27" s="482">
        <f t="shared" si="8"/>
        <v>2632.2803457049881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12433.809253245143</v>
      </c>
    </row>
    <row r="28" spans="1:17" ht="16.5" customHeight="1">
      <c r="A28" s="477" t="s">
        <v>545</v>
      </c>
      <c r="B28" s="478">
        <f t="shared" ca="1" si="2"/>
        <v>0</v>
      </c>
      <c r="C28" s="478">
        <f t="shared" ca="1" si="3"/>
        <v>0</v>
      </c>
      <c r="D28" s="478">
        <f t="shared" si="4"/>
        <v>0</v>
      </c>
      <c r="E28" s="478">
        <f t="shared" si="5"/>
        <v>0</v>
      </c>
      <c r="F28" s="478">
        <f t="shared" si="6"/>
        <v>0</v>
      </c>
      <c r="G28" s="478">
        <f t="shared" si="7"/>
        <v>279.37458605155649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279.37458605155649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75.50889700225315</v>
      </c>
      <c r="C32" s="478">
        <f t="shared" ca="1" si="3"/>
        <v>0</v>
      </c>
      <c r="D32" s="478">
        <f t="shared" si="4"/>
        <v>205.0701172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280.57901420225312</v>
      </c>
    </row>
    <row r="33" spans="1:17" s="489" customFormat="1">
      <c r="A33" s="487" t="s">
        <v>549</v>
      </c>
      <c r="B33" s="488">
        <f ca="1">SUM(B22:B32)</f>
        <v>8560.610589883534</v>
      </c>
      <c r="C33" s="488">
        <f t="shared" ref="C33:Q33" ca="1" si="19">SUM(C22:C32)</f>
        <v>0</v>
      </c>
      <c r="D33" s="488">
        <f t="shared" ca="1" si="19"/>
        <v>12539.448053424057</v>
      </c>
      <c r="E33" s="488">
        <f t="shared" si="19"/>
        <v>751.90749729917093</v>
      </c>
      <c r="F33" s="488">
        <f t="shared" ca="1" si="19"/>
        <v>9437.4021556195712</v>
      </c>
      <c r="G33" s="488">
        <f t="shared" si="19"/>
        <v>10022.429325186138</v>
      </c>
      <c r="H33" s="488">
        <f t="shared" si="19"/>
        <v>2632.2803457049881</v>
      </c>
      <c r="I33" s="488">
        <f t="shared" si="19"/>
        <v>0</v>
      </c>
      <c r="J33" s="488">
        <f t="shared" si="19"/>
        <v>54.614761006520368</v>
      </c>
      <c r="K33" s="488">
        <f t="shared" si="19"/>
        <v>0</v>
      </c>
      <c r="L33" s="488">
        <f t="shared" ca="1" si="19"/>
        <v>0</v>
      </c>
      <c r="M33" s="488">
        <f t="shared" si="19"/>
        <v>0</v>
      </c>
      <c r="N33" s="488">
        <f t="shared" ca="1" si="19"/>
        <v>0</v>
      </c>
      <c r="O33" s="488">
        <f t="shared" si="19"/>
        <v>0</v>
      </c>
      <c r="P33" s="488">
        <f t="shared" si="19"/>
        <v>0</v>
      </c>
      <c r="Q33" s="488">
        <f t="shared" ca="1" si="19"/>
        <v>43998.692728123977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12435.6371334385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12435.6371334385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0.16729277084001462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0.16729277084001462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2019-08-12T08:41:28Z</dcterms:modified>
</cp:coreProperties>
</file>