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D41" i="14"/>
  <c r="D46" s="1"/>
  <c r="D61" s="1"/>
  <c r="D63" s="1"/>
  <c r="O46"/>
  <c r="O61" s="1"/>
  <c r="O63" s="1"/>
  <c r="K46"/>
  <c r="K61" s="1"/>
  <c r="K63" s="1"/>
  <c r="F16"/>
  <c r="R13"/>
  <c r="R16" s="1"/>
  <c r="R27" s="1"/>
  <c r="Q8" i="48"/>
  <c r="Q15" s="1"/>
  <c r="C17" l="1"/>
  <c r="C24" s="1"/>
  <c r="C28"/>
  <c r="C30"/>
  <c r="C27"/>
  <c r="C29"/>
  <c r="C32"/>
  <c r="C25"/>
  <c r="C31"/>
  <c r="C26"/>
  <c r="C22"/>
  <c r="C23"/>
  <c r="F27" i="14"/>
  <c r="F63" s="1"/>
  <c r="C78"/>
  <c r="B78"/>
  <c r="B12" i="6" l="1"/>
  <c r="B16" i="22" s="1"/>
  <c r="B18" s="1"/>
  <c r="B4" i="6"/>
  <c r="C33" i="48"/>
  <c r="B18" i="15"/>
  <c r="B20" s="1"/>
  <c r="B20" i="16" l="1"/>
  <c r="B22" s="1"/>
  <c r="B17" i="19"/>
  <c r="B19" s="1"/>
  <c r="C39" i="14" s="1"/>
  <c r="R39" s="1"/>
  <c r="C12" i="59"/>
  <c r="B29" i="20"/>
  <c r="B31" s="1"/>
  <c r="C48" i="14" s="1"/>
  <c r="R48" s="1"/>
  <c r="B10" i="9"/>
  <c r="B12" s="1"/>
  <c r="C55" i="14"/>
  <c r="R55" s="1"/>
  <c r="B10" i="13"/>
  <c r="B56" i="22"/>
  <c r="B58" s="1"/>
  <c r="B17" i="49"/>
  <c r="B19" s="1"/>
  <c r="B10" i="17"/>
  <c r="B12" s="1"/>
  <c r="C54" i="14" s="1"/>
  <c r="R54" s="1"/>
  <c r="R56" s="1"/>
  <c r="C43"/>
  <c r="R43" s="1"/>
  <c r="C49"/>
  <c r="R49" s="1"/>
  <c r="C42"/>
  <c r="R42"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<sst xmlns="http://schemas.openxmlformats.org/spreadsheetml/2006/main" count="2402" uniqueCount="899">
  <si>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</si>
  <si>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</si>
  <si>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</si>
  <si>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</si>
  <si>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</si>
  <si>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</si>
  <si>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</si>
  <si>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</si>
  <si>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</si>
  <si>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</si>
  <si>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</si>
  <si>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</si>
  <si>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</si>
  <si>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</si>
  <si>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</si>
  <si>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</si>
  <si>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</si>
  <si>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</si>
  <si>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</si>
  <si>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</si>
  <si>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</si>
  <si>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</si>
  <si>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</si>
  <si>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</si>
  <si>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</si>
  <si>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</si>
  <si>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</si>
  <si>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</si>
  <si>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</si>
  <si>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</si>
  <si>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</si>
  <si>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</si>
  <si>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</si>
  <si>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</si>
  <si>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</si>
  <si>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</si>
  <si>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</si>
  <si>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</si>
  <si>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</si>
  <si>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</si>
  <si>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</si>
  <si>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</si>
  <si>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</si>
  <si>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</si>
  <si>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</si>
  <si>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</si>
  <si>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</si>
  <si>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</si>
  <si>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</si>
  <si>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</si>
  <si>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</si>
  <si>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</si>
  <si>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</si>
  <si>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</si>
  <si>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</si>
  <si>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</si>
  <si>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</si>
  <si>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</si>
  <si>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</si>
  <si>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</si>
  <si>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</si>
  <si>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</si>
  <si>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</si>
  <si>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</si>
  <si>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</si>
  <si>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</si>
  <si>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</si>
  <si>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</si>
  <si>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</si>
  <si>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</si>
  <si>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</si>
  <si>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</si>
  <si>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</si>
  <si>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</si>
  <si>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</si>
  <si>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</si>
  <si>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</si>
  <si>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</si>
  <si>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</si>
  <si>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</si>
  <si>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</si>
  <si>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</si>
  <si>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</si>
  <si>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</si>
  <si>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</si>
  <si>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</si>
  <si>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</si>
  <si>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</si>
  <si>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</si>
  <si>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</si>
  <si>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</si>
  <si>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</si>
  <si>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</si>
  <si>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</si>
  <si>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</si>
  <si>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</si>
  <si>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</si>
  <si>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</si>
  <si>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</si>
  <si>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</si>
  <si>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</si>
  <si>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</si>
  <si>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</si>
  <si>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</si>
  <si>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</si>
  <si>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</si>
  <si>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</si>
  <si>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</si>
  <si>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</si>
  <si>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</si>
  <si>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</si>
  <si>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</si>
  <si>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</si>
  <si>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</si>
  <si>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</si>
  <si>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</si>
  <si>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</si>
  <si>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</si>
  <si>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</si>
  <si>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</si>
  <si>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</si>
  <si>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</si>
  <si>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</si>
  <si>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</si>
  <si>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</si>
  <si>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</si>
  <si>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</si>
  <si>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</si>
  <si>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</si>
  <si>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</si>
  <si>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</si>
  <si>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</si>
  <si>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</si>
  <si>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</si>
  <si>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</si>
  <si>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</si>
  <si>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</si>
  <si>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</si>
  <si>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</si>
  <si>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</si>
  <si>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</si>
  <si>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</si>
  <si>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</si>
  <si>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</si>
  <si>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</si>
  <si>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</si>
  <si>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</si>
  <si>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</si>
  <si>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</si>
  <si>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</si>
  <si>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</si>
  <si>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</si>
  <si>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</si>
  <si>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</si>
  <si>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</si>
  <si>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</si>
  <si>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</si>
  <si>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</si>
  <si>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</si>
  <si>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</si>
  <si>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</si>
  <si>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</si>
  <si>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</si>
  <si>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</si>
  <si>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</si>
  <si>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</si>
  <si>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</si>
  <si>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</si>
  <si>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</si>
  <si>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</si>
  <si>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</si>
  <si>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</si>
  <si>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</si>
  <si>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</si>
  <si>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</si>
  <si>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</si>
  <si>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</si>
  <si>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</si>
  <si>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</si>
  <si>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</si>
  <si>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</si>
  <si>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</si>
  <si>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</si>
  <si>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</si>
  <si>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</si>
  <si>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</si>
  <si>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</si>
  <si>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</si>
  <si>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</si>
  <si>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</si>
  <si>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</si>
  <si>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</si>
  <si>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</si>
  <si>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</si>
  <si>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</si>
  <si>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</si>
  <si>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</si>
  <si>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</si>
  <si>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</si>
  <si>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</si>
  <si>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</si>
  <si>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</si>
  <si>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</si>
  <si>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</si>
  <si>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</si>
  <si>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</si>
  <si>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</si>
  <si>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</si>
  <si>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</si>
  <si>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</si>
  <si>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</si>
  <si>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</si>
  <si>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</si>
  <si>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</si>
  <si>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</si>
  <si>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</si>
  <si>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</si>
  <si>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</si>
  <si>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</si>
  <si>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</si>
  <si>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</si>
  <si>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</si>
  <si>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</si>
  <si>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</si>
  <si>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</si>
  <si>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</si>
  <si>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</si>
  <si>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</si>
  <si>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</si>
  <si>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</si>
  <si>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</si>
  <si>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</si>
  <si>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</si>
  <si>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</si>
  <si>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</si>
  <si>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</si>
  <si>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</si>
  <si>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</si>
  <si>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</si>
  <si>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</si>
  <si>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</si>
  <si>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</si>
  <si>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</si>
  <si>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</si>
  <si>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</si>
  <si>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</si>
  <si>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</si>
  <si>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</si>
  <si>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</si>
  <si>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</si>
  <si>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</si>
  <si>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</si>
  <si>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</si>
  <si>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</si>
  <si>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</si>
  <si>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</si>
  <si>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</si>
  <si>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</si>
  <si>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</si>
  <si>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</si>
  <si>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</si>
  <si>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</si>
  <si>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</si>
  <si>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</si>
  <si>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</si>
  <si>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</si>
  <si>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</si>
  <si>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</si>
  <si>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</si>
  <si>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</si>
  <si>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</si>
  <si>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</si>
  <si>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</si>
  <si>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</si>
  <si>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</si>
  <si>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</si>
  <si>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</si>
  <si>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</si>
  <si>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</si>
  <si>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</si>
  <si>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</si>
  <si>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</si>
  <si>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</si>
  <si>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</si>
  <si>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</si>
  <si>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</si>
  <si>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</si>
  <si>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</si>
  <si>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</si>
  <si>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</si>
  <si>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</si>
  <si>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</si>
  <si>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</si>
  <si>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</si>
  <si>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</si>
  <si>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</si>
  <si>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</si>
  <si>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</si>
  <si>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</si>
  <si>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</si>
  <si>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</si>
  <si>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</si>
  <si>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</si>
  <si>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</si>
  <si>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</si>
  <si>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</si>
  <si>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</si>
  <si>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</si>
  <si>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</si>
  <si>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</si>
  <si>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</si>
  <si>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</si>
  <si>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</si>
  <si>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</si>
  <si>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</si>
  <si>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</si>
  <si>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</si>
  <si>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</si>
  <si>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</si>
  <si>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</si>
  <si>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</si>
  <si>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</si>
  <si>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</si>
  <si>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</si>
  <si>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</si>
  <si>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</si>
  <si>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</si>
  <si>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</si>
  <si>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</si>
  <si>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</si>
  <si>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</si>
  <si>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</si>
  <si>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</si>
  <si>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</si>
  <si>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</si>
  <si>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</si>
  <si>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</si>
  <si>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</si>
  <si>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</si>
  <si>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</si>
  <si>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</si>
  <si>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</si>
  <si>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</si>
  <si>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</si>
  <si>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</si>
  <si>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</si>
  <si>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</si>
  <si>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</si>
  <si>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</si>
  <si>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</si>
  <si>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</si>
  <si>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</si>
  <si>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</si>
  <si>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</si>
  <si>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</si>
  <si>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</si>
  <si>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</si>
  <si>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</si>
  <si>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</si>
  <si>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</si>
  <si>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</si>
  <si>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</si>
  <si>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</si>
  <si>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</si>
  <si>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</si>
  <si>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</si>
  <si>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</si>
  <si>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</si>
  <si>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</si>
  <si>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</si>
  <si>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</si>
  <si>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</si>
  <si>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</si>
  <si>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</si>
  <si>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</si>
  <si>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</si>
  <si>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</si>
  <si>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</si>
  <si>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</si>
  <si>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</si>
  <si>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</si>
  <si>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</si>
  <si>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</si>
  <si>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</si>
  <si>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</si>
  <si>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</si>
  <si>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</si>
  <si>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</si>
  <si>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</si>
  <si>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</si>
  <si>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</si>
  <si>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</si>
  <si>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</si>
  <si>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</si>
  <si>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</si>
  <si>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</si>
  <si>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</si>
  <si>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</si>
  <si>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</si>
  <si>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</si>
  <si>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</si>
  <si>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</si>
  <si>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</si>
  <si>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</si>
  <si>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</si>
  <si>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</si>
  <si>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</si>
  <si>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</si>
  <si>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</si>
  <si>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</si>
  <si>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</si>
  <si>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</si>
  <si>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</si>
  <si>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</si>
  <si>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</si>
  <si>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</si>
  <si>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</si>
  <si>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</si>
  <si>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</si>
  <si>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</si>
  <si>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</si>
  <si>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</si>
  <si>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</si>
  <si>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</si>
  <si>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</si>
  <si>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</si>
  <si>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</si>
  <si>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</si>
  <si>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</si>
  <si>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</si>
  <si>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</si>
  <si>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</si>
  <si>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</si>
  <si>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</si>
  <si>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</si>
  <si>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</si>
  <si>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</si>
  <si>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</si>
  <si>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</si>
  <si>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</si>
  <si>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</si>
  <si>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</si>
  <si>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</si>
  <si>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</si>
  <si>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</si>
  <si>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</si>
  <si>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</si>
  <si>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</si>
  <si>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</si>
  <si>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</si>
  <si>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</si>
  <si>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</si>
  <si>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</si>
  <si>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</si>
  <si>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</si>
  <si>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</si>
  <si>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</si>
  <si>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</si>
  <si>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</si>
  <si>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</si>
  <si>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</si>
  <si>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</si>
  <si>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</si>
  <si>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</si>
  <si>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</si>
  <si>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</si>
  <si>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</si>
  <si>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</si>
  <si>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</si>
  <si>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</si>
  <si>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</si>
  <si>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</si>
  <si>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</si>
  <si>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</si>
  <si>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</si>
  <si>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</si>
  <si>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</si>
  <si>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</si>
  <si>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</si>
  <si>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</si>
  <si>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</si>
  <si>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</si>
  <si>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</si>
  <si>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</si>
  <si>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</si>
  <si>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</si>
  <si>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</si>
  <si>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</si>
  <si>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</si>
  <si>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</si>
  <si>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</si>
  <si>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</si>
  <si>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</si>
  <si>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</si>
  <si>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</si>
  <si>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</si>
  <si>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</si>
  <si>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</si>
  <si>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</si>
  <si>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</si>
  <si>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</si>
  <si>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</si>
  <si>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</si>
  <si>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</si>
  <si>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</si>
  <si>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</si>
  <si>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</si>
  <si>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</si>
  <si>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</si>
  <si>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</si>
  <si>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</si>
  <si>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</si>
  <si>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</si>
  <si>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</si>
  <si>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</si>
  <si>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</si>
  <si>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</si>
  <si>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</si>
  <si>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</si>
  <si>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</si>
  <si>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</si>
  <si>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</si>
  <si>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</si>
  <si>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</si>
  <si>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</si>
  <si>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</si>
  <si>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</si>
  <si>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</si>
  <si>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</si>
  <si>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</si>
  <si>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</si>
  <si>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</si>
  <si>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</si>
  <si>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</si>
  <si>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</si>
  <si>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</si>
  <si>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</si>
  <si>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</si>
  <si>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</si>
  <si>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</si>
  <si>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</si>
  <si>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</si>
  <si>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</si>
  <si>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</si>
  <si>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</si>
  <si>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</si>
  <si>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</si>
  <si>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</si>
  <si>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</si>
  <si>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</si>
  <si>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</si>
  <si>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</si>
  <si>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</si>
  <si>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</si>
  <si>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</si>
  <si>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</si>
  <si>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</si>
  <si>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</si>
  <si>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</si>
  <si>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</si>
  <si>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</si>
  <si>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</si>
  <si>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</si>
  <si>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</si>
  <si>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</si>
  <si>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</si>
  <si>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</si>
  <si>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</si>
  <si>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</si>
  <si>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</si>
  <si>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</si>
  <si>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</si>
  <si>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</si>
  <si>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</si>
  <si>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</si>
  <si>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</si>
  <si>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</si>
  <si>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</si>
  <si>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</si>
  <si>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</si>
  <si>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</si>
  <si>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</si>
  <si>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</si>
  <si>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</si>
  <si>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</si>
  <si>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</si>
  <si>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</si>
  <si>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</si>
  <si>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</si>
  <si>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</si>
  <si>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</si>
  <si>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</si>
  <si>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</si>
  <si>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</si>
  <si>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</si>
  <si>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</si>
  <si>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</si>
  <si>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</si>
  <si>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</si>
  <si>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</si>
  <si>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</si>
  <si>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</si>
  <si>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</si>
  <si>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</si>
  <si>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</si>
  <si>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</si>
  <si>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</si>
  <si>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</si>
  <si>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</si>
  <si>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</si>
  <si>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</si>
  <si>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</si>
  <si>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</si>
  <si>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</si>
  <si>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</si>
  <si>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</si>
  <si>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</si>
  <si>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</si>
  <si>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</si>
  <si>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</si>
  <si>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</si>
  <si>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</si>
  <si>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</si>
  <si>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</si>
  <si>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</si>
  <si>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</si>
  <si>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</si>
  <si>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</si>
  <si>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</si>
  <si>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</si>
  <si>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</si>
  <si>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</si>
  <si>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</si>
  <si>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</si>
  <si>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</si>
  <si>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</si>
  <si>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</si>
  <si>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</si>
  <si>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</si>
  <si>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</si>
  <si>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</si>
  <si>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</si>
  <si>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</si>
  <si>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</si>
  <si>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</si>
  <si>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</si>
  <si>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</si>
  <si>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</si>
  <si>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</si>
  <si>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</si>
  <si>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</si>
  <si>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</si>
  <si>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</si>
  <si>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</si>
  <si>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</si>
  <si>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</si>
  <si>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</si>
  <si>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</si>
  <si>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</si>
  <si>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</si>
  <si>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</si>
  <si>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</si>
  <si>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</si>
  <si>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</si>
  <si>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</si>
  <si>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</si>
  <si>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</si>
  <si>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</si>
  <si>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</si>
  <si>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</si>
  <si>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</si>
  <si>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</si>
  <si>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</si>
  <si>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</si>
  <si>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</si>
  <si>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</si>
  <si>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</si>
  <si>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</si>
  <si>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</si>
  <si>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</si>
  <si>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</si>
  <si>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</si>
  <si>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</si>
  <si>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</si>
  <si>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</si>
  <si>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</si>
  <si>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</si>
  <si>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</si>
  <si>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</si>
  <si>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</si>
  <si>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</si>
  <si>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</si>
  <si>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</si>
  <si>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</si>
  <si>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</si>
  <si>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</si>
  <si>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</si>
  <si>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</si>
  <si>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</si>
  <si>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</si>
  <si>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</si>
  <si>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</si>
  <si>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</si>
  <si>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</si>
  <si>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</si>
  <si>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</si>
  <si>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</si>
  <si>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</si>
  <si>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</si>
  <si>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</si>
  <si>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</si>
  <si>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</si>
  <si>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</si>
  <si>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</si>
  <si>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</si>
  <si>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</si>
  <si>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</si>
  <si>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</si>
  <si>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</si>
  <si>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</si>
  <si>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</si>
  <si>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</si>
  <si>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</si>
  <si>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</si>
  <si>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</si>
  <si>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</si>
  <si>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</si>
  <si>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</si>
  <si>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</si>
  <si>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</si>
  <si>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</si>
  <si>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</si>
  <si>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</si>
  <si>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</si>
  <si>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</si>
  <si>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</si>
  <si>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</si>
  <si>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</si>
  <si>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</si>
  <si>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</si>
  <si>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</si>
  <si>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</si>
  <si>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</si>
  <si>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</si>
  <si>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</si>
  <si>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</si>
  <si>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</si>
  <si>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</si>
  <si>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</si>
  <si>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</si>
  <si>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</si>
  <si>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</si>
  <si>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</si>
  <si>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</si>
  <si>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</si>
  <si>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</si>
  <si>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</si>
  <si>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</si>
  <si>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</si>
  <si>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</si>
  <si>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</si>
  <si>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</si>
  <si>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</si>
  <si>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</si>
  <si>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</si>
  <si>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</si>
  <si>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</si>
  <si>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</si>
  <si>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</si>
  <si>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</si>
  <si>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</si>
  <si>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</si>
  <si>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</si>
  <si>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</si>
  <si>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</si>
  <si>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</si>
  <si>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</si>
  <si>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</si>
  <si>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</si>
  <si>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</si>
  <si>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</si>
  <si>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</si>
  <si>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</si>
  <si>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</si>
  <si>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</si>
  <si>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</si>
  <si>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</si>
  <si>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</si>
  <si>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</si>
  <si>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</si>
  <si>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</si>
  <si>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</si>
  <si>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</si>
  <si>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</si>
  <si>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</si>
  <si>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</si>
  <si>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</si>
  <si>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</si>
  <si>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</si>
  <si>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</si>
  <si>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</si>
  <si>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</si>
  <si>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</si>
  <si>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</si>
  <si>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</si>
  <si>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</si>
  <si>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</si>
  <si>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</si>
  <si>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</si>
  <si>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</si>
  <si>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</si>
  <si>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</si>
  <si>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</si>
  <si>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</si>
  <si>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</si>
  <si>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</si>
  <si>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</si>
  <si>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</si>
  <si>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</si>
  <si>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</si>
  <si>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</si>
  <si>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</si>
  <si>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</si>
  <si>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</si>
  <si>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</si>
  <si>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</si>
  <si>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</si>
  <si>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</si>
  <si>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</si>
  <si>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</si>
  <si>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</si>
  <si>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</si>
  <si>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</si>
  <si>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</si>
  <si>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</si>
  <si>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</si>
  <si>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</si>
  <si>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</si>
  <si>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</si>
  <si>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</si>
  <si>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</si>
  <si>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</si>
  <si>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</si>
  <si>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</si>
  <si>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</si>
  <si>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</si>
  <si>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</si>
  <si>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</si>
  <si>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</si>
  <si>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</si>
  <si>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</si>
  <si>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</si>
  <si>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</si>
  <si>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</si>
  <si>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</si>
  <si>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</si>
  <si>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</si>
  <si>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</si>
  <si>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</si>
  <si>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</si>
  <si>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</si>
  <si>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</si>
  <si>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</si>
  <si>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</si>
  <si>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</si>
  <si>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</si>
  <si>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</si>
  <si>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</si>
  <si>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</si>
  <si>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</si>
  <si>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</si>
  <si>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</si>
  <si>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</si>
  <si>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</si>
  <si>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</si>
  <si>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</si>
  <si>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</si>
  <si>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</si>
  <si>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71016</t>
  </si>
  <si>
    <t>GENK</t>
  </si>
  <si>
    <t>Mestbank (maart 2019)</t>
  </si>
  <si>
    <t>Fluvius (februari 2019)</t>
  </si>
  <si>
    <t>referentietaak LNE (2017); Jaarverslag De Lijn (2018)</t>
  </si>
  <si>
    <t>VEA (30 april 2019)</t>
  </si>
  <si>
    <t>VEA (mei 2018)</t>
  </si>
  <si>
    <t>VEA (mei 2019)</t>
  </si>
  <si>
    <t>AFI Winterslag vzw</t>
  </si>
  <si>
    <t>Vennestraat 98/1 , 3600 Genk</t>
  </si>
  <si>
    <t>WKK-0436 AFI Winterslag</t>
  </si>
  <si>
    <t>interne verbrandingsmotor</t>
  </si>
  <si>
    <t>WKK interne verbrandinsgmotor (gas)</t>
  </si>
  <si>
    <t>Vennestraat 98 , 3600 Genk</t>
  </si>
  <si>
    <t>Inter-Energa</t>
  </si>
  <si>
    <t>Aquafin NV</t>
  </si>
  <si>
    <t>Dijkstraat 8 , 2630 Aartselaar</t>
  </si>
  <si>
    <t>BGS-0006 RWZI Genk (GSC rest)</t>
  </si>
  <si>
    <t>biogas - RWZI</t>
  </si>
  <si>
    <t>niet WKK interne verbrandingsmotor (gas)</t>
  </si>
  <si>
    <t>Diepenbekerbos 12 , 3600 Genk</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</si>
</sst>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413393.73483041849</c:v>
                </c:pt>
                <c:pt idx="1">
                  <c:v>321703.19799623563</c:v>
                </c:pt>
                <c:pt idx="2">
                  <c:v>4387.5720000000001</c:v>
                </c:pt>
                <c:pt idx="3">
                  <c:v>1864.8181212674201</c:v>
                </c:pt>
                <c:pt idx="4">
                  <c:v>444171.22114827303</c:v>
                </c:pt>
                <c:pt idx="5">
                  <c:v>362735.42099774251</c:v>
                </c:pt>
                <c:pt idx="6">
                  <c:v>14413.685482457953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3648"/>
        <c:axId val="180845184"/>
      </c:barChart>
      <c:catAx>
        <c:axId val="180843648"/>
        <c:scaling>
          <c:orientation val="minMax"/>
        </c:scaling>
        <c:axPos val="b"/>
        <c:numFmt formatCode="General" sourceLinked="0"/>
        <c:tickLblPos val="nextTo"/>
        <c:crossAx val="180845184"/>
        <c:crosses val="autoZero"/>
        <c:auto val="1"/>
        <c:lblAlgn val="ctr"/>
        <c:lblOffset val="100"/>
      </c:catAx>
      <c:valAx>
        <c:axId val="180845184"/>
        <c:scaling>
          <c:orientation val="minMax"/>
        </c:scaling>
        <c:axPos val="l"/>
        <c:majorGridlines/>
        <c:numFmt formatCode="#,##0" sourceLinked="1"/>
        <c:tickLblPos val="nextTo"/>
        <c:crossAx val="18084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413393.73483041849</c:v>
                </c:pt>
                <c:pt idx="1">
                  <c:v>321703.19799623563</c:v>
                </c:pt>
                <c:pt idx="2">
                  <c:v>4387.5720000000001</c:v>
                </c:pt>
                <c:pt idx="3">
                  <c:v>1864.8181212674201</c:v>
                </c:pt>
                <c:pt idx="4">
                  <c:v>444171.22114827303</c:v>
                </c:pt>
                <c:pt idx="5">
                  <c:v>362735.42099774251</c:v>
                </c:pt>
                <c:pt idx="6">
                  <c:v>14413.685482457953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83576.350942948615</c:v>
                </c:pt>
                <c:pt idx="1">
                  <c:v>60105.779473258721</c:v>
                </c:pt>
                <c:pt idx="2">
                  <c:v>767.05396399119979</c:v>
                </c:pt>
                <c:pt idx="3">
                  <c:v>459.05183987269214</c:v>
                </c:pt>
                <c:pt idx="4">
                  <c:v>89116.902294860105</c:v>
                </c:pt>
                <c:pt idx="5">
                  <c:v>90250.907156575428</c:v>
                </c:pt>
                <c:pt idx="6">
                  <c:v>3645.8190003870491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227520"/>
        <c:axId val="181229056"/>
      </c:barChart>
      <c:catAx>
        <c:axId val="181227520"/>
        <c:scaling>
          <c:orientation val="minMax"/>
        </c:scaling>
        <c:axPos val="b"/>
        <c:numFmt formatCode="General" sourceLinked="0"/>
        <c:tickLblPos val="nextTo"/>
        <c:crossAx val="181229056"/>
        <c:crosses val="autoZero"/>
        <c:auto val="1"/>
        <c:lblAlgn val="ctr"/>
        <c:lblOffset val="100"/>
      </c:catAx>
      <c:valAx>
        <c:axId val="181229056"/>
        <c:scaling>
          <c:orientation val="minMax"/>
        </c:scaling>
        <c:axPos val="l"/>
        <c:majorGridlines/>
        <c:numFmt formatCode="#,##0" sourceLinked="1"/>
        <c:tickLblPos val="nextTo"/>
        <c:crossAx val="1812275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83576.350942948615</c:v>
                </c:pt>
                <c:pt idx="1">
                  <c:v>60105.779473258721</c:v>
                </c:pt>
                <c:pt idx="2">
                  <c:v>767.05396399119979</c:v>
                </c:pt>
                <c:pt idx="3">
                  <c:v>459.05183987269214</c:v>
                </c:pt>
                <c:pt idx="4">
                  <c:v>89116.902294860105</c:v>
                </c:pt>
                <c:pt idx="5">
                  <c:v>90250.907156575428</c:v>
                </c:pt>
                <c:pt idx="6">
                  <c:v>3645.8190003870491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71016</v>
      </c>
      <c r="B6" s="415"/>
      <c r="C6" s="416"/>
    </row>
    <row r="7" spans="1:7" s="413" customFormat="1" ht="15.75" customHeight="1">
      <c r="A7" s="417" t="str">
        <f>txtMunicipality</f>
        <v>GENK</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0.17482424538929497</v>
      </c>
      <c r="C17" s="527">
        <f ca="1">'EF ele_warmte'!B22</f>
        <v>0.23764705882352938</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0.17482424538929497</v>
      </c>
      <c r="C29" s="528">
        <f ca="1">'EF ele_warmte'!B22</f>
        <v>0.23764705882352938</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71016</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25994</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395.75</v>
      </c>
    </row>
    <row r="15" spans="1:6">
      <c r="A15" s="348" t="s">
        <v>183</v>
      </c>
      <c r="B15" s="334">
        <v>0</v>
      </c>
    </row>
    <row r="16" spans="1:6">
      <c r="A16" s="348" t="s">
        <v>6</v>
      </c>
      <c r="B16" s="334">
        <v>0</v>
      </c>
    </row>
    <row r="17" spans="1:6">
      <c r="A17" s="348" t="s">
        <v>7</v>
      </c>
      <c r="B17" s="334">
        <v>8</v>
      </c>
    </row>
    <row r="18" spans="1:6">
      <c r="A18" s="348" t="s">
        <v>8</v>
      </c>
      <c r="B18" s="334">
        <v>6</v>
      </c>
    </row>
    <row r="19" spans="1:6">
      <c r="A19" s="348" t="s">
        <v>9</v>
      </c>
      <c r="B19" s="334">
        <v>6</v>
      </c>
    </row>
    <row r="20" spans="1:6">
      <c r="A20" s="348" t="s">
        <v>10</v>
      </c>
      <c r="B20" s="334">
        <v>8</v>
      </c>
    </row>
    <row r="21" spans="1:6">
      <c r="A21" s="348" t="s">
        <v>11</v>
      </c>
      <c r="B21" s="334">
        <v>0</v>
      </c>
    </row>
    <row r="22" spans="1:6">
      <c r="A22" s="348" t="s">
        <v>12</v>
      </c>
      <c r="B22" s="334">
        <v>22</v>
      </c>
    </row>
    <row r="23" spans="1:6">
      <c r="A23" s="348" t="s">
        <v>13</v>
      </c>
      <c r="B23" s="334">
        <v>0</v>
      </c>
    </row>
    <row r="24" spans="1:6">
      <c r="A24" s="348" t="s">
        <v>14</v>
      </c>
      <c r="B24" s="334">
        <v>0</v>
      </c>
    </row>
    <row r="25" spans="1:6">
      <c r="A25" s="348" t="s">
        <v>15</v>
      </c>
      <c r="B25" s="334">
        <v>2</v>
      </c>
    </row>
    <row r="26" spans="1:6">
      <c r="A26" s="348" t="s">
        <v>16</v>
      </c>
      <c r="B26" s="334">
        <v>134</v>
      </c>
    </row>
    <row r="27" spans="1:6">
      <c r="A27" s="348" t="s">
        <v>17</v>
      </c>
      <c r="B27" s="334">
        <v>7</v>
      </c>
    </row>
    <row r="28" spans="1:6" s="356" customFormat="1">
      <c r="A28" s="355" t="s">
        <v>18</v>
      </c>
      <c r="B28" s="355">
        <v>40</v>
      </c>
    </row>
    <row r="29" spans="1:6">
      <c r="A29" s="355" t="s">
        <v>713</v>
      </c>
      <c r="B29" s="355">
        <v>69</v>
      </c>
      <c r="C29" s="356"/>
      <c r="D29" s="356"/>
      <c r="E29" s="356"/>
      <c r="F29" s="356"/>
    </row>
    <row r="30" spans="1:6">
      <c r="A30" s="341" t="s">
        <v>714</v>
      </c>
      <c r="B30" s="341">
        <v>10</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5</v>
      </c>
      <c r="F35" s="334">
        <v>86137</v>
      </c>
    </row>
    <row r="36" spans="1:6">
      <c r="A36" s="348" t="s">
        <v>24</v>
      </c>
      <c r="B36" s="348" t="s">
        <v>26</v>
      </c>
      <c r="C36" s="334">
        <v>4</v>
      </c>
      <c r="D36" s="334">
        <v>282866</v>
      </c>
      <c r="E36" s="334">
        <v>36</v>
      </c>
      <c r="F36" s="334">
        <v>1812948</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13119</v>
      </c>
      <c r="D39" s="334">
        <v>198448498.588</v>
      </c>
      <c r="E39" s="334">
        <v>26330</v>
      </c>
      <c r="F39" s="334">
        <v>106733270.45</v>
      </c>
    </row>
    <row r="40" spans="1:6">
      <c r="A40" s="348" t="s">
        <v>29</v>
      </c>
      <c r="B40" s="348" t="s">
        <v>28</v>
      </c>
      <c r="C40" s="334">
        <v>0</v>
      </c>
      <c r="D40" s="334">
        <v>0</v>
      </c>
      <c r="E40" s="334">
        <v>0</v>
      </c>
      <c r="F40" s="334">
        <v>0</v>
      </c>
    </row>
    <row r="41" spans="1:6">
      <c r="A41" s="348" t="s">
        <v>31</v>
      </c>
      <c r="B41" s="348" t="s">
        <v>32</v>
      </c>
      <c r="C41" s="334">
        <v>187</v>
      </c>
      <c r="D41" s="334">
        <v>8002385.6569999997</v>
      </c>
      <c r="E41" s="334">
        <v>389</v>
      </c>
      <c r="F41" s="334">
        <v>115122763.943</v>
      </c>
    </row>
    <row r="42" spans="1:6">
      <c r="A42" s="348" t="s">
        <v>31</v>
      </c>
      <c r="B42" s="348" t="s">
        <v>33</v>
      </c>
      <c r="C42" s="334">
        <v>5</v>
      </c>
      <c r="D42" s="334">
        <v>2435586.423</v>
      </c>
      <c r="E42" s="334">
        <v>13</v>
      </c>
      <c r="F42" s="334">
        <v>42845759</v>
      </c>
    </row>
    <row r="43" spans="1:6">
      <c r="A43" s="348" t="s">
        <v>31</v>
      </c>
      <c r="B43" s="348" t="s">
        <v>34</v>
      </c>
      <c r="C43" s="334">
        <v>0</v>
      </c>
      <c r="D43" s="334">
        <v>0</v>
      </c>
      <c r="E43" s="334">
        <v>3</v>
      </c>
      <c r="F43" s="334">
        <v>2401880</v>
      </c>
    </row>
    <row r="44" spans="1:6">
      <c r="A44" s="348" t="s">
        <v>31</v>
      </c>
      <c r="B44" s="348" t="s">
        <v>35</v>
      </c>
      <c r="C44" s="334">
        <v>54</v>
      </c>
      <c r="D44" s="334">
        <v>47295920.479999997</v>
      </c>
      <c r="E44" s="334">
        <v>112</v>
      </c>
      <c r="F44" s="334">
        <v>26761487.035</v>
      </c>
    </row>
    <row r="45" spans="1:6">
      <c r="A45" s="348" t="s">
        <v>31</v>
      </c>
      <c r="B45" s="348" t="s">
        <v>36</v>
      </c>
      <c r="C45" s="334">
        <v>5</v>
      </c>
      <c r="D45" s="334">
        <v>501157</v>
      </c>
      <c r="E45" s="334">
        <v>12</v>
      </c>
      <c r="F45" s="334">
        <v>656720</v>
      </c>
    </row>
    <row r="46" spans="1:6">
      <c r="A46" s="348" t="s">
        <v>31</v>
      </c>
      <c r="B46" s="348" t="s">
        <v>37</v>
      </c>
      <c r="C46" s="334">
        <v>0</v>
      </c>
      <c r="D46" s="334">
        <v>0</v>
      </c>
      <c r="E46" s="334">
        <v>0</v>
      </c>
      <c r="F46" s="334">
        <v>0</v>
      </c>
    </row>
    <row r="47" spans="1:6">
      <c r="A47" s="348" t="s">
        <v>31</v>
      </c>
      <c r="B47" s="348" t="s">
        <v>38</v>
      </c>
      <c r="C47" s="334">
        <v>11</v>
      </c>
      <c r="D47" s="334">
        <v>7973351</v>
      </c>
      <c r="E47" s="334">
        <v>21</v>
      </c>
      <c r="F47" s="334">
        <v>15708297</v>
      </c>
    </row>
    <row r="48" spans="1:6">
      <c r="A48" s="348" t="s">
        <v>31</v>
      </c>
      <c r="B48" s="348" t="s">
        <v>28</v>
      </c>
      <c r="C48" s="334">
        <v>2</v>
      </c>
      <c r="D48" s="334">
        <v>1220398.943</v>
      </c>
      <c r="E48" s="334">
        <v>1</v>
      </c>
      <c r="F48" s="334">
        <v>309844</v>
      </c>
    </row>
    <row r="49" spans="1:6">
      <c r="A49" s="348" t="s">
        <v>31</v>
      </c>
      <c r="B49" s="348" t="s">
        <v>39</v>
      </c>
      <c r="C49" s="334">
        <v>5</v>
      </c>
      <c r="D49" s="334">
        <v>7422703.2290000003</v>
      </c>
      <c r="E49" s="334">
        <v>9</v>
      </c>
      <c r="F49" s="334">
        <v>14117177</v>
      </c>
    </row>
    <row r="50" spans="1:6">
      <c r="A50" s="348" t="s">
        <v>31</v>
      </c>
      <c r="B50" s="348" t="s">
        <v>40</v>
      </c>
      <c r="C50" s="334">
        <v>17</v>
      </c>
      <c r="D50" s="334">
        <v>6476446.9709999999</v>
      </c>
      <c r="E50" s="334">
        <v>39</v>
      </c>
      <c r="F50" s="334">
        <v>9080558</v>
      </c>
    </row>
    <row r="51" spans="1:6">
      <c r="A51" s="348" t="s">
        <v>41</v>
      </c>
      <c r="B51" s="348" t="s">
        <v>42</v>
      </c>
      <c r="C51" s="334">
        <v>7</v>
      </c>
      <c r="D51" s="334">
        <v>264808</v>
      </c>
      <c r="E51" s="334">
        <v>26</v>
      </c>
      <c r="F51" s="334">
        <v>335885</v>
      </c>
    </row>
    <row r="52" spans="1:6">
      <c r="A52" s="348" t="s">
        <v>41</v>
      </c>
      <c r="B52" s="348" t="s">
        <v>28</v>
      </c>
      <c r="C52" s="334">
        <v>0</v>
      </c>
      <c r="D52" s="334">
        <v>0</v>
      </c>
      <c r="E52" s="334">
        <v>0</v>
      </c>
      <c r="F52" s="334">
        <v>0</v>
      </c>
    </row>
    <row r="53" spans="1:6">
      <c r="A53" s="348" t="s">
        <v>43</v>
      </c>
      <c r="B53" s="348" t="s">
        <v>44</v>
      </c>
      <c r="C53" s="334">
        <v>181</v>
      </c>
      <c r="D53" s="334">
        <v>10869674.971000001</v>
      </c>
      <c r="E53" s="334">
        <v>588</v>
      </c>
      <c r="F53" s="334">
        <v>6730312.2000000002</v>
      </c>
    </row>
    <row r="54" spans="1:6">
      <c r="A54" s="348" t="s">
        <v>45</v>
      </c>
      <c r="B54" s="348" t="s">
        <v>46</v>
      </c>
      <c r="C54" s="334">
        <v>0</v>
      </c>
      <c r="D54" s="334">
        <v>0</v>
      </c>
      <c r="E54" s="334">
        <v>3</v>
      </c>
      <c r="F54" s="334">
        <v>4387572</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193</v>
      </c>
      <c r="D57" s="334">
        <v>11512383.25</v>
      </c>
      <c r="E57" s="334">
        <v>376</v>
      </c>
      <c r="F57" s="334">
        <v>18466845.614</v>
      </c>
    </row>
    <row r="58" spans="1:6">
      <c r="A58" s="348" t="s">
        <v>48</v>
      </c>
      <c r="B58" s="348" t="s">
        <v>50</v>
      </c>
      <c r="C58" s="334">
        <v>136</v>
      </c>
      <c r="D58" s="334">
        <v>24505713.956999999</v>
      </c>
      <c r="E58" s="334">
        <v>241</v>
      </c>
      <c r="F58" s="334">
        <v>28189265.699999999</v>
      </c>
    </row>
    <row r="59" spans="1:6">
      <c r="A59" s="348" t="s">
        <v>48</v>
      </c>
      <c r="B59" s="348" t="s">
        <v>51</v>
      </c>
      <c r="C59" s="334">
        <v>386</v>
      </c>
      <c r="D59" s="334">
        <v>31430968.410999998</v>
      </c>
      <c r="E59" s="334">
        <v>992</v>
      </c>
      <c r="F59" s="334">
        <v>53085820.140000001</v>
      </c>
    </row>
    <row r="60" spans="1:6">
      <c r="A60" s="348" t="s">
        <v>48</v>
      </c>
      <c r="B60" s="348" t="s">
        <v>52</v>
      </c>
      <c r="C60" s="334">
        <v>233</v>
      </c>
      <c r="D60" s="334">
        <v>19136970.614</v>
      </c>
      <c r="E60" s="334">
        <v>404</v>
      </c>
      <c r="F60" s="334">
        <v>14666986.343</v>
      </c>
    </row>
    <row r="61" spans="1:6">
      <c r="A61" s="348" t="s">
        <v>48</v>
      </c>
      <c r="B61" s="348" t="s">
        <v>53</v>
      </c>
      <c r="C61" s="334">
        <v>468</v>
      </c>
      <c r="D61" s="334">
        <v>50576876.402000003</v>
      </c>
      <c r="E61" s="334">
        <v>1473</v>
      </c>
      <c r="F61" s="334">
        <v>42452188.207000002</v>
      </c>
    </row>
    <row r="62" spans="1:6">
      <c r="A62" s="348" t="s">
        <v>48</v>
      </c>
      <c r="B62" s="348" t="s">
        <v>54</v>
      </c>
      <c r="C62" s="334">
        <v>48</v>
      </c>
      <c r="D62" s="334">
        <v>8354348.6859999998</v>
      </c>
      <c r="E62" s="334">
        <v>67</v>
      </c>
      <c r="F62" s="334">
        <v>3953171.73</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1</v>
      </c>
      <c r="D65" s="334">
        <v>2565</v>
      </c>
      <c r="E65" s="334">
        <v>1</v>
      </c>
      <c r="F65" s="334">
        <v>10785</v>
      </c>
    </row>
    <row r="66" spans="1:6">
      <c r="A66" s="348" t="s">
        <v>55</v>
      </c>
      <c r="B66" s="348" t="s">
        <v>57</v>
      </c>
      <c r="C66" s="334">
        <v>0</v>
      </c>
      <c r="D66" s="334">
        <v>0</v>
      </c>
      <c r="E66" s="334">
        <v>42</v>
      </c>
      <c r="F66" s="334">
        <v>2018224.7620000001</v>
      </c>
    </row>
    <row r="67" spans="1:6">
      <c r="A67" s="355" t="s">
        <v>55</v>
      </c>
      <c r="B67" s="355" t="s">
        <v>58</v>
      </c>
      <c r="C67" s="334">
        <v>0</v>
      </c>
      <c r="D67" s="334">
        <v>0</v>
      </c>
      <c r="E67" s="334">
        <v>0</v>
      </c>
      <c r="F67" s="334">
        <v>0</v>
      </c>
    </row>
    <row r="68" spans="1:6">
      <c r="A68" s="341" t="s">
        <v>55</v>
      </c>
      <c r="B68" s="341" t="s">
        <v>59</v>
      </c>
      <c r="C68" s="334">
        <v>18</v>
      </c>
      <c r="D68" s="334">
        <v>1091520</v>
      </c>
      <c r="E68" s="334">
        <v>39</v>
      </c>
      <c r="F68" s="334">
        <v>1364539.8</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174677750</v>
      </c>
      <c r="E73" s="476"/>
    </row>
    <row r="74" spans="1:6">
      <c r="A74" s="348" t="s">
        <v>63</v>
      </c>
      <c r="B74" s="348" t="s">
        <v>651</v>
      </c>
      <c r="C74" s="1307" t="s">
        <v>653</v>
      </c>
      <c r="D74" s="476">
        <v>9703758</v>
      </c>
      <c r="E74" s="476"/>
    </row>
    <row r="75" spans="1:6">
      <c r="A75" s="348" t="s">
        <v>64</v>
      </c>
      <c r="B75" s="348" t="s">
        <v>650</v>
      </c>
      <c r="C75" s="1307" t="s">
        <v>654</v>
      </c>
      <c r="D75" s="476">
        <v>48584853</v>
      </c>
      <c r="E75" s="476"/>
    </row>
    <row r="76" spans="1:6">
      <c r="A76" s="348" t="s">
        <v>64</v>
      </c>
      <c r="B76" s="348" t="s">
        <v>651</v>
      </c>
      <c r="C76" s="1307" t="s">
        <v>655</v>
      </c>
      <c r="D76" s="476">
        <v>137278.80000000002</v>
      </c>
      <c r="E76" s="476"/>
    </row>
    <row r="77" spans="1:6">
      <c r="A77" s="348" t="s">
        <v>65</v>
      </c>
      <c r="B77" s="348" t="s">
        <v>650</v>
      </c>
      <c r="C77" s="1307" t="s">
        <v>656</v>
      </c>
      <c r="D77" s="476">
        <v>164962955</v>
      </c>
      <c r="E77" s="476"/>
    </row>
    <row r="78" spans="1:6">
      <c r="A78" s="341" t="s">
        <v>65</v>
      </c>
      <c r="B78" s="341" t="s">
        <v>651</v>
      </c>
      <c r="C78" s="341" t="s">
        <v>657</v>
      </c>
      <c r="D78" s="1308">
        <v>30007154</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4004306</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70983.647645157049</v>
      </c>
    </row>
    <row r="91" spans="1:6">
      <c r="A91" s="348" t="s">
        <v>67</v>
      </c>
      <c r="B91" s="334">
        <v>12126.83984741454</v>
      </c>
    </row>
    <row r="92" spans="1:6">
      <c r="A92" s="341" t="s">
        <v>68</v>
      </c>
      <c r="B92" s="342">
        <v>23929.902530645311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3815</v>
      </c>
    </row>
    <row r="98" spans="1:6">
      <c r="A98" s="348" t="s">
        <v>71</v>
      </c>
      <c r="B98" s="334">
        <v>9</v>
      </c>
    </row>
    <row r="99" spans="1:6">
      <c r="A99" s="348" t="s">
        <v>72</v>
      </c>
      <c r="B99" s="334">
        <v>73</v>
      </c>
    </row>
    <row r="100" spans="1:6">
      <c r="A100" s="348" t="s">
        <v>73</v>
      </c>
      <c r="B100" s="334">
        <v>4328</v>
      </c>
    </row>
    <row r="101" spans="1:6">
      <c r="A101" s="348" t="s">
        <v>74</v>
      </c>
      <c r="B101" s="334">
        <v>91</v>
      </c>
    </row>
    <row r="102" spans="1:6">
      <c r="A102" s="348" t="s">
        <v>75</v>
      </c>
      <c r="B102" s="334">
        <v>353</v>
      </c>
    </row>
    <row r="103" spans="1:6">
      <c r="A103" s="348" t="s">
        <v>76</v>
      </c>
      <c r="B103" s="334">
        <v>446</v>
      </c>
    </row>
    <row r="104" spans="1:6">
      <c r="A104" s="348" t="s">
        <v>77</v>
      </c>
      <c r="B104" s="334">
        <v>12961</v>
      </c>
    </row>
    <row r="105" spans="1:6">
      <c r="A105" s="341" t="s">
        <v>78</v>
      </c>
      <c r="B105" s="341">
        <v>14</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1</v>
      </c>
      <c r="C122" s="334">
        <v>0</v>
      </c>
    </row>
    <row r="123" spans="1:6">
      <c r="A123" s="348" t="s">
        <v>87</v>
      </c>
      <c r="B123" s="334">
        <v>78</v>
      </c>
      <c r="C123" s="334">
        <v>83</v>
      </c>
    </row>
    <row r="124" spans="1:6">
      <c r="A124" s="341" t="s">
        <v>88</v>
      </c>
      <c r="B124" s="334">
        <v>2</v>
      </c>
      <c r="C124" s="334">
        <v>4</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905</v>
      </c>
    </row>
    <row r="130" spans="1:6">
      <c r="A130" s="348" t="s">
        <v>294</v>
      </c>
      <c r="B130" s="334">
        <v>5</v>
      </c>
    </row>
    <row r="131" spans="1:6">
      <c r="A131" s="348" t="s">
        <v>295</v>
      </c>
      <c r="B131" s="334">
        <v>5</v>
      </c>
    </row>
    <row r="132" spans="1:6">
      <c r="A132" s="341" t="s">
        <v>296</v>
      </c>
      <c r="B132" s="342">
        <v>99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520030.97125549504</v>
      </c>
      <c r="C3" s="43" t="s">
        <v>169</v>
      </c>
      <c r="D3" s="43"/>
      <c r="E3" s="154"/>
      <c r="F3" s="43"/>
      <c r="G3" s="43"/>
      <c r="H3" s="43"/>
      <c r="I3" s="43"/>
      <c r="J3" s="43"/>
      <c r="K3" s="96"/>
    </row>
    <row r="4" spans="1:11">
      <c r="A4" s="383" t="s">
        <v>170</v>
      </c>
      <c r="B4" s="49">
        <f>IF(ISERROR('SEAP template'!B78+'SEAP template'!C78),0,'SEAP template'!B78+'SEAP template'!C78)</f>
        <v>108727.8900232169</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16.041176470588237</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0.17482424538929497</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22.915966386554619</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96.428571428571431</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0.23764705882352938</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4387.5720000000001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4387.5720000000001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0.17482424538929497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767.05396399119979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106733.27045</v>
      </c>
      <c r="C5" s="17">
        <f>IF(ISERROR('Eigen informatie GS &amp; warmtenet'!B59),0,'Eigen informatie GS &amp; warmtenet'!B59)</f>
        <v>0</v>
      </c>
      <c r="D5" s="30">
        <f>(SUM(HH_hh_gas_kWh,HH_rest_gas_kWh)/1000)*0.902</f>
        <v>179000.545726376</v>
      </c>
      <c r="E5" s="17">
        <f>B46*B57</f>
        <v>5162.134355532361</v>
      </c>
      <c r="F5" s="17">
        <f>B51*B62</f>
        <v>95381.300066969881</v>
      </c>
      <c r="G5" s="18"/>
      <c r="H5" s="17"/>
      <c r="I5" s="17"/>
      <c r="J5" s="17">
        <f>B50*B61+C50*C61</f>
        <v>0</v>
      </c>
      <c r="K5" s="17"/>
      <c r="L5" s="17"/>
      <c r="M5" s="17"/>
      <c r="N5" s="17">
        <f>B48*B59+C48*C59</f>
        <v>11135.979114418144</v>
      </c>
      <c r="O5" s="17">
        <f>B69*B70*B71</f>
        <v>1968.0865536319354</v>
      </c>
      <c r="P5" s="17">
        <f>B77*B78*B79/1000-B77*B78*B79/1000/B80</f>
        <v>1885.578716075619</v>
      </c>
    </row>
    <row r="6" spans="1:16">
      <c r="A6" s="16" t="s">
        <v>615</v>
      </c>
      <c r="B6" s="809">
        <f>kWh_PV_kleiner_dan_10kW</f>
        <v>12126.83984741454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118860.11029741453</v>
      </c>
      <c r="C8" s="21">
        <f>C5</f>
        <v>0</v>
      </c>
      <c r="D8" s="21">
        <f>D5</f>
        <v>179000.545726376</v>
      </c>
      <c r="E8" s="21">
        <f>E5</f>
        <v>5162.134355532361</v>
      </c>
      <c r="F8" s="21">
        <f>F5</f>
        <v>95381.300066969881</v>
      </c>
      <c r="G8" s="21"/>
      <c r="H8" s="21"/>
      <c r="I8" s="21"/>
      <c r="J8" s="21">
        <f>J5</f>
        <v>0</v>
      </c>
      <c r="K8" s="21"/>
      <c r="L8" s="21">
        <f>L5</f>
        <v>0</v>
      </c>
      <c r="M8" s="21">
        <f>M5</f>
        <v>0</v>
      </c>
      <c r="N8" s="21">
        <f>N5</f>
        <v>11135.979114418144</v>
      </c>
      <c r="O8" s="21">
        <f>O5</f>
        <v>1968.0865536319354</v>
      </c>
      <c r="P8" s="21">
        <f>P5</f>
        <v>1885.578716075619</v>
      </c>
    </row>
    <row r="9" spans="1:16">
      <c r="B9" s="19"/>
      <c r="C9" s="19"/>
      <c r="D9" s="258"/>
      <c r="E9" s="19"/>
      <c r="F9" s="19"/>
      <c r="G9" s="19"/>
      <c r="H9" s="19"/>
      <c r="I9" s="19"/>
      <c r="J9" s="19"/>
      <c r="K9" s="19"/>
      <c r="L9" s="19"/>
      <c r="M9" s="19"/>
      <c r="N9" s="19"/>
      <c r="O9" s="19"/>
      <c r="P9" s="19"/>
    </row>
    <row r="10" spans="1:16">
      <c r="A10" s="24" t="s">
        <v>213</v>
      </c>
      <c r="B10" s="25">
        <f ca="1">'EF ele_warmte'!B12</f>
        <v>0.17482424538929497</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20779.629089633865</v>
      </c>
      <c r="C12" s="23">
        <f ca="1">C10*C8</f>
        <v>0</v>
      </c>
      <c r="D12" s="23">
        <f>D8*D10</f>
        <v>36158.110236727953</v>
      </c>
      <c r="E12" s="23">
        <f>E10*E8</f>
        <v>1171.8044987058461</v>
      </c>
      <c r="F12" s="23">
        <f>F10*F8</f>
        <v>25466.807117880959</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3815</v>
      </c>
      <c r="C18" s="166" t="s">
        <v>110</v>
      </c>
      <c r="D18" s="228"/>
      <c r="E18" s="15"/>
    </row>
    <row r="19" spans="1:7">
      <c r="A19" s="171" t="s">
        <v>71</v>
      </c>
      <c r="B19" s="37">
        <f>aantalw2001_ander</f>
        <v>9</v>
      </c>
      <c r="C19" s="166" t="s">
        <v>110</v>
      </c>
      <c r="D19" s="229"/>
      <c r="E19" s="15"/>
    </row>
    <row r="20" spans="1:7">
      <c r="A20" s="171" t="s">
        <v>72</v>
      </c>
      <c r="B20" s="37">
        <f>aantalw2001_propaan</f>
        <v>73</v>
      </c>
      <c r="C20" s="167">
        <f>IF(ISERROR(B20/SUM($B$20,$B$21,$B$22)*100),0,B20/SUM($B$20,$B$21,$B$22)*100)</f>
        <v>1.6251113089937665</v>
      </c>
      <c r="D20" s="229"/>
      <c r="E20" s="15"/>
    </row>
    <row r="21" spans="1:7">
      <c r="A21" s="171" t="s">
        <v>73</v>
      </c>
      <c r="B21" s="37">
        <f>aantalw2001_elektriciteit</f>
        <v>4328</v>
      </c>
      <c r="C21" s="167">
        <f>IF(ISERROR(B21/SUM($B$20,$B$21,$B$22)*100),0,B21/SUM($B$20,$B$21,$B$22)*100)</f>
        <v>96.349065004452356</v>
      </c>
      <c r="D21" s="229"/>
      <c r="E21" s="15"/>
    </row>
    <row r="22" spans="1:7">
      <c r="A22" s="171" t="s">
        <v>74</v>
      </c>
      <c r="B22" s="37">
        <f>aantalw2001_hout</f>
        <v>91</v>
      </c>
      <c r="C22" s="167">
        <f>IF(ISERROR(B22/SUM($B$20,$B$21,$B$22)*100),0,B22/SUM($B$20,$B$21,$B$22)*100)</f>
        <v>2.0258236865538737</v>
      </c>
      <c r="D22" s="229"/>
      <c r="E22" s="15"/>
    </row>
    <row r="23" spans="1:7">
      <c r="A23" s="171" t="s">
        <v>75</v>
      </c>
      <c r="B23" s="37">
        <f>aantalw2001_niet_gespec</f>
        <v>353</v>
      </c>
      <c r="C23" s="166" t="s">
        <v>110</v>
      </c>
      <c r="D23" s="228"/>
      <c r="E23" s="15"/>
    </row>
    <row r="24" spans="1:7">
      <c r="A24" s="171" t="s">
        <v>76</v>
      </c>
      <c r="B24" s="37">
        <f>aantalw2001_steenkool</f>
        <v>446</v>
      </c>
      <c r="C24" s="166" t="s">
        <v>110</v>
      </c>
      <c r="D24" s="229"/>
      <c r="E24" s="15"/>
    </row>
    <row r="25" spans="1:7">
      <c r="A25" s="171" t="s">
        <v>77</v>
      </c>
      <c r="B25" s="37">
        <f>aantalw2001_stookolie</f>
        <v>12961</v>
      </c>
      <c r="C25" s="166" t="s">
        <v>110</v>
      </c>
      <c r="D25" s="228"/>
      <c r="E25" s="52"/>
    </row>
    <row r="26" spans="1:7">
      <c r="A26" s="171" t="s">
        <v>78</v>
      </c>
      <c r="B26" s="37">
        <f>aantalw2001_WP</f>
        <v>14</v>
      </c>
      <c r="C26" s="166" t="s">
        <v>110</v>
      </c>
      <c r="D26" s="228"/>
      <c r="E26" s="15"/>
    </row>
    <row r="27" spans="1:7" s="15" customFormat="1">
      <c r="A27" s="171"/>
      <c r="B27" s="29"/>
      <c r="C27" s="36"/>
      <c r="D27" s="228"/>
    </row>
    <row r="28" spans="1:7" s="15" customFormat="1">
      <c r="A28" s="230" t="s">
        <v>836</v>
      </c>
      <c r="B28" s="37">
        <f>aantalHuishoudens2011</f>
        <v>25994</v>
      </c>
      <c r="C28" s="36"/>
      <c r="D28" s="228"/>
    </row>
    <row r="29" spans="1:7" s="15" customFormat="1">
      <c r="A29" s="230" t="s">
        <v>837</v>
      </c>
      <c r="B29" s="37">
        <f>SUM(HH_hh_gas_aantal,HH_rest_gas_aantal)</f>
        <v>13119</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13119</v>
      </c>
      <c r="C32" s="167">
        <f>IF(ISERROR(B32/SUM($B$32,$B$34,$B$35,$B$36,$B$38,$B$39)*100),0,B32/SUM($B$32,$B$34,$B$35,$B$36,$B$38,$B$39)*100)</f>
        <v>50.819291109819872</v>
      </c>
      <c r="D32" s="233"/>
      <c r="G32" s="15"/>
    </row>
    <row r="33" spans="1:7">
      <c r="A33" s="171" t="s">
        <v>71</v>
      </c>
      <c r="B33" s="34" t="s">
        <v>110</v>
      </c>
      <c r="C33" s="167"/>
      <c r="D33" s="233"/>
      <c r="G33" s="15"/>
    </row>
    <row r="34" spans="1:7">
      <c r="A34" s="171" t="s">
        <v>72</v>
      </c>
      <c r="B34" s="33">
        <f>IF((($B$28-$B$32-$B$39-$B$77-$B$38)*C20/100)&lt;0,0,($B$28-$B$32-$B$39-$B$77-$B$38)*C20/100)</f>
        <v>131.77377560106856</v>
      </c>
      <c r="C34" s="167">
        <f>IF(ISERROR(B34/SUM($B$32,$B$34,$B$35,$B$36,$B$38,$B$39)*100),0,B34/SUM($B$32,$B$34,$B$35,$B$36,$B$38,$B$39)*100)</f>
        <v>0.51045429246976004</v>
      </c>
      <c r="D34" s="233"/>
      <c r="G34" s="15"/>
    </row>
    <row r="35" spans="1:7">
      <c r="A35" s="171" t="s">
        <v>73</v>
      </c>
      <c r="B35" s="33">
        <f>IF((($B$28-$B$32-$B$39-$B$77-$B$38)*C21/100)&lt;0,0,($B$28-$B$32-$B$39-$B$77-$B$38)*C21/100)</f>
        <v>7812.5602849510242</v>
      </c>
      <c r="C35" s="167">
        <f>IF(ISERROR(B35/SUM($B$32,$B$34,$B$35,$B$36,$B$38,$B$39)*100),0,B35/SUM($B$32,$B$34,$B$35,$B$36,$B$38,$B$39)*100)</f>
        <v>30.263646271357832</v>
      </c>
      <c r="D35" s="233"/>
      <c r="G35" s="15"/>
    </row>
    <row r="36" spans="1:7">
      <c r="A36" s="171" t="s">
        <v>74</v>
      </c>
      <c r="B36" s="33">
        <f>IF((($B$28-$B$32-$B$39-$B$77-$B$38)*C22/100)&lt;0,0,($B$28-$B$32-$B$39-$B$77-$B$38)*C22/100)</f>
        <v>164.26593944790741</v>
      </c>
      <c r="C36" s="167">
        <f>IF(ISERROR(B36/SUM($B$32,$B$34,$B$35,$B$36,$B$38,$B$39)*100),0,B36/SUM($B$32,$B$34,$B$35,$B$36,$B$38,$B$39)*100)</f>
        <v>0.63631973444860512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4587.3999999999996</v>
      </c>
      <c r="C39" s="167">
        <f>IF(ISERROR(B39/SUM($B$32,$B$34,$B$35,$B$36,$B$38,$B$39)*100),0,B39/SUM($B$32,$B$34,$B$35,$B$36,$B$38,$B$39)*100)</f>
        <v>17.770288591903931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13119</v>
      </c>
      <c r="C44" s="34" t="s">
        <v>110</v>
      </c>
      <c r="D44" s="174"/>
    </row>
    <row r="45" spans="1:7">
      <c r="A45" s="171" t="s">
        <v>71</v>
      </c>
      <c r="B45" s="33" t="str">
        <f t="shared" si="0"/>
        <v>-</v>
      </c>
      <c r="C45" s="34" t="s">
        <v>110</v>
      </c>
      <c r="D45" s="174"/>
    </row>
    <row r="46" spans="1:7">
      <c r="A46" s="171" t="s">
        <v>72</v>
      </c>
      <c r="B46" s="33">
        <f t="shared" si="0"/>
        <v>131.77377560106856</v>
      </c>
      <c r="C46" s="34" t="s">
        <v>110</v>
      </c>
      <c r="D46" s="174"/>
    </row>
    <row r="47" spans="1:7">
      <c r="A47" s="171" t="s">
        <v>73</v>
      </c>
      <c r="B47" s="33">
        <f t="shared" si="0"/>
        <v>7812.5602849510242</v>
      </c>
      <c r="C47" s="34" t="s">
        <v>110</v>
      </c>
      <c r="D47" s="174"/>
    </row>
    <row r="48" spans="1:7">
      <c r="A48" s="171" t="s">
        <v>74</v>
      </c>
      <c r="B48" s="33">
        <f t="shared" si="0"/>
        <v>164.26593944790741</v>
      </c>
      <c r="C48" s="33">
        <f>B48*10</f>
        <v>1642.6593944790741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4587.3999999999996</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992</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179</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160814.27773399997</v>
      </c>
      <c r="C5" s="17">
        <f>IF(ISERROR('Eigen informatie GS &amp; warmtenet'!B60),0,'Eigen informatie GS &amp; warmtenet'!B60)</f>
        <v>0</v>
      </c>
      <c r="D5" s="30">
        <f>SUM(D6:D12)</f>
        <v>131256.56971064</v>
      </c>
      <c r="E5" s="17">
        <f>SUM(E6:E12)</f>
        <v>2105.8830285375639</v>
      </c>
      <c r="F5" s="17">
        <f>SUM(F6:F12)</f>
        <v>17680.136617965705</v>
      </c>
      <c r="G5" s="18"/>
      <c r="H5" s="17"/>
      <c r="I5" s="17"/>
      <c r="J5" s="17">
        <f>SUM(J6:J12)</f>
        <v>0.31349417989100925</v>
      </c>
      <c r="K5" s="17"/>
      <c r="L5" s="17"/>
      <c r="M5" s="17"/>
      <c r="N5" s="17">
        <f>SUM(N6:N12)</f>
        <v>12491.257138937859</v>
      </c>
      <c r="O5" s="17">
        <f>B38*B39*B40</f>
        <v>24.486303829205774</v>
      </c>
      <c r="P5" s="17">
        <f>B46*B47*B48/1000-B46*B47*B48/1000/B49</f>
        <v>367.77396814546512</v>
      </c>
      <c r="R5" s="32"/>
    </row>
    <row r="6" spans="1:18">
      <c r="A6" s="32" t="s">
        <v>53</v>
      </c>
      <c r="B6" s="37">
        <f>B26</f>
        <v>42452.188206999999</v>
      </c>
      <c r="C6" s="33"/>
      <c r="D6" s="37">
        <f>IF(ISERROR(TER_kantoor_gas_kWh/1000),0,TER_kantoor_gas_kWh/1000)*0.902</f>
        <v>45620.342514604003</v>
      </c>
      <c r="E6" s="33">
        <f>$C$26*'E Balans VL '!I12/100/3.6*1000000</f>
        <v>341.59914725786342</v>
      </c>
      <c r="F6" s="33">
        <f>$C$26*('E Balans VL '!L12+'E Balans VL '!N12)/100/3.6*1000000</f>
        <v>5190.2265910280476</v>
      </c>
      <c r="G6" s="34"/>
      <c r="H6" s="33"/>
      <c r="I6" s="33"/>
      <c r="J6" s="33">
        <f>$C$26*('E Balans VL '!D12+'E Balans VL '!E12)/100/3.6*1000000</f>
        <v>0</v>
      </c>
      <c r="K6" s="33"/>
      <c r="L6" s="33"/>
      <c r="M6" s="33"/>
      <c r="N6" s="33">
        <f>$C$26*'E Balans VL '!Y12/100/3.6*1000000</f>
        <v>22.815960617262288</v>
      </c>
      <c r="O6" s="33"/>
      <c r="P6" s="33"/>
      <c r="R6" s="32"/>
    </row>
    <row r="7" spans="1:18">
      <c r="A7" s="32" t="s">
        <v>52</v>
      </c>
      <c r="B7" s="37">
        <f t="shared" ref="B7:B12" si="0">B27</f>
        <v>14666.986343</v>
      </c>
      <c r="C7" s="33"/>
      <c r="D7" s="37">
        <f>IF(ISERROR(TER_horeca_gas_kWh/1000),0,TER_horeca_gas_kWh/1000)*0.902</f>
        <v>17261.547493828002</v>
      </c>
      <c r="E7" s="33">
        <f>$C$27*'E Balans VL '!I9/100/3.6*1000000</f>
        <v>157.48741750194537</v>
      </c>
      <c r="F7" s="33">
        <f>$C$27*('E Balans VL '!L9+'E Balans VL '!N9)/100/3.6*1000000</f>
        <v>1764.0828018181539</v>
      </c>
      <c r="G7" s="34"/>
      <c r="H7" s="33"/>
      <c r="I7" s="33"/>
      <c r="J7" s="33">
        <f>$C$27*('E Balans VL '!D9+'E Balans VL '!E9)/100/3.6*1000000</f>
        <v>0</v>
      </c>
      <c r="K7" s="33"/>
      <c r="L7" s="33"/>
      <c r="M7" s="33"/>
      <c r="N7" s="33">
        <f>$C$27*'E Balans VL '!Y9/100/3.6*1000000</f>
        <v>2.1988785181168073</v>
      </c>
      <c r="O7" s="33"/>
      <c r="P7" s="33"/>
      <c r="R7" s="32"/>
    </row>
    <row r="8" spans="1:18">
      <c r="A8" s="6" t="s">
        <v>51</v>
      </c>
      <c r="B8" s="37">
        <f t="shared" si="0"/>
        <v>53085.820140000003</v>
      </c>
      <c r="C8" s="33"/>
      <c r="D8" s="37">
        <f>IF(ISERROR(TER_handel_gas_kWh/1000),0,TER_handel_gas_kWh/1000)*0.902</f>
        <v>28350.733506721997</v>
      </c>
      <c r="E8" s="33">
        <f>$C$28*'E Balans VL '!I13/100/3.6*1000000</f>
        <v>1424.6608918958209</v>
      </c>
      <c r="F8" s="33">
        <f>$C$28*('E Balans VL '!L13+'E Balans VL '!N13)/100/3.6*1000000</f>
        <v>5066.023388520367</v>
      </c>
      <c r="G8" s="34"/>
      <c r="H8" s="33"/>
      <c r="I8" s="33"/>
      <c r="J8" s="33">
        <f>$C$28*('E Balans VL '!D13+'E Balans VL '!E13)/100/3.6*1000000</f>
        <v>0</v>
      </c>
      <c r="K8" s="33"/>
      <c r="L8" s="33"/>
      <c r="M8" s="33"/>
      <c r="N8" s="33">
        <f>$C$28*'E Balans VL '!Y13/100/3.6*1000000</f>
        <v>21.043822709734549</v>
      </c>
      <c r="O8" s="33"/>
      <c r="P8" s="33"/>
      <c r="R8" s="32"/>
    </row>
    <row r="9" spans="1:18">
      <c r="A9" s="32" t="s">
        <v>50</v>
      </c>
      <c r="B9" s="37">
        <f t="shared" si="0"/>
        <v>28189.2657</v>
      </c>
      <c r="C9" s="33"/>
      <c r="D9" s="37">
        <f>IF(ISERROR(TER_gezond_gas_kWh/1000),0,TER_gezond_gas_kWh/1000)*0.902</f>
        <v>22104.153989213999</v>
      </c>
      <c r="E9" s="33">
        <f>$C$29*'E Balans VL '!I10/100/3.6*1000000</f>
        <v>52.835862745291273</v>
      </c>
      <c r="F9" s="33">
        <f>$C$29*('E Balans VL '!L10+'E Balans VL '!N10)/100/3.6*1000000</f>
        <v>2317.4148477708422</v>
      </c>
      <c r="G9" s="34"/>
      <c r="H9" s="33"/>
      <c r="I9" s="33"/>
      <c r="J9" s="33">
        <f>$C$29*('E Balans VL '!D10+'E Balans VL '!E10)/100/3.6*1000000</f>
        <v>0</v>
      </c>
      <c r="K9" s="33"/>
      <c r="L9" s="33"/>
      <c r="M9" s="33"/>
      <c r="N9" s="33">
        <f>$C$29*'E Balans VL '!Y10/100/3.6*1000000</f>
        <v>219.33351936026696</v>
      </c>
      <c r="O9" s="33"/>
      <c r="P9" s="33"/>
      <c r="R9" s="32"/>
    </row>
    <row r="10" spans="1:18">
      <c r="A10" s="32" t="s">
        <v>49</v>
      </c>
      <c r="B10" s="37">
        <f t="shared" si="0"/>
        <v>18466.845614000002</v>
      </c>
      <c r="C10" s="33"/>
      <c r="D10" s="37">
        <f>IF(ISERROR(TER_ander_gas_kWh/1000),0,TER_ander_gas_kWh/1000)*0.902</f>
        <v>10384.169691500001</v>
      </c>
      <c r="E10" s="33">
        <f>$C$30*'E Balans VL '!I14/100/3.6*1000000</f>
        <v>28.466829635636341</v>
      </c>
      <c r="F10" s="33">
        <f>$C$30*('E Balans VL '!L14+'E Balans VL '!N14)/100/3.6*1000000</f>
        <v>2866.9828796265169</v>
      </c>
      <c r="G10" s="34"/>
      <c r="H10" s="33"/>
      <c r="I10" s="33"/>
      <c r="J10" s="33">
        <f>$C$30*('E Balans VL '!D14+'E Balans VL '!E14)/100/3.6*1000000</f>
        <v>0.31349417989100925</v>
      </c>
      <c r="K10" s="33"/>
      <c r="L10" s="33"/>
      <c r="M10" s="33"/>
      <c r="N10" s="33">
        <f>$C$30*'E Balans VL '!Y14/100/3.6*1000000</f>
        <v>12217.073200263179</v>
      </c>
      <c r="O10" s="33"/>
      <c r="P10" s="33"/>
      <c r="R10" s="32"/>
    </row>
    <row r="11" spans="1:18">
      <c r="A11" s="32" t="s">
        <v>54</v>
      </c>
      <c r="B11" s="37">
        <f t="shared" si="0"/>
        <v>3953.17173</v>
      </c>
      <c r="C11" s="33"/>
      <c r="D11" s="37">
        <f>IF(ISERROR(TER_onderwijs_gas_kWh/1000),0,TER_onderwijs_gas_kWh/1000)*0.902</f>
        <v>7535.6225147719997</v>
      </c>
      <c r="E11" s="33">
        <f>$C$31*'E Balans VL '!I11/100/3.6*1000000</f>
        <v>100.83287950100662</v>
      </c>
      <c r="F11" s="33">
        <f>$C$31*('E Balans VL '!L11+'E Balans VL '!N11)/100/3.6*1000000</f>
        <v>475.40610920177852</v>
      </c>
      <c r="G11" s="34"/>
      <c r="H11" s="33"/>
      <c r="I11" s="33"/>
      <c r="J11" s="33">
        <f>$C$31*('E Balans VL '!D11+'E Balans VL '!E11)/100/3.6*1000000</f>
        <v>0</v>
      </c>
      <c r="K11" s="33"/>
      <c r="L11" s="33"/>
      <c r="M11" s="33"/>
      <c r="N11" s="33">
        <f>$C$31*'E Balans VL '!Y11/100/3.6*1000000</f>
        <v>8.7917574692986378</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1687.5</v>
      </c>
      <c r="C13" s="247">
        <f ca="1">'lokale energieproductie'!O91+'lokale energieproductie'!O60</f>
        <v>96.428571428571431</v>
      </c>
      <c r="D13" s="310">
        <f ca="1">('lokale energieproductie'!P60+'lokale energieproductie'!P91)*(-1)</f>
        <v>-192.85714285714286</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-4628.5714285714284</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162501.77773399997</v>
      </c>
      <c r="C16" s="21">
        <f t="shared" ca="1" si="1"/>
        <v>96.428571428571431</v>
      </c>
      <c r="D16" s="21">
        <f t="shared" ca="1" si="1"/>
        <v>131063.71256778286</v>
      </c>
      <c r="E16" s="21">
        <f t="shared" si="1"/>
        <v>2105.8830285375639</v>
      </c>
      <c r="F16" s="21">
        <f t="shared" ca="1" si="1"/>
        <v>17680.136617965705</v>
      </c>
      <c r="G16" s="21">
        <f t="shared" si="1"/>
        <v>0</v>
      </c>
      <c r="H16" s="21">
        <f t="shared" si="1"/>
        <v>0</v>
      </c>
      <c r="I16" s="21">
        <f t="shared" si="1"/>
        <v>0</v>
      </c>
      <c r="J16" s="21">
        <f t="shared" si="1"/>
        <v>0.31349417989100925</v>
      </c>
      <c r="K16" s="21">
        <f t="shared" si="1"/>
        <v>0</v>
      </c>
      <c r="L16" s="21">
        <f t="shared" ca="1" si="1"/>
        <v>0</v>
      </c>
      <c r="M16" s="21">
        <f t="shared" si="1"/>
        <v>0</v>
      </c>
      <c r="N16" s="21">
        <f t="shared" ca="1" si="1"/>
        <v>7862.6857103664306</v>
      </c>
      <c r="O16" s="21">
        <f>O5</f>
        <v>24.486303829205774</v>
      </c>
      <c r="P16" s="21">
        <f>P5</f>
        <v>367.77396814546512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0.17482424538929497</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28409.250666765482</v>
      </c>
      <c r="C20" s="23">
        <f t="shared" ref="C20:P20" ca="1" si="2">C16*C18</f>
        <v>22.915966386554619</v>
      </c>
      <c r="D20" s="23">
        <f t="shared" ca="1" si="2"/>
        <v>26474.86993869214</v>
      </c>
      <c r="E20" s="23">
        <f t="shared" si="2"/>
        <v>478.03544747802704</v>
      </c>
      <c r="F20" s="23">
        <f t="shared" ca="1" si="2"/>
        <v>4720.5964769968432</v>
      </c>
      <c r="G20" s="23">
        <f t="shared" si="2"/>
        <v>0</v>
      </c>
      <c r="H20" s="23">
        <f t="shared" si="2"/>
        <v>0</v>
      </c>
      <c r="I20" s="23">
        <f t="shared" si="2"/>
        <v>0</v>
      </c>
      <c r="J20" s="23">
        <f t="shared" si="2"/>
        <v>0.11097693968141727</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42452.188206999999</v>
      </c>
      <c r="C26" s="39">
        <f>IF(ISERROR(B26*3.6/1000000/'E Balans VL '!Z12*100),0,B26*3.6/1000000/'E Balans VL '!Z12*100)</f>
        <v>0.90058433351935396</v>
      </c>
      <c r="D26" s="237" t="s">
        <v>716</v>
      </c>
      <c r="F26" s="6"/>
    </row>
    <row r="27" spans="1:18">
      <c r="A27" s="231" t="s">
        <v>52</v>
      </c>
      <c r="B27" s="33">
        <f>IF(ISERROR(TER_horeca_ele_kWh/1000),0,TER_horeca_ele_kWh/1000)</f>
        <v>14666.986343</v>
      </c>
      <c r="C27" s="39">
        <f>IF(ISERROR(B27*3.6/1000000/'E Balans VL '!Z9*100),0,B27*3.6/1000000/'E Balans VL '!Z9*100)</f>
        <v>1.1045539992225997</v>
      </c>
      <c r="D27" s="237" t="s">
        <v>716</v>
      </c>
      <c r="F27" s="6"/>
    </row>
    <row r="28" spans="1:18">
      <c r="A28" s="171" t="s">
        <v>51</v>
      </c>
      <c r="B28" s="33">
        <f>IF(ISERROR(TER_handel_ele_kWh/1000),0,TER_handel_ele_kWh/1000)</f>
        <v>53085.820140000003</v>
      </c>
      <c r="C28" s="39">
        <f>IF(ISERROR(B28*3.6/1000000/'E Balans VL '!Z13*100),0,B28*3.6/1000000/'E Balans VL '!Z13*100)</f>
        <v>1.5408932609277195</v>
      </c>
      <c r="D28" s="237" t="s">
        <v>716</v>
      </c>
      <c r="F28" s="6"/>
    </row>
    <row r="29" spans="1:18">
      <c r="A29" s="231" t="s">
        <v>50</v>
      </c>
      <c r="B29" s="33">
        <f>IF(ISERROR(TER_gezond_ele_kWh/1000),0,TER_gezond_ele_kWh/1000)</f>
        <v>28189.2657</v>
      </c>
      <c r="C29" s="39">
        <f>IF(ISERROR(B29*3.6/1000000/'E Balans VL '!Z10*100),0,B29*3.6/1000000/'E Balans VL '!Z10*100)</f>
        <v>2.8429210629135402</v>
      </c>
      <c r="D29" s="237" t="s">
        <v>716</v>
      </c>
      <c r="F29" s="6"/>
    </row>
    <row r="30" spans="1:18">
      <c r="A30" s="231" t="s">
        <v>49</v>
      </c>
      <c r="B30" s="33">
        <f>IF(ISERROR(TER_ander_ele_kWh/1000),0,TER_ander_ele_kWh/1000)</f>
        <v>18466.845614000002</v>
      </c>
      <c r="C30" s="39">
        <f>IF(ISERROR(B30*3.6/1000000/'E Balans VL '!Z14*100),0,B30*3.6/1000000/'E Balans VL '!Z14*100)</f>
        <v>1.3400215832632489</v>
      </c>
      <c r="D30" s="237" t="s">
        <v>716</v>
      </c>
      <c r="F30" s="6"/>
    </row>
    <row r="31" spans="1:18">
      <c r="A31" s="231" t="s">
        <v>54</v>
      </c>
      <c r="B31" s="33">
        <f>IF(ISERROR(TER_onderwijs_ele_kWh/1000),0,TER_onderwijs_ele_kWh/1000)</f>
        <v>3953.17173</v>
      </c>
      <c r="C31" s="39">
        <f>IF(ISERROR(B31*3.6/1000000/'E Balans VL '!Z11*100),0,B31*3.6/1000000/'E Balans VL '!Z11*100)</f>
        <v>1.1268149236986884</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5</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7</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227004.48597799998</v>
      </c>
      <c r="C5" s="17">
        <f>IF(ISERROR('Eigen informatie GS &amp; warmtenet'!B61),0,'Eigen informatie GS &amp; warmtenet'!B61)</f>
        <v>0</v>
      </c>
      <c r="D5" s="30">
        <f>SUM(D6:D15)</f>
        <v>73357.810632106004</v>
      </c>
      <c r="E5" s="17">
        <f>SUM(E6:E15)</f>
        <v>32324.546585709322</v>
      </c>
      <c r="F5" s="17">
        <f>SUM(F6:F15)</f>
        <v>99835.892879776817</v>
      </c>
      <c r="G5" s="18"/>
      <c r="H5" s="17"/>
      <c r="I5" s="17"/>
      <c r="J5" s="17">
        <f>SUM(J6:J15)</f>
        <v>1748.2517294622505</v>
      </c>
      <c r="K5" s="17"/>
      <c r="L5" s="17"/>
      <c r="M5" s="17"/>
      <c r="N5" s="17">
        <f>SUM(N6:N15)</f>
        <v>9900.2333432186333</v>
      </c>
      <c r="O5" s="17">
        <f>B43*B44*B45</f>
        <v>0</v>
      </c>
      <c r="P5" s="17">
        <f>B51*B52*B53/1000-B51*B52*B53/1000/B54</f>
        <v>0</v>
      </c>
      <c r="R5" s="32"/>
    </row>
    <row r="6" spans="1:18">
      <c r="A6" s="6" t="s">
        <v>34</v>
      </c>
      <c r="B6" s="37">
        <f>IF( ISERROR(IND_ijzer_ele_kWh/1000),0,IND_ijzer_ele_kWh/1000)</f>
        <v>2401.88</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26761.487035000002</v>
      </c>
      <c r="C8" s="33"/>
      <c r="D8" s="37">
        <f>IF( ISERROR(IND_metaal_Gas_kWH/1000),0,IND_metaal_Gas_kWH/1000)*0.902</f>
        <v>42660.920272959993</v>
      </c>
      <c r="E8" s="33">
        <f>C30*'E Balans VL '!I18/100/3.6*1000000</f>
        <v>193.06534599047592</v>
      </c>
      <c r="F8" s="33">
        <f>C30*'E Balans VL '!L18/100/3.6*1000000+C30*'E Balans VL '!N18/100/3.6*1000000</f>
        <v>2531.1432262561598</v>
      </c>
      <c r="G8" s="34"/>
      <c r="H8" s="33"/>
      <c r="I8" s="33"/>
      <c r="J8" s="40">
        <f>C30*'E Balans VL '!D18/100/3.6*1000000+C30*'E Balans VL '!E18/100/3.6*1000000</f>
        <v>26.916859176106072</v>
      </c>
      <c r="K8" s="33"/>
      <c r="L8" s="33"/>
      <c r="M8" s="33"/>
      <c r="N8" s="33">
        <f>C30*'E Balans VL '!Y18/100/3.6*1000000</f>
        <v>338.33600002687643</v>
      </c>
      <c r="O8" s="33"/>
      <c r="P8" s="33"/>
      <c r="R8" s="32"/>
    </row>
    <row r="9" spans="1:18">
      <c r="A9" s="6" t="s">
        <v>32</v>
      </c>
      <c r="B9" s="37">
        <f t="shared" si="0"/>
        <v>115122.763943</v>
      </c>
      <c r="C9" s="33"/>
      <c r="D9" s="37">
        <f>IF( ISERROR(IND_andere_gas_kWh/1000),0,IND_andere_gas_kWh/1000)*0.902</f>
        <v>7218.1518626139996</v>
      </c>
      <c r="E9" s="33">
        <f>C31*'E Balans VL '!I19/100/3.6*1000000</f>
        <v>31902.057272816703</v>
      </c>
      <c r="F9" s="33">
        <f>C31*'E Balans VL '!L19/100/3.6*1000000+C31*'E Balans VL '!N19/100/3.6*1000000</f>
        <v>95413.99553816863</v>
      </c>
      <c r="G9" s="34"/>
      <c r="H9" s="33"/>
      <c r="I9" s="33"/>
      <c r="J9" s="40">
        <f>C31*'E Balans VL '!D19/100/3.6*1000000+C31*'E Balans VL '!E19/100/3.6*1000000</f>
        <v>0</v>
      </c>
      <c r="K9" s="33"/>
      <c r="L9" s="33"/>
      <c r="M9" s="33"/>
      <c r="N9" s="33">
        <f>C31*'E Balans VL '!Y19/100/3.6*1000000</f>
        <v>8356.5045584198997</v>
      </c>
      <c r="O9" s="33"/>
      <c r="P9" s="33"/>
      <c r="R9" s="32"/>
    </row>
    <row r="10" spans="1:18">
      <c r="A10" s="6" t="s">
        <v>40</v>
      </c>
      <c r="B10" s="37">
        <f t="shared" si="0"/>
        <v>9080.5580000000009</v>
      </c>
      <c r="C10" s="33"/>
      <c r="D10" s="37">
        <f>IF( ISERROR(IND_voed_gas_kWh/1000),0,IND_voed_gas_kWh/1000)*0.902</f>
        <v>5841.7551678420004</v>
      </c>
      <c r="E10" s="33">
        <f>C32*'E Balans VL '!I20/100/3.6*1000000</f>
        <v>16.075663442191804</v>
      </c>
      <c r="F10" s="33">
        <f>C32*'E Balans VL '!L20/100/3.6*1000000+C32*'E Balans VL '!N20/100/3.6*1000000</f>
        <v>490.43061226363415</v>
      </c>
      <c r="G10" s="34"/>
      <c r="H10" s="33"/>
      <c r="I10" s="33"/>
      <c r="J10" s="40">
        <f>C32*'E Balans VL '!D20/100/3.6*1000000+C32*'E Balans VL '!E20/100/3.6*1000000</f>
        <v>0</v>
      </c>
      <c r="K10" s="33"/>
      <c r="L10" s="33"/>
      <c r="M10" s="33"/>
      <c r="N10" s="33">
        <f>C32*'E Balans VL '!Y20/100/3.6*1000000</f>
        <v>527.64976888559727</v>
      </c>
      <c r="O10" s="33"/>
      <c r="P10" s="33"/>
      <c r="R10" s="32"/>
    </row>
    <row r="11" spans="1:18">
      <c r="A11" s="6" t="s">
        <v>39</v>
      </c>
      <c r="B11" s="37">
        <f t="shared" si="0"/>
        <v>14117.177</v>
      </c>
      <c r="C11" s="33"/>
      <c r="D11" s="37">
        <f>IF( ISERROR(IND_textiel_gas_kWh/1000),0,IND_textiel_gas_kWh/1000)*0.902</f>
        <v>6695.2783125580008</v>
      </c>
      <c r="E11" s="33">
        <f>C33*'E Balans VL '!I21/100/3.6*1000000</f>
        <v>49.764514216964578</v>
      </c>
      <c r="F11" s="33">
        <f>C33*'E Balans VL '!L21/100/3.6*1000000+C33*'E Balans VL '!N21/100/3.6*1000000</f>
        <v>414.36025523072647</v>
      </c>
      <c r="G11" s="34"/>
      <c r="H11" s="33"/>
      <c r="I11" s="33"/>
      <c r="J11" s="40">
        <f>C33*'E Balans VL '!D21/100/3.6*1000000+C33*'E Balans VL '!E21/100/3.6*1000000</f>
        <v>0</v>
      </c>
      <c r="K11" s="33"/>
      <c r="L11" s="33"/>
      <c r="M11" s="33"/>
      <c r="N11" s="33">
        <f>C33*'E Balans VL '!Y21/100/3.6*1000000</f>
        <v>622.00079779867747</v>
      </c>
      <c r="O11" s="33"/>
      <c r="P11" s="33"/>
      <c r="R11" s="32"/>
    </row>
    <row r="12" spans="1:18">
      <c r="A12" s="6" t="s">
        <v>36</v>
      </c>
      <c r="B12" s="37">
        <f t="shared" si="0"/>
        <v>656.72</v>
      </c>
      <c r="C12" s="33"/>
      <c r="D12" s="37">
        <f>IF( ISERROR(IND_min_gas_kWh/1000),0,IND_min_gas_kWh/1000)*0.902</f>
        <v>452.04361399999999</v>
      </c>
      <c r="E12" s="33">
        <f>C34*'E Balans VL '!I22/100/3.6*1000000</f>
        <v>28.919606257441085</v>
      </c>
      <c r="F12" s="33">
        <f>C34*'E Balans VL '!L22/100/3.6*1000000+C34*'E Balans VL '!N22/100/3.6*1000000</f>
        <v>256.80404200468837</v>
      </c>
      <c r="G12" s="34"/>
      <c r="H12" s="33"/>
      <c r="I12" s="33"/>
      <c r="J12" s="40">
        <f>C34*'E Balans VL '!D22/100/3.6*1000000+C34*'E Balans VL '!E22/100/3.6*1000000</f>
        <v>0.1994035291762965</v>
      </c>
      <c r="K12" s="33"/>
      <c r="L12" s="33"/>
      <c r="M12" s="33"/>
      <c r="N12" s="33">
        <f>C34*'E Balans VL '!Y22/100/3.6*1000000</f>
        <v>162.45262604786808</v>
      </c>
      <c r="O12" s="33"/>
      <c r="P12" s="33"/>
      <c r="R12" s="32"/>
    </row>
    <row r="13" spans="1:18">
      <c r="A13" s="6" t="s">
        <v>38</v>
      </c>
      <c r="B13" s="37">
        <f t="shared" si="0"/>
        <v>15708.297</v>
      </c>
      <c r="C13" s="33"/>
      <c r="D13" s="37">
        <f>IF( ISERROR(IND_papier_gas_kWh/1000),0,IND_papier_gas_kWh/1000)*0.902</f>
        <v>7191.9626019999996</v>
      </c>
      <c r="E13" s="33">
        <f>C35*'E Balans VL '!I23/100/3.6*1000000</f>
        <v>23.112298804789837</v>
      </c>
      <c r="F13" s="33">
        <f>C35*'E Balans VL '!L23/100/3.6*1000000+C35*'E Balans VL '!N23/100/3.6*1000000</f>
        <v>168.19355100483773</v>
      </c>
      <c r="G13" s="34"/>
      <c r="H13" s="33"/>
      <c r="I13" s="33"/>
      <c r="J13" s="40">
        <f>C35*'E Balans VL '!D23/100/3.6*1000000+C35*'E Balans VL '!E23/100/3.6*1000000</f>
        <v>1718.5757793200298</v>
      </c>
      <c r="K13" s="33"/>
      <c r="L13" s="33"/>
      <c r="M13" s="33"/>
      <c r="N13" s="33">
        <f>C35*'E Balans VL '!Y23/100/3.6*1000000</f>
        <v>-142.30371088796846</v>
      </c>
      <c r="O13" s="33"/>
      <c r="P13" s="33"/>
      <c r="R13" s="32"/>
    </row>
    <row r="14" spans="1:18">
      <c r="A14" s="6" t="s">
        <v>33</v>
      </c>
      <c r="B14" s="37">
        <f t="shared" si="0"/>
        <v>42845.758999999998</v>
      </c>
      <c r="C14" s="33"/>
      <c r="D14" s="37">
        <f>IF( ISERROR(IND_chemie_gas_kWh/1000),0,IND_chemie_gas_kWh/1000)*0.902</f>
        <v>2196.898953546</v>
      </c>
      <c r="E14" s="33">
        <f>C36*'E Balans VL '!I24/100/3.6*1000000</f>
        <v>96.908476905890808</v>
      </c>
      <c r="F14" s="33">
        <f>C36*'E Balans VL '!L24/100/3.6*1000000+C36*'E Balans VL '!N24/100/3.6*1000000</f>
        <v>505.87864284512978</v>
      </c>
      <c r="G14" s="34"/>
      <c r="H14" s="33"/>
      <c r="I14" s="33"/>
      <c r="J14" s="40">
        <f>C36*'E Balans VL '!D24/100/3.6*1000000+C36*'E Balans VL '!E24/100/3.6*1000000</f>
        <v>0</v>
      </c>
      <c r="K14" s="33"/>
      <c r="L14" s="33"/>
      <c r="M14" s="33"/>
      <c r="N14" s="33">
        <f>C36*'E Balans VL '!Y24/100/3.6*1000000</f>
        <v>23.534534117685382</v>
      </c>
      <c r="O14" s="33"/>
      <c r="P14" s="33"/>
      <c r="R14" s="32"/>
    </row>
    <row r="15" spans="1:18">
      <c r="A15" s="6" t="s">
        <v>269</v>
      </c>
      <c r="B15" s="37">
        <f t="shared" si="0"/>
        <v>309.84399999999999</v>
      </c>
      <c r="C15" s="33"/>
      <c r="D15" s="37">
        <f>IF( ISERROR(IND_rest_gas_kWh/1000),0,IND_rest_gas_kWh/1000)*0.902</f>
        <v>1100.7998465860001</v>
      </c>
      <c r="E15" s="33">
        <f>C37*'E Balans VL '!I15/100/3.6*1000000</f>
        <v>14.643407274867403</v>
      </c>
      <c r="F15" s="33">
        <f>C37*'E Balans VL '!L15/100/3.6*1000000+C37*'E Balans VL '!N15/100/3.6*1000000</f>
        <v>55.087012003020284</v>
      </c>
      <c r="G15" s="34"/>
      <c r="H15" s="33"/>
      <c r="I15" s="33"/>
      <c r="J15" s="40">
        <f>C37*'E Balans VL '!D15/100/3.6*1000000+C37*'E Balans VL '!E15/100/3.6*1000000</f>
        <v>2.5596874369382698</v>
      </c>
      <c r="K15" s="33"/>
      <c r="L15" s="33"/>
      <c r="M15" s="33"/>
      <c r="N15" s="33">
        <f>C37*'E Balans VL '!Y15/100/3.6*1000000</f>
        <v>12.058768809995954</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227004.48597799998</v>
      </c>
      <c r="C18" s="21">
        <f>C5+C16</f>
        <v>0</v>
      </c>
      <c r="D18" s="21">
        <f>MAX((D5+D16),0)</f>
        <v>73357.810632106004</v>
      </c>
      <c r="E18" s="21">
        <f>MAX((E5+E16),0)</f>
        <v>32324.546585709322</v>
      </c>
      <c r="F18" s="21">
        <f>MAX((F5+F16),0)</f>
        <v>99835.892879776817</v>
      </c>
      <c r="G18" s="21"/>
      <c r="H18" s="21"/>
      <c r="I18" s="21"/>
      <c r="J18" s="21">
        <f>MAX((J5+J16),0)</f>
        <v>1748.2517294622505</v>
      </c>
      <c r="K18" s="21"/>
      <c r="L18" s="21">
        <f>MAX((L5+L16),0)</f>
        <v>0</v>
      </c>
      <c r="M18" s="21"/>
      <c r="N18" s="21">
        <f>MAX((N5+N16),0)</f>
        <v>9900.2333432186333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0.17482424538929497</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39685.887961088636</v>
      </c>
      <c r="C22" s="23">
        <f ca="1">C18*C20</f>
        <v>0</v>
      </c>
      <c r="D22" s="23">
        <f>D18*D20</f>
        <v>14818.277747685413</v>
      </c>
      <c r="E22" s="23">
        <f>E18*E20</f>
        <v>7337.6720749560163</v>
      </c>
      <c r="F22" s="23">
        <f>F18*F20</f>
        <v>26656.183398900412</v>
      </c>
      <c r="G22" s="23"/>
      <c r="H22" s="23"/>
      <c r="I22" s="23"/>
      <c r="J22" s="23">
        <f>J18*J20</f>
        <v>618.88111222963664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26761.487035000002</v>
      </c>
      <c r="C30" s="39">
        <f>IF(ISERROR(B30*3.6/1000000/'E Balans VL '!Z18*100),0,B30*3.6/1000000/'E Balans VL '!Z18*100)</f>
        <v>1.5448988893066682</v>
      </c>
      <c r="D30" s="237" t="s">
        <v>716</v>
      </c>
    </row>
    <row r="31" spans="1:18">
      <c r="A31" s="6" t="s">
        <v>32</v>
      </c>
      <c r="B31" s="37">
        <f>IF( ISERROR(IND_ander_ele_kWh/1000),0,IND_ander_ele_kWh/1000)</f>
        <v>115122.763943</v>
      </c>
      <c r="C31" s="39">
        <f>IF(ISERROR(B31*3.6/1000000/'E Balans VL '!Z19*100),0,B31*3.6/1000000/'E Balans VL '!Z19*100)</f>
        <v>5.7903018703425424</v>
      </c>
      <c r="D31" s="237" t="s">
        <v>716</v>
      </c>
    </row>
    <row r="32" spans="1:18">
      <c r="A32" s="171" t="s">
        <v>40</v>
      </c>
      <c r="B32" s="37">
        <f>IF( ISERROR(IND_voed_ele_kWh/1000),0,IND_voed_ele_kWh/1000)</f>
        <v>9080.5580000000009</v>
      </c>
      <c r="C32" s="39">
        <f>IF(ISERROR(B32*3.6/1000000/'E Balans VL '!Z20*100),0,B32*3.6/1000000/'E Balans VL '!Z20*100)</f>
        <v>0.30243650400615757</v>
      </c>
      <c r="D32" s="237" t="s">
        <v>716</v>
      </c>
    </row>
    <row r="33" spans="1:5">
      <c r="A33" s="171" t="s">
        <v>39</v>
      </c>
      <c r="B33" s="37">
        <f>IF( ISERROR(IND_textiel_ele_kWh/1000),0,IND_textiel_ele_kWh/1000)</f>
        <v>14117.177</v>
      </c>
      <c r="C33" s="39">
        <f>IF(ISERROR(B33*3.6/1000000/'E Balans VL '!Z21*100),0,B33*3.6/1000000/'E Balans VL '!Z21*100)</f>
        <v>2.2010475697035936</v>
      </c>
      <c r="D33" s="237" t="s">
        <v>716</v>
      </c>
    </row>
    <row r="34" spans="1:5">
      <c r="A34" s="171" t="s">
        <v>36</v>
      </c>
      <c r="B34" s="37">
        <f>IF( ISERROR(IND_min_ele_kWh/1000),0,IND_min_ele_kWh/1000)</f>
        <v>656.72</v>
      </c>
      <c r="C34" s="39">
        <f>IF(ISERROR(B34*3.6/1000000/'E Balans VL '!Z22*100),0,B34*3.6/1000000/'E Balans VL '!Z22*100)</f>
        <v>0.12250046161000504</v>
      </c>
      <c r="D34" s="237" t="s">
        <v>716</v>
      </c>
    </row>
    <row r="35" spans="1:5">
      <c r="A35" s="171" t="s">
        <v>38</v>
      </c>
      <c r="B35" s="37">
        <f>IF( ISERROR(IND_papier_ele_kWh/1000),0,IND_papier_ele_kWh/1000)</f>
        <v>15708.297</v>
      </c>
      <c r="C35" s="39">
        <f>IF(ISERROR(B35*3.6/1000000/'E Balans VL '!Z22*100),0,B35*3.6/1000000/'E Balans VL '!Z22*100)</f>
        <v>2.9301279595673302</v>
      </c>
      <c r="D35" s="237" t="s">
        <v>716</v>
      </c>
    </row>
    <row r="36" spans="1:5">
      <c r="A36" s="171" t="s">
        <v>33</v>
      </c>
      <c r="B36" s="37">
        <f>IF( ISERROR(IND_chemie_ele_kWh/1000),0,IND_chemie_ele_kWh/1000)</f>
        <v>42845.758999999998</v>
      </c>
      <c r="C36" s="39">
        <f>IF(ISERROR(B36*3.6/1000000/'E Balans VL '!Z24*100),0,B36*3.6/1000000/'E Balans VL '!Z24*100)</f>
        <v>1.1301096815215064</v>
      </c>
      <c r="D36" s="237" t="s">
        <v>716</v>
      </c>
    </row>
    <row r="37" spans="1:5">
      <c r="A37" s="171" t="s">
        <v>269</v>
      </c>
      <c r="B37" s="37">
        <f>IF( ISERROR(IND_rest_ele_kWh/1000),0,IND_rest_ele_kWh/1000)</f>
        <v>309.84399999999999</v>
      </c>
      <c r="C37" s="39">
        <f>IF(ISERROR(B37*3.6/1000000/'E Balans VL '!Z15*100),0,B37*3.6/1000000/'E Balans VL '!Z15*100)</f>
        <v>2.4176305090673981E-3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335.88499999999999</v>
      </c>
      <c r="C5" s="17">
        <f>'Eigen informatie GS &amp; warmtenet'!B62</f>
        <v>0</v>
      </c>
      <c r="D5" s="30">
        <f>IF(ISERROR(SUM(LB_lb_gas_kWh,LB_rest_gas_kWh)/1000),0,SUM(LB_lb_gas_kWh,LB_rest_gas_kWh)/1000)*0.902</f>
        <v>238.85681600000001</v>
      </c>
      <c r="E5" s="17">
        <f>B17*'E Balans VL '!I25/3.6*1000000/100</f>
        <v>10.482860088791375</v>
      </c>
      <c r="F5" s="17">
        <f>B17*('E Balans VL '!L25/3.6*1000000+'E Balans VL '!N25/3.6*1000000)/100</f>
        <v>1187.054798336568</v>
      </c>
      <c r="G5" s="18"/>
      <c r="H5" s="17"/>
      <c r="I5" s="17"/>
      <c r="J5" s="17">
        <f>('E Balans VL '!D25+'E Balans VL '!E25)/3.6*1000000*landbouw!B17/100</f>
        <v>92.538646842060786</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335.88499999999999</v>
      </c>
      <c r="C8" s="21">
        <f>C5+C6</f>
        <v>0</v>
      </c>
      <c r="D8" s="21">
        <f>MAX((D5+D6),0)</f>
        <v>238.85681600000001</v>
      </c>
      <c r="E8" s="21">
        <f>MAX((E5+E6),0)</f>
        <v>10.482860088791375</v>
      </c>
      <c r="F8" s="21">
        <f>MAX((F5+F6),0)</f>
        <v>1187.054798336568</v>
      </c>
      <c r="G8" s="21"/>
      <c r="H8" s="21"/>
      <c r="I8" s="21"/>
      <c r="J8" s="21">
        <f>MAX((J5+J6),0)</f>
        <v>92.538646842060786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0.17482424538929497</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58.720841662583339</v>
      </c>
      <c r="C12" s="23">
        <f ca="1">C8*C10</f>
        <v>0</v>
      </c>
      <c r="D12" s="23">
        <f>D8*D10</f>
        <v>48.249076832000007</v>
      </c>
      <c r="E12" s="23">
        <f>E8*E10</f>
        <v>2.3796092401556423</v>
      </c>
      <c r="F12" s="23">
        <f>F8*F10</f>
        <v>316.94363115586367</v>
      </c>
      <c r="G12" s="23"/>
      <c r="H12" s="23"/>
      <c r="I12" s="23"/>
      <c r="J12" s="23">
        <f>J8*J10</f>
        <v>32.758680982089516</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4.9931713101756953E-2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4.1013246817044386</v>
      </c>
      <c r="C26" s="247">
        <f>B26*'GWP N2O_CH4'!B5</f>
        <v>86.127818315793206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0.36318024830465401</v>
      </c>
      <c r="C27" s="247">
        <f>B27*'GWP N2O_CH4'!B5</f>
        <v>7.6267852143977342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3.4956979126702335E-2</v>
      </c>
      <c r="C28" s="247">
        <f>B28*'GWP N2O_CH4'!B4</f>
        <v>10.836663529277724</v>
      </c>
      <c r="D28" s="50"/>
    </row>
    <row r="29" spans="1:4">
      <c r="A29" s="41" t="s">
        <v>276</v>
      </c>
      <c r="B29" s="247">
        <f>B34*'ha_N2O bodem landbouw'!B4</f>
        <v>2.6720480529310304</v>
      </c>
      <c r="C29" s="247">
        <f>B29*'GWP N2O_CH4'!B4</f>
        <v>828.33489640861944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5.8593202886430716E-4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7.5898096588999995E-4</v>
      </c>
      <c r="C5" s="463" t="s">
        <v>210</v>
      </c>
      <c r="D5" s="448">
        <f>SUM(D6:D11)</f>
        <v>2.9435029556182605E-3</v>
      </c>
      <c r="E5" s="448">
        <f>SUM(E6:E11)</f>
        <v>2.5114099986162999E-3</v>
      </c>
      <c r="F5" s="461" t="s">
        <v>210</v>
      </c>
      <c r="G5" s="448">
        <f>SUM(G6:G11)</f>
        <v>1.0035336942748538</v>
      </c>
      <c r="H5" s="448">
        <f>SUM(H6:H11)</f>
        <v>0.22354378895959123</v>
      </c>
      <c r="I5" s="463" t="s">
        <v>210</v>
      </c>
      <c r="J5" s="463" t="s">
        <v>210</v>
      </c>
      <c r="K5" s="463" t="s">
        <v>210</v>
      </c>
      <c r="L5" s="463" t="s">
        <v>210</v>
      </c>
      <c r="M5" s="448">
        <f>SUM(M6:M11)</f>
        <v>7.2556138437303269E-2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3.4149500124999998E-4</v>
      </c>
      <c r="C6" s="449"/>
      <c r="D6" s="917">
        <f>vkm_2011_GW_PW*SUMIFS(TableVerdeelsleutelVkm[CNG],TableVerdeelsleutelVkm[Voertuigtype],"Lichte voertuigen")*SUMIFS(TableECFTransport[EnergieConsumptieFactor (PJ per km)],TableECFTransport[Index],CONCATENATE($A6,"_CNG_CNG"))</f>
        <v>1.1874362870370001E-3</v>
      </c>
      <c r="E6" s="917">
        <f>vkm_2011_GW_PW*SUMIFS(TableVerdeelsleutelVkm[LPG],TableVerdeelsleutelVkm[Voertuigtype],"Lichte voertuigen")*SUMIFS(TableECFTransport[EnergieConsumptieFactor (PJ per km)],TableECFTransport[Index],CONCATENATE($A6,"_LPG_LPG"))</f>
        <v>9.3550415789999991E-4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0.25465510929957691</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8.9112374459994009E-2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2.0542267852937099E-2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9.1799017092934296E-2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2.3127130616000197E-5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5.293418125680141E-3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9.4983387614999988E-5</v>
      </c>
      <c r="C8" s="449"/>
      <c r="D8" s="451">
        <f>vkm_2011_NGW_PW*SUMIFS(TableVerdeelsleutelVkm[CNG],TableVerdeelsleutelVkm[Voertuigtype],"Lichte voertuigen")*SUMIFS(TableECFTransport[EnergieConsumptieFactor (PJ per km)],TableECFTransport[Index],CONCATENATE($A8,"_CNG_CNG"))</f>
        <v>5.8449910231944007E-4</v>
      </c>
      <c r="E8" s="451">
        <f>vkm_2011_NGW_PW*SUMIFS(TableVerdeelsleutelVkm[LPG],TableVerdeelsleutelVkm[Voertuigtype],"Lichte voertuigen")*SUMIFS(TableECFTransport[EnergieConsumptieFactor (PJ per km)],TableECFTransport[Index],CONCATENATE($A8,"_LPG_LPG"))</f>
        <v>4.26901742476425E-4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0.1078371275530093</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4.2741754659860694E-2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9.0282151442741699E-3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1.6614439886459959E-3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3.9494490658523891E-7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9.5802496831080185E-5</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3.22502577025E-4</v>
      </c>
      <c r="C10" s="449"/>
      <c r="D10" s="451">
        <f>vkm_2011_SW_PW*SUMIFS(TableVerdeelsleutelVkm[CNG],TableVerdeelsleutelVkm[Voertuigtype],"Lichte voertuigen")*SUMIFS(TableECFTransport[EnergieConsumptieFactor (PJ per km)],TableECFTransport[Index],CONCATENATE($A10,"_CNG_CNG"))</f>
        <v>1.1715675662618201E-3</v>
      </c>
      <c r="E10" s="451">
        <f>vkm_2011_SW_PW*SUMIFS(TableVerdeelsleutelVkm[LPG],TableVerdeelsleutelVkm[Voertuigtype],"Lichte voertuigen")*SUMIFS(TableECFTransport[EnergieConsumptieFactor (PJ per km)],TableECFTransport[Index],CONCATENATE($A10,"_LPG_LPG"))</f>
        <v>1.1490040982398749E-3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0.27783532339181827</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9.1592534247236623E-2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2.2041685154973734E-2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0.26974567294886914</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7.3603516977314819E-5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1.5554749662607044E-2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210.82804608055557</v>
      </c>
      <c r="C14" s="21"/>
      <c r="D14" s="21">
        <f t="shared" ref="D14:M14" si="0">((D5)*10^9/3600)+D12</f>
        <v>817.63970989396125</v>
      </c>
      <c r="E14" s="21">
        <f t="shared" si="0"/>
        <v>697.61388850452784</v>
      </c>
      <c r="F14" s="21"/>
      <c r="G14" s="21">
        <f t="shared" si="0"/>
        <v>278759.35952079273</v>
      </c>
      <c r="H14" s="21">
        <f t="shared" si="0"/>
        <v>62095.496933219787</v>
      </c>
      <c r="I14" s="21"/>
      <c r="J14" s="21"/>
      <c r="K14" s="21"/>
      <c r="L14" s="21"/>
      <c r="M14" s="21">
        <f t="shared" si="0"/>
        <v>20154.48289925091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0.17482424538929497</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36.857854062932638</v>
      </c>
      <c r="C18" s="23"/>
      <c r="D18" s="23">
        <f t="shared" ref="D18:M18" si="1">D14*D16</f>
        <v>165.16322139858019</v>
      </c>
      <c r="E18" s="23">
        <f t="shared" si="1"/>
        <v>158.35835269052782</v>
      </c>
      <c r="F18" s="23"/>
      <c r="G18" s="23">
        <f t="shared" si="1"/>
        <v>74428.748992051667</v>
      </c>
      <c r="H18" s="23">
        <f t="shared" si="1"/>
        <v>15461.778736371727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4.9157110117578187E-2</v>
      </c>
      <c r="H50" s="321">
        <f t="shared" si="2"/>
        <v>0</v>
      </c>
      <c r="I50" s="321">
        <f t="shared" si="2"/>
        <v>0</v>
      </c>
      <c r="J50" s="321">
        <f t="shared" si="2"/>
        <v>0</v>
      </c>
      <c r="K50" s="321">
        <f t="shared" si="2"/>
        <v>0</v>
      </c>
      <c r="L50" s="321">
        <f t="shared" si="2"/>
        <v>0</v>
      </c>
      <c r="M50" s="321">
        <f t="shared" si="2"/>
        <v>2.7321576192704425E-3</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4.9157110117578187E-2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2.7321576192704425E-3</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13654.752810438385</v>
      </c>
      <c r="H54" s="21">
        <f t="shared" si="3"/>
        <v>0</v>
      </c>
      <c r="I54" s="21">
        <f t="shared" si="3"/>
        <v>0</v>
      </c>
      <c r="J54" s="21">
        <f t="shared" si="3"/>
        <v>0</v>
      </c>
      <c r="K54" s="21">
        <f t="shared" si="3"/>
        <v>0</v>
      </c>
      <c r="L54" s="21">
        <f t="shared" si="3"/>
        <v>0</v>
      </c>
      <c r="M54" s="21">
        <f t="shared" si="3"/>
        <v>758.93267201956735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0.17482424538929497</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3645.8190003870491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166889.34973399999</v>
      </c>
      <c r="D10" s="712">
        <f ca="1">tertiair!C16</f>
        <v>96.428571428571431</v>
      </c>
      <c r="E10" s="712">
        <f ca="1">tertiair!D16</f>
        <v>131063.71256778286</v>
      </c>
      <c r="F10" s="712">
        <f>tertiair!E16</f>
        <v>2105.8830285375639</v>
      </c>
      <c r="G10" s="712">
        <f ca="1">tertiair!F16</f>
        <v>17680.136617965705</v>
      </c>
      <c r="H10" s="712">
        <f>tertiair!G16</f>
        <v>0</v>
      </c>
      <c r="I10" s="712">
        <f>tertiair!H16</f>
        <v>0</v>
      </c>
      <c r="J10" s="712">
        <f>tertiair!I16</f>
        <v>0</v>
      </c>
      <c r="K10" s="712">
        <f>tertiair!J16</f>
        <v>0.31349417989100925</v>
      </c>
      <c r="L10" s="712">
        <f>tertiair!K16</f>
        <v>0</v>
      </c>
      <c r="M10" s="712">
        <f ca="1">tertiair!L16</f>
        <v>0</v>
      </c>
      <c r="N10" s="712">
        <f>tertiair!M16</f>
        <v>0</v>
      </c>
      <c r="O10" s="712">
        <f ca="1">tertiair!N16</f>
        <v>7862.6857103664306</v>
      </c>
      <c r="P10" s="712">
        <f>tertiair!O16</f>
        <v>24.486303829205774</v>
      </c>
      <c r="Q10" s="713">
        <f>tertiair!P16</f>
        <v>367.77396814546512</v>
      </c>
      <c r="R10" s="715">
        <f ca="1">SUM(C10:Q10)</f>
        <v>326090.76999623561</v>
      </c>
      <c r="S10" s="67"/>
    </row>
    <row r="11" spans="1:19" s="474" customFormat="1">
      <c r="A11" s="834" t="s">
        <v>224</v>
      </c>
      <c r="B11" s="839"/>
      <c r="C11" s="712">
        <f>huishoudens!B8</f>
        <v>118860.11029741453</v>
      </c>
      <c r="D11" s="712">
        <f>huishoudens!C8</f>
        <v>0</v>
      </c>
      <c r="E11" s="712">
        <f>huishoudens!D8</f>
        <v>179000.545726376</v>
      </c>
      <c r="F11" s="712">
        <f>huishoudens!E8</f>
        <v>5162.134355532361</v>
      </c>
      <c r="G11" s="712">
        <f>huishoudens!F8</f>
        <v>95381.300066969881</v>
      </c>
      <c r="H11" s="712">
        <f>huishoudens!G8</f>
        <v>0</v>
      </c>
      <c r="I11" s="712">
        <f>huishoudens!H8</f>
        <v>0</v>
      </c>
      <c r="J11" s="712">
        <f>huishoudens!I8</f>
        <v>0</v>
      </c>
      <c r="K11" s="712">
        <f>huishoudens!J8</f>
        <v>0</v>
      </c>
      <c r="L11" s="712">
        <f>huishoudens!K8</f>
        <v>0</v>
      </c>
      <c r="M11" s="712">
        <f>huishoudens!L8</f>
        <v>0</v>
      </c>
      <c r="N11" s="712">
        <f>huishoudens!M8</f>
        <v>0</v>
      </c>
      <c r="O11" s="712">
        <f>huishoudens!N8</f>
        <v>11135.979114418144</v>
      </c>
      <c r="P11" s="712">
        <f>huishoudens!O8</f>
        <v>1968.0865536319354</v>
      </c>
      <c r="Q11" s="713">
        <f>huishoudens!P8</f>
        <v>1885.578716075619</v>
      </c>
      <c r="R11" s="715">
        <f>SUM(C11:Q11)</f>
        <v>413393.73483041849</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227004.48597799998</v>
      </c>
      <c r="D13" s="712">
        <f>industrie!C18</f>
        <v>0</v>
      </c>
      <c r="E13" s="712">
        <f>industrie!D18</f>
        <v>73357.810632106004</v>
      </c>
      <c r="F13" s="712">
        <f>industrie!E18</f>
        <v>32324.546585709322</v>
      </c>
      <c r="G13" s="712">
        <f>industrie!F18</f>
        <v>99835.892879776817</v>
      </c>
      <c r="H13" s="712">
        <f>industrie!G18</f>
        <v>0</v>
      </c>
      <c r="I13" s="712">
        <f>industrie!H18</f>
        <v>0</v>
      </c>
      <c r="J13" s="712">
        <f>industrie!I18</f>
        <v>0</v>
      </c>
      <c r="K13" s="712">
        <f>industrie!J18</f>
        <v>1748.2517294622505</v>
      </c>
      <c r="L13" s="712">
        <f>industrie!K18</f>
        <v>0</v>
      </c>
      <c r="M13" s="712">
        <f>industrie!L18</f>
        <v>0</v>
      </c>
      <c r="N13" s="712">
        <f>industrie!M18</f>
        <v>0</v>
      </c>
      <c r="O13" s="712">
        <f>industrie!N18</f>
        <v>9900.2333432186333</v>
      </c>
      <c r="P13" s="712">
        <f>industrie!O18</f>
        <v>0</v>
      </c>
      <c r="Q13" s="713">
        <f>industrie!P18</f>
        <v>0</v>
      </c>
      <c r="R13" s="715">
        <f>SUM(C13:Q13)</f>
        <v>444171.22114827303</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512753.9460094145</v>
      </c>
      <c r="D16" s="748">
        <f t="shared" ref="D16:R16" ca="1" si="0">SUM(D9:D15)</f>
        <v>96.428571428571431</v>
      </c>
      <c r="E16" s="748">
        <f t="shared" ca="1" si="0"/>
        <v>383422.06892626488</v>
      </c>
      <c r="F16" s="748">
        <f t="shared" si="0"/>
        <v>39592.56396977925</v>
      </c>
      <c r="G16" s="748">
        <f t="shared" ca="1" si="0"/>
        <v>212897.32956471242</v>
      </c>
      <c r="H16" s="748">
        <f t="shared" si="0"/>
        <v>0</v>
      </c>
      <c r="I16" s="748">
        <f t="shared" si="0"/>
        <v>0</v>
      </c>
      <c r="J16" s="748">
        <f t="shared" si="0"/>
        <v>0</v>
      </c>
      <c r="K16" s="748">
        <f t="shared" si="0"/>
        <v>1748.5652236421415</v>
      </c>
      <c r="L16" s="748">
        <f t="shared" si="0"/>
        <v>0</v>
      </c>
      <c r="M16" s="748">
        <f t="shared" ca="1" si="0"/>
        <v>0</v>
      </c>
      <c r="N16" s="748">
        <f t="shared" si="0"/>
        <v>0</v>
      </c>
      <c r="O16" s="748">
        <f t="shared" ca="1" si="0"/>
        <v>28898.898168003208</v>
      </c>
      <c r="P16" s="748">
        <f t="shared" si="0"/>
        <v>1992.5728574611412</v>
      </c>
      <c r="Q16" s="748">
        <f t="shared" si="0"/>
        <v>2253.352684221084</v>
      </c>
      <c r="R16" s="748">
        <f t="shared" ca="1" si="0"/>
        <v>1183655.7259749272</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13654.752810438385</v>
      </c>
      <c r="I19" s="712">
        <f>transport!H54</f>
        <v>0</v>
      </c>
      <c r="J19" s="712">
        <f>transport!I54</f>
        <v>0</v>
      </c>
      <c r="K19" s="712">
        <f>transport!J54</f>
        <v>0</v>
      </c>
      <c r="L19" s="712">
        <f>transport!K54</f>
        <v>0</v>
      </c>
      <c r="M19" s="712">
        <f>transport!L54</f>
        <v>0</v>
      </c>
      <c r="N19" s="712">
        <f>transport!M54</f>
        <v>758.93267201956735</v>
      </c>
      <c r="O19" s="712">
        <f>transport!N54</f>
        <v>0</v>
      </c>
      <c r="P19" s="712">
        <f>transport!O54</f>
        <v>0</v>
      </c>
      <c r="Q19" s="713">
        <f>transport!P54</f>
        <v>0</v>
      </c>
      <c r="R19" s="715">
        <f>SUM(C19:Q19)</f>
        <v>14413.685482457953</v>
      </c>
      <c r="S19" s="67"/>
    </row>
    <row r="20" spans="1:19" s="474" customFormat="1">
      <c r="A20" s="834" t="s">
        <v>306</v>
      </c>
      <c r="B20" s="839"/>
      <c r="C20" s="712">
        <f>transport!B14</f>
        <v>210.82804608055557</v>
      </c>
      <c r="D20" s="712">
        <f>transport!C14</f>
        <v>0</v>
      </c>
      <c r="E20" s="712">
        <f>transport!D14</f>
        <v>817.63970989396125</v>
      </c>
      <c r="F20" s="712">
        <f>transport!E14</f>
        <v>697.61388850452784</v>
      </c>
      <c r="G20" s="712">
        <f>transport!F14</f>
        <v>0</v>
      </c>
      <c r="H20" s="712">
        <f>transport!G14</f>
        <v>278759.35952079273</v>
      </c>
      <c r="I20" s="712">
        <f>transport!H14</f>
        <v>62095.496933219787</v>
      </c>
      <c r="J20" s="712">
        <f>transport!I14</f>
        <v>0</v>
      </c>
      <c r="K20" s="712">
        <f>transport!J14</f>
        <v>0</v>
      </c>
      <c r="L20" s="712">
        <f>transport!K14</f>
        <v>0</v>
      </c>
      <c r="M20" s="712">
        <f>transport!L14</f>
        <v>0</v>
      </c>
      <c r="N20" s="712">
        <f>transport!M14</f>
        <v>20154.48289925091</v>
      </c>
      <c r="O20" s="712">
        <f>transport!N14</f>
        <v>0</v>
      </c>
      <c r="P20" s="712">
        <f>transport!O14</f>
        <v>0</v>
      </c>
      <c r="Q20" s="713">
        <f>transport!P14</f>
        <v>0</v>
      </c>
      <c r="R20" s="715">
        <f>SUM(C20:Q20)</f>
        <v>362735.42099774251</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210.82804608055557</v>
      </c>
      <c r="D22" s="837">
        <f t="shared" ref="D22:R22" si="1">SUM(D18:D21)</f>
        <v>0</v>
      </c>
      <c r="E22" s="837">
        <f t="shared" si="1"/>
        <v>817.63970989396125</v>
      </c>
      <c r="F22" s="837">
        <f t="shared" si="1"/>
        <v>697.61388850452784</v>
      </c>
      <c r="G22" s="837">
        <f t="shared" si="1"/>
        <v>0</v>
      </c>
      <c r="H22" s="837">
        <f t="shared" si="1"/>
        <v>292414.11233123112</v>
      </c>
      <c r="I22" s="837">
        <f t="shared" si="1"/>
        <v>62095.496933219787</v>
      </c>
      <c r="J22" s="837">
        <f t="shared" si="1"/>
        <v>0</v>
      </c>
      <c r="K22" s="837">
        <f t="shared" si="1"/>
        <v>0</v>
      </c>
      <c r="L22" s="837">
        <f t="shared" si="1"/>
        <v>0</v>
      </c>
      <c r="M22" s="837">
        <f t="shared" si="1"/>
        <v>0</v>
      </c>
      <c r="N22" s="837">
        <f t="shared" si="1"/>
        <v>20913.415571270478</v>
      </c>
      <c r="O22" s="837">
        <f t="shared" si="1"/>
        <v>0</v>
      </c>
      <c r="P22" s="837">
        <f t="shared" si="1"/>
        <v>0</v>
      </c>
      <c r="Q22" s="837">
        <f t="shared" si="1"/>
        <v>0</v>
      </c>
      <c r="R22" s="837">
        <f t="shared" si="1"/>
        <v>377149.10648020048</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335.88499999999999</v>
      </c>
      <c r="D24" s="712">
        <f>+landbouw!C8</f>
        <v>0</v>
      </c>
      <c r="E24" s="712">
        <f>+landbouw!D8</f>
        <v>238.85681600000001</v>
      </c>
      <c r="F24" s="712">
        <f>+landbouw!E8</f>
        <v>10.482860088791375</v>
      </c>
      <c r="G24" s="712">
        <f>+landbouw!F8</f>
        <v>1187.054798336568</v>
      </c>
      <c r="H24" s="712">
        <f>+landbouw!G8</f>
        <v>0</v>
      </c>
      <c r="I24" s="712">
        <f>+landbouw!H8</f>
        <v>0</v>
      </c>
      <c r="J24" s="712">
        <f>+landbouw!I8</f>
        <v>0</v>
      </c>
      <c r="K24" s="712">
        <f>+landbouw!J8</f>
        <v>92.538646842060786</v>
      </c>
      <c r="L24" s="712">
        <f>+landbouw!K8</f>
        <v>0</v>
      </c>
      <c r="M24" s="712">
        <f>+landbouw!L8</f>
        <v>0</v>
      </c>
      <c r="N24" s="712">
        <f>+landbouw!M8</f>
        <v>0</v>
      </c>
      <c r="O24" s="712">
        <f>+landbouw!N8</f>
        <v>0</v>
      </c>
      <c r="P24" s="712">
        <f>+landbouw!O8</f>
        <v>0</v>
      </c>
      <c r="Q24" s="713">
        <f>+landbouw!P8</f>
        <v>0</v>
      </c>
      <c r="R24" s="715">
        <f>SUM(C24:Q24)</f>
        <v>1864.8181212674201</v>
      </c>
      <c r="S24" s="67"/>
    </row>
    <row r="25" spans="1:19" s="474" customFormat="1" ht="15" thickBot="1">
      <c r="A25" s="856" t="s">
        <v>734</v>
      </c>
      <c r="B25" s="982"/>
      <c r="C25" s="983">
        <f>IF(Onbekend_ele_kWh="---",0,Onbekend_ele_kWh)/1000+IF(REST_rest_ele_kWh="---",0,REST_rest_ele_kWh)/1000</f>
        <v>6730.3122000000003</v>
      </c>
      <c r="D25" s="983"/>
      <c r="E25" s="983">
        <f>IF(onbekend_gas_kWh="---",0,onbekend_gas_kWh)/1000+IF(REST_rest_gas_kWh="---",0,REST_rest_gas_kWh)/1000</f>
        <v>10869.674971</v>
      </c>
      <c r="F25" s="983"/>
      <c r="G25" s="983"/>
      <c r="H25" s="983"/>
      <c r="I25" s="983"/>
      <c r="J25" s="983"/>
      <c r="K25" s="983"/>
      <c r="L25" s="983"/>
      <c r="M25" s="983"/>
      <c r="N25" s="983"/>
      <c r="O25" s="983"/>
      <c r="P25" s="983"/>
      <c r="Q25" s="984"/>
      <c r="R25" s="715">
        <f>SUM(C25:Q25)</f>
        <v>17599.987171000001</v>
      </c>
      <c r="S25" s="67"/>
    </row>
    <row r="26" spans="1:19" s="474" customFormat="1" ht="15.75" thickBot="1">
      <c r="A26" s="720" t="s">
        <v>735</v>
      </c>
      <c r="B26" s="842"/>
      <c r="C26" s="837">
        <f>SUM(C24:C25)</f>
        <v>7066.1972000000005</v>
      </c>
      <c r="D26" s="837">
        <f t="shared" ref="D26:R26" si="2">SUM(D24:D25)</f>
        <v>0</v>
      </c>
      <c r="E26" s="837">
        <f t="shared" si="2"/>
        <v>11108.531787</v>
      </c>
      <c r="F26" s="837">
        <f t="shared" si="2"/>
        <v>10.482860088791375</v>
      </c>
      <c r="G26" s="837">
        <f t="shared" si="2"/>
        <v>1187.054798336568</v>
      </c>
      <c r="H26" s="837">
        <f t="shared" si="2"/>
        <v>0</v>
      </c>
      <c r="I26" s="837">
        <f t="shared" si="2"/>
        <v>0</v>
      </c>
      <c r="J26" s="837">
        <f t="shared" si="2"/>
        <v>0</v>
      </c>
      <c r="K26" s="837">
        <f t="shared" si="2"/>
        <v>92.538646842060786</v>
      </c>
      <c r="L26" s="837">
        <f t="shared" si="2"/>
        <v>0</v>
      </c>
      <c r="M26" s="837">
        <f t="shared" si="2"/>
        <v>0</v>
      </c>
      <c r="N26" s="837">
        <f t="shared" si="2"/>
        <v>0</v>
      </c>
      <c r="O26" s="837">
        <f t="shared" si="2"/>
        <v>0</v>
      </c>
      <c r="P26" s="837">
        <f t="shared" si="2"/>
        <v>0</v>
      </c>
      <c r="Q26" s="837">
        <f t="shared" si="2"/>
        <v>0</v>
      </c>
      <c r="R26" s="837">
        <f t="shared" si="2"/>
        <v>19464.805292267421</v>
      </c>
      <c r="S26" s="67"/>
    </row>
    <row r="27" spans="1:19" s="474" customFormat="1" ht="17.25" thickTop="1" thickBot="1">
      <c r="A27" s="721" t="s">
        <v>115</v>
      </c>
      <c r="B27" s="829"/>
      <c r="C27" s="722">
        <f ca="1">C22+C16+C26</f>
        <v>520030.97125549504</v>
      </c>
      <c r="D27" s="722">
        <f t="shared" ref="D27:R27" ca="1" si="3">D22+D16+D26</f>
        <v>96.428571428571431</v>
      </c>
      <c r="E27" s="722">
        <f t="shared" ca="1" si="3"/>
        <v>395348.24042315886</v>
      </c>
      <c r="F27" s="722">
        <f t="shared" si="3"/>
        <v>40300.660718372572</v>
      </c>
      <c r="G27" s="722">
        <f t="shared" ca="1" si="3"/>
        <v>214084.38436304897</v>
      </c>
      <c r="H27" s="722">
        <f t="shared" si="3"/>
        <v>292414.11233123112</v>
      </c>
      <c r="I27" s="722">
        <f t="shared" si="3"/>
        <v>62095.496933219787</v>
      </c>
      <c r="J27" s="722">
        <f t="shared" si="3"/>
        <v>0</v>
      </c>
      <c r="K27" s="722">
        <f t="shared" si="3"/>
        <v>1841.1038704842024</v>
      </c>
      <c r="L27" s="722">
        <f t="shared" si="3"/>
        <v>0</v>
      </c>
      <c r="M27" s="722">
        <f t="shared" ca="1" si="3"/>
        <v>0</v>
      </c>
      <c r="N27" s="722">
        <f t="shared" si="3"/>
        <v>20913.415571270478</v>
      </c>
      <c r="O27" s="722">
        <f t="shared" ca="1" si="3"/>
        <v>28898.898168003208</v>
      </c>
      <c r="P27" s="722">
        <f t="shared" si="3"/>
        <v>1992.5728574611412</v>
      </c>
      <c r="Q27" s="722">
        <f t="shared" si="3"/>
        <v>2253.352684221084</v>
      </c>
      <c r="R27" s="722">
        <f t="shared" ca="1" si="3"/>
        <v>1580269.6377473951</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29176.30463075668</v>
      </c>
      <c r="D40" s="712">
        <f ca="1">tertiair!C20</f>
        <v>22.915966386554619</v>
      </c>
      <c r="E40" s="712">
        <f ca="1">tertiair!D20</f>
        <v>26474.86993869214</v>
      </c>
      <c r="F40" s="712">
        <f>tertiair!E20</f>
        <v>478.03544747802704</v>
      </c>
      <c r="G40" s="712">
        <f ca="1">tertiair!F20</f>
        <v>4720.5964769968432</v>
      </c>
      <c r="H40" s="712">
        <f>tertiair!G20</f>
        <v>0</v>
      </c>
      <c r="I40" s="712">
        <f>tertiair!H20</f>
        <v>0</v>
      </c>
      <c r="J40" s="712">
        <f>tertiair!I20</f>
        <v>0</v>
      </c>
      <c r="K40" s="712">
        <f>tertiair!J20</f>
        <v>0.11097693968141727</v>
      </c>
      <c r="L40" s="712">
        <f>tertiair!K20</f>
        <v>0</v>
      </c>
      <c r="M40" s="712">
        <f ca="1">tertiair!L20</f>
        <v>0</v>
      </c>
      <c r="N40" s="712">
        <f>tertiair!M20</f>
        <v>0</v>
      </c>
      <c r="O40" s="712">
        <f ca="1">tertiair!N20</f>
        <v>0</v>
      </c>
      <c r="P40" s="712">
        <f>tertiair!O20</f>
        <v>0</v>
      </c>
      <c r="Q40" s="795">
        <f>tertiair!P20</f>
        <v>0</v>
      </c>
      <c r="R40" s="875">
        <f t="shared" ca="1" si="4"/>
        <v>60872.833437249923</v>
      </c>
    </row>
    <row r="41" spans="1:18">
      <c r="A41" s="847" t="s">
        <v>224</v>
      </c>
      <c r="B41" s="854"/>
      <c r="C41" s="712">
        <f ca="1">huishoudens!B12</f>
        <v>20779.629089633865</v>
      </c>
      <c r="D41" s="712">
        <f ca="1">huishoudens!C12</f>
        <v>0</v>
      </c>
      <c r="E41" s="712">
        <f>huishoudens!D12</f>
        <v>36158.110236727953</v>
      </c>
      <c r="F41" s="712">
        <f>huishoudens!E12</f>
        <v>1171.8044987058461</v>
      </c>
      <c r="G41" s="712">
        <f>huishoudens!F12</f>
        <v>25466.807117880959</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83576.350942948615</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39685.887961088636</v>
      </c>
      <c r="D43" s="712">
        <f ca="1">industrie!C22</f>
        <v>0</v>
      </c>
      <c r="E43" s="712">
        <f>industrie!D22</f>
        <v>14818.277747685413</v>
      </c>
      <c r="F43" s="712">
        <f>industrie!E22</f>
        <v>7337.6720749560163</v>
      </c>
      <c r="G43" s="712">
        <f>industrie!F22</f>
        <v>26656.183398900412</v>
      </c>
      <c r="H43" s="712">
        <f>industrie!G22</f>
        <v>0</v>
      </c>
      <c r="I43" s="712">
        <f>industrie!H22</f>
        <v>0</v>
      </c>
      <c r="J43" s="712">
        <f>industrie!I22</f>
        <v>0</v>
      </c>
      <c r="K43" s="712">
        <f>industrie!J22</f>
        <v>618.88111222963664</v>
      </c>
      <c r="L43" s="712">
        <f>industrie!K22</f>
        <v>0</v>
      </c>
      <c r="M43" s="712">
        <f>industrie!L22</f>
        <v>0</v>
      </c>
      <c r="N43" s="712">
        <f>industrie!M22</f>
        <v>0</v>
      </c>
      <c r="O43" s="712">
        <f>industrie!N22</f>
        <v>0</v>
      </c>
      <c r="P43" s="712">
        <f>industrie!O22</f>
        <v>0</v>
      </c>
      <c r="Q43" s="795">
        <f>industrie!P22</f>
        <v>0</v>
      </c>
      <c r="R43" s="874">
        <f t="shared" ca="1" si="4"/>
        <v>89116.902294860105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89641.821681479181</v>
      </c>
      <c r="D46" s="748">
        <f t="shared" ref="D46:Q46" ca="1" si="5">SUM(D39:D45)</f>
        <v>22.915966386554619</v>
      </c>
      <c r="E46" s="748">
        <f t="shared" ca="1" si="5"/>
        <v>77451.257923105499</v>
      </c>
      <c r="F46" s="748">
        <f t="shared" si="5"/>
        <v>8987.5120211398898</v>
      </c>
      <c r="G46" s="748">
        <f t="shared" ca="1" si="5"/>
        <v>56843.586993778212</v>
      </c>
      <c r="H46" s="748">
        <f t="shared" si="5"/>
        <v>0</v>
      </c>
      <c r="I46" s="748">
        <f t="shared" si="5"/>
        <v>0</v>
      </c>
      <c r="J46" s="748">
        <f t="shared" si="5"/>
        <v>0</v>
      </c>
      <c r="K46" s="748">
        <f t="shared" si="5"/>
        <v>618.99208916931809</v>
      </c>
      <c r="L46" s="748">
        <f t="shared" si="5"/>
        <v>0</v>
      </c>
      <c r="M46" s="748">
        <f t="shared" ca="1" si="5"/>
        <v>0</v>
      </c>
      <c r="N46" s="748">
        <f t="shared" si="5"/>
        <v>0</v>
      </c>
      <c r="O46" s="748">
        <f t="shared" ca="1" si="5"/>
        <v>0</v>
      </c>
      <c r="P46" s="748">
        <f t="shared" si="5"/>
        <v>0</v>
      </c>
      <c r="Q46" s="748">
        <f t="shared" si="5"/>
        <v>0</v>
      </c>
      <c r="R46" s="748">
        <f ca="1">SUM(R39:R45)</f>
        <v>233566.08667505864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3645.8190003870491</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3645.8190003870491</v>
      </c>
    </row>
    <row r="50" spans="1:18">
      <c r="A50" s="850" t="s">
        <v>306</v>
      </c>
      <c r="B50" s="860"/>
      <c r="C50" s="718">
        <f ca="1">transport!B18</f>
        <v>36.857854062932638</v>
      </c>
      <c r="D50" s="718">
        <f>transport!C18</f>
        <v>0</v>
      </c>
      <c r="E50" s="718">
        <f>transport!D18</f>
        <v>165.16322139858019</v>
      </c>
      <c r="F50" s="718">
        <f>transport!E18</f>
        <v>158.35835269052782</v>
      </c>
      <c r="G50" s="718">
        <f>transport!F18</f>
        <v>0</v>
      </c>
      <c r="H50" s="718">
        <f>transport!G18</f>
        <v>74428.748992051667</v>
      </c>
      <c r="I50" s="718">
        <f>transport!H18</f>
        <v>15461.778736371727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90250.907156575428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36.857854062932638</v>
      </c>
      <c r="D52" s="748">
        <f t="shared" ref="D52:Q52" ca="1" si="6">SUM(D48:D51)</f>
        <v>0</v>
      </c>
      <c r="E52" s="748">
        <f t="shared" si="6"/>
        <v>165.16322139858019</v>
      </c>
      <c r="F52" s="748">
        <f t="shared" si="6"/>
        <v>158.35835269052782</v>
      </c>
      <c r="G52" s="748">
        <f t="shared" si="6"/>
        <v>0</v>
      </c>
      <c r="H52" s="748">
        <f t="shared" si="6"/>
        <v>78074.567992438722</v>
      </c>
      <c r="I52" s="748">
        <f t="shared" si="6"/>
        <v>15461.778736371727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93896.726156962482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58.720841662583339</v>
      </c>
      <c r="D54" s="718">
        <f ca="1">+landbouw!C12</f>
        <v>0</v>
      </c>
      <c r="E54" s="718">
        <f>+landbouw!D12</f>
        <v>48.249076832000007</v>
      </c>
      <c r="F54" s="718">
        <f>+landbouw!E12</f>
        <v>2.3796092401556423</v>
      </c>
      <c r="G54" s="718">
        <f>+landbouw!F12</f>
        <v>316.94363115586367</v>
      </c>
      <c r="H54" s="718">
        <f>+landbouw!G12</f>
        <v>0</v>
      </c>
      <c r="I54" s="718">
        <f>+landbouw!H12</f>
        <v>0</v>
      </c>
      <c r="J54" s="718">
        <f>+landbouw!I12</f>
        <v>0</v>
      </c>
      <c r="K54" s="718">
        <f>+landbouw!J12</f>
        <v>32.758680982089516</v>
      </c>
      <c r="L54" s="718">
        <f>+landbouw!K12</f>
        <v>0</v>
      </c>
      <c r="M54" s="718">
        <f>+landbouw!L12</f>
        <v>0</v>
      </c>
      <c r="N54" s="718">
        <f>+landbouw!M12</f>
        <v>0</v>
      </c>
      <c r="O54" s="718">
        <f>+landbouw!N12</f>
        <v>0</v>
      </c>
      <c r="P54" s="718">
        <f>+landbouw!O12</f>
        <v>0</v>
      </c>
      <c r="Q54" s="719">
        <f>+landbouw!P12</f>
        <v>0</v>
      </c>
      <c r="R54" s="747">
        <f ca="1">SUM(C54:Q54)</f>
        <v>459.05183987269214</v>
      </c>
    </row>
    <row r="55" spans="1:18" ht="15" thickBot="1">
      <c r="A55" s="850" t="s">
        <v>734</v>
      </c>
      <c r="B55" s="860"/>
      <c r="C55" s="718">
        <f ca="1">C25*'EF ele_warmte'!B12</f>
        <v>1176.6217515993658</v>
      </c>
      <c r="D55" s="718"/>
      <c r="E55" s="718">
        <f>E25*EF_CO2_aardgas</f>
        <v>2195.6743441420003</v>
      </c>
      <c r="F55" s="718"/>
      <c r="G55" s="718"/>
      <c r="H55" s="718"/>
      <c r="I55" s="718"/>
      <c r="J55" s="718"/>
      <c r="K55" s="718"/>
      <c r="L55" s="718"/>
      <c r="M55" s="718"/>
      <c r="N55" s="718"/>
      <c r="O55" s="718"/>
      <c r="P55" s="718"/>
      <c r="Q55" s="719"/>
      <c r="R55" s="747">
        <f ca="1">SUM(C55:Q55)</f>
        <v>3372.2960957413661</v>
      </c>
    </row>
    <row r="56" spans="1:18" ht="15.75" thickBot="1">
      <c r="A56" s="848" t="s">
        <v>735</v>
      </c>
      <c r="B56" s="861"/>
      <c r="C56" s="748">
        <f ca="1">SUM(C54:C55)</f>
        <v>1235.3425932619491</v>
      </c>
      <c r="D56" s="748">
        <f t="shared" ref="D56:Q56" ca="1" si="7">SUM(D54:D55)</f>
        <v>0</v>
      </c>
      <c r="E56" s="748">
        <f t="shared" si="7"/>
        <v>2243.9234209740002</v>
      </c>
      <c r="F56" s="748">
        <f t="shared" si="7"/>
        <v>2.3796092401556423</v>
      </c>
      <c r="G56" s="748">
        <f t="shared" si="7"/>
        <v>316.94363115586367</v>
      </c>
      <c r="H56" s="748">
        <f t="shared" si="7"/>
        <v>0</v>
      </c>
      <c r="I56" s="748">
        <f t="shared" si="7"/>
        <v>0</v>
      </c>
      <c r="J56" s="748">
        <f t="shared" si="7"/>
        <v>0</v>
      </c>
      <c r="K56" s="748">
        <f t="shared" si="7"/>
        <v>32.758680982089516</v>
      </c>
      <c r="L56" s="748">
        <f t="shared" si="7"/>
        <v>0</v>
      </c>
      <c r="M56" s="748">
        <f t="shared" si="7"/>
        <v>0</v>
      </c>
      <c r="N56" s="748">
        <f t="shared" si="7"/>
        <v>0</v>
      </c>
      <c r="O56" s="748">
        <f t="shared" si="7"/>
        <v>0</v>
      </c>
      <c r="P56" s="748">
        <f t="shared" si="7"/>
        <v>0</v>
      </c>
      <c r="Q56" s="749">
        <f t="shared" si="7"/>
        <v>0</v>
      </c>
      <c r="R56" s="750">
        <f ca="1">SUM(R54:R55)</f>
        <v>3831.3479356140583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90914.022128804063</v>
      </c>
      <c r="D61" s="756">
        <f t="shared" ref="D61:Q61" ca="1" si="8">D46+D52+D56</f>
        <v>22.915966386554619</v>
      </c>
      <c r="E61" s="756">
        <f t="shared" ca="1" si="8"/>
        <v>79860.344565478081</v>
      </c>
      <c r="F61" s="756">
        <f t="shared" si="8"/>
        <v>9148.2499830705729</v>
      </c>
      <c r="G61" s="756">
        <f t="shared" ca="1" si="8"/>
        <v>57160.530624934072</v>
      </c>
      <c r="H61" s="756">
        <f t="shared" si="8"/>
        <v>78074.567992438722</v>
      </c>
      <c r="I61" s="756">
        <f t="shared" si="8"/>
        <v>15461.778736371727</v>
      </c>
      <c r="J61" s="756">
        <f t="shared" si="8"/>
        <v>0</v>
      </c>
      <c r="K61" s="756">
        <f t="shared" si="8"/>
        <v>651.75077015140755</v>
      </c>
      <c r="L61" s="756">
        <f t="shared" si="8"/>
        <v>0</v>
      </c>
      <c r="M61" s="756">
        <f t="shared" ca="1" si="8"/>
        <v>0</v>
      </c>
      <c r="N61" s="756">
        <f t="shared" si="8"/>
        <v>0</v>
      </c>
      <c r="O61" s="756">
        <f t="shared" ca="1" si="8"/>
        <v>0</v>
      </c>
      <c r="P61" s="756">
        <f t="shared" si="8"/>
        <v>0</v>
      </c>
      <c r="Q61" s="756">
        <f t="shared" si="8"/>
        <v>0</v>
      </c>
      <c r="R61" s="756">
        <f ca="1">R46+R52+R56</f>
        <v>331294.16076763521</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0.17482424538929497</v>
      </c>
      <c r="D63" s="802">
        <f t="shared" ca="1" si="9"/>
        <v>0.23764705882352938</v>
      </c>
      <c r="E63" s="1008">
        <f t="shared" ca="1" si="9"/>
        <v>0.20199999999999999</v>
      </c>
      <c r="F63" s="802">
        <f t="shared" si="9"/>
        <v>0.22699999999999998</v>
      </c>
      <c r="G63" s="802">
        <f t="shared" ca="1" si="9"/>
        <v>0.26699999999999996</v>
      </c>
      <c r="H63" s="802">
        <f t="shared" si="9"/>
        <v>0.26700000000000002</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70983.647645157049</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36056.742378059847</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67.5</v>
      </c>
      <c r="D76" s="991">
        <f>'lokale energieproductie'!C8</f>
        <v>79.411764705882348</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16.041176470588237</v>
      </c>
      <c r="R76" s="877">
        <v>0</v>
      </c>
    </row>
    <row r="77" spans="1:18" ht="15.75" thickBot="1">
      <c r="A77" s="772" t="s">
        <v>801</v>
      </c>
      <c r="B77" s="769">
        <f>'lokale energieproductie'!B9*IFERROR(SUM(I77:O77)/SUM(D77:O77),0)</f>
        <v>1620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4628.5714285714284</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108660.3900232169</v>
      </c>
      <c r="C78" s="774">
        <f>SUM(C72:C77)</f>
        <v>67.5</v>
      </c>
      <c r="D78" s="775">
        <f t="shared" ref="D78:H78" si="10">SUM(D76:D77)</f>
        <v>79.411764705882348</v>
      </c>
      <c r="E78" s="775">
        <f t="shared" si="10"/>
        <v>0</v>
      </c>
      <c r="F78" s="775">
        <f t="shared" si="10"/>
        <v>0</v>
      </c>
      <c r="G78" s="775">
        <f t="shared" si="10"/>
        <v>0</v>
      </c>
      <c r="H78" s="775">
        <f t="shared" si="10"/>
        <v>0</v>
      </c>
      <c r="I78" s="775">
        <f>SUM(I76:I77)</f>
        <v>0</v>
      </c>
      <c r="J78" s="775">
        <f>SUM(J76:J77)</f>
        <v>4628.5714285714284</v>
      </c>
      <c r="K78" s="775">
        <f t="shared" ref="K78:L78" si="11">SUM(K76:K77)</f>
        <v>0</v>
      </c>
      <c r="L78" s="775">
        <f t="shared" si="11"/>
        <v>0</v>
      </c>
      <c r="M78" s="775">
        <f>SUM(M76:M77)</f>
        <v>0</v>
      </c>
      <c r="N78" s="775">
        <f>SUM(N76:N77)</f>
        <v>0</v>
      </c>
      <c r="O78" s="885">
        <f>SUM(O76:O77)</f>
        <v>0</v>
      </c>
      <c r="P78" s="776">
        <v>0</v>
      </c>
      <c r="Q78" s="776">
        <f>SUM(Q76:Q77)</f>
        <v>16.041176470588237</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96.428571428571431</v>
      </c>
      <c r="D87" s="798">
        <f>'lokale energieproductie'!C17</f>
        <v>113.44537815126048</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22.915966386554619</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96.428571428571431</v>
      </c>
      <c r="D90" s="774">
        <f t="shared" ref="D90:H90" si="12">SUM(D87:D89)</f>
        <v>113.44537815126048</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22.915966386554619</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4"/>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70983.647645157049</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36056.742378059847</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67.5</v>
      </c>
      <c r="C8" s="574">
        <f>B101</f>
        <v>79.411764705882348</v>
      </c>
      <c r="D8" s="575"/>
      <c r="E8" s="575">
        <f>E101</f>
        <v>0</v>
      </c>
      <c r="F8" s="576"/>
      <c r="G8" s="577"/>
      <c r="H8" s="575">
        <f>I101</f>
        <v>0</v>
      </c>
      <c r="I8" s="575">
        <f>G101+F101</f>
        <v>0</v>
      </c>
      <c r="J8" s="575">
        <f>H101+D101+C101</f>
        <v>0</v>
      </c>
      <c r="K8" s="575"/>
      <c r="L8" s="575"/>
      <c r="M8" s="575"/>
      <c r="N8" s="578"/>
      <c r="O8" s="579">
        <f>C8*$C$12+D8*$D$12+E8*$E$12+F8*$F$12+G8*$G$12+H8*$H$12+I8*$I$12+J8*$J$12</f>
        <v>16.041176470588237</v>
      </c>
      <c r="P8" s="1291"/>
      <c r="Q8" s="1292"/>
      <c r="S8" s="569"/>
      <c r="T8" s="1288"/>
      <c r="U8" s="1288"/>
    </row>
    <row r="9" spans="1:21" s="560" customFormat="1" ht="17.45" customHeight="1" thickBot="1">
      <c r="A9" s="580" t="s">
        <v>247</v>
      </c>
      <c r="B9" s="581">
        <f>N89+'Eigen informatie GS &amp; warmtenet'!B12</f>
        <v>1620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4628.5714285714284</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108727.8900232169</v>
      </c>
      <c r="C10" s="589">
        <f t="shared" ref="C10:L10" si="0">SUM(C8:C9)</f>
        <v>79.411764705882348</v>
      </c>
      <c r="D10" s="589">
        <f t="shared" si="0"/>
        <v>0</v>
      </c>
      <c r="E10" s="589">
        <f t="shared" si="0"/>
        <v>0</v>
      </c>
      <c r="F10" s="589">
        <f t="shared" si="0"/>
        <v>0</v>
      </c>
      <c r="G10" s="589">
        <f t="shared" si="0"/>
        <v>0</v>
      </c>
      <c r="H10" s="589">
        <f t="shared" si="0"/>
        <v>0</v>
      </c>
      <c r="I10" s="589">
        <f t="shared" si="0"/>
        <v>0</v>
      </c>
      <c r="J10" s="589">
        <f t="shared" si="0"/>
        <v>4628.5714285714284</v>
      </c>
      <c r="K10" s="589">
        <f t="shared" si="0"/>
        <v>0</v>
      </c>
      <c r="L10" s="589">
        <f t="shared" si="0"/>
        <v>0</v>
      </c>
      <c r="M10" s="1004"/>
      <c r="N10" s="1004"/>
      <c r="O10" s="590">
        <f>SUM(O4:O9)</f>
        <v>16.041176470588237</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96.428571428571431</v>
      </c>
      <c r="C17" s="605">
        <f>B102</f>
        <v>113.44537815126048</v>
      </c>
      <c r="D17" s="606"/>
      <c r="E17" s="606">
        <f>E102</f>
        <v>0</v>
      </c>
      <c r="F17" s="607"/>
      <c r="G17" s="608"/>
      <c r="H17" s="605">
        <f>I102</f>
        <v>0</v>
      </c>
      <c r="I17" s="606">
        <f>G102+F102</f>
        <v>0</v>
      </c>
      <c r="J17" s="606">
        <f>H102+D102+C102</f>
        <v>0</v>
      </c>
      <c r="K17" s="606"/>
      <c r="L17" s="606"/>
      <c r="M17" s="606"/>
      <c r="N17" s="1005"/>
      <c r="O17" s="609">
        <f>C17*$C$22+E17*$E$22+H17*$H$22+I17*$I$22+J17*$J$22+D17*$D$22+F17*$F$22+G17*$G$22+K17*$K$22+L17*$L$22</f>
        <v>22.915966386554619</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96.428571428571431</v>
      </c>
      <c r="C20" s="588">
        <f>SUM(C17:C19)</f>
        <v>113.44537815126048</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22.915966386554619</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71016</v>
      </c>
      <c r="C28" s="817">
        <v>3600</v>
      </c>
      <c r="D28" s="666" t="s">
        <v>886</v>
      </c>
      <c r="E28" s="665" t="s">
        <v>887</v>
      </c>
      <c r="F28" s="665" t="s">
        <v>888</v>
      </c>
      <c r="G28" s="665" t="s">
        <v>889</v>
      </c>
      <c r="H28" s="665" t="s">
        <v>890</v>
      </c>
      <c r="I28" s="665" t="s">
        <v>891</v>
      </c>
      <c r="J28" s="816">
        <v>41099</v>
      </c>
      <c r="K28" s="816">
        <v>41244</v>
      </c>
      <c r="L28" s="665" t="s">
        <v>892</v>
      </c>
      <c r="M28" s="665">
        <v>15</v>
      </c>
      <c r="N28" s="665">
        <v>67.5</v>
      </c>
      <c r="O28" s="665">
        <v>96.428571428571431</v>
      </c>
      <c r="P28" s="665">
        <v>192.85714285714286</v>
      </c>
      <c r="Q28" s="665">
        <v>0</v>
      </c>
      <c r="R28" s="665">
        <v>0</v>
      </c>
      <c r="S28" s="665">
        <v>0</v>
      </c>
      <c r="T28" s="665">
        <v>0</v>
      </c>
      <c r="U28" s="665">
        <v>0</v>
      </c>
      <c r="V28" s="665">
        <v>0</v>
      </c>
      <c r="W28" s="665">
        <v>0</v>
      </c>
      <c r="X28" s="665">
        <v>1300</v>
      </c>
      <c r="Y28" s="665" t="s">
        <v>53</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15</v>
      </c>
      <c r="N58" s="623">
        <f>SUM(N28:N57)</f>
        <v>67.5</v>
      </c>
      <c r="O58" s="623">
        <f t="shared" ref="O58:W58" si="2">SUM(O28:O57)</f>
        <v>96.428571428571431</v>
      </c>
      <c r="P58" s="623">
        <f t="shared" si="2"/>
        <v>192.85714285714286</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15</v>
      </c>
      <c r="N60" s="623">
        <f ca="1">SUMIF($Z$28:AD57,"tertiair",N28:N57)</f>
        <v>67.5</v>
      </c>
      <c r="O60" s="623">
        <f ca="1">SUMIF($Z$28:AE57,"tertiair",O28:O57)</f>
        <v>96.428571428571431</v>
      </c>
      <c r="P60" s="623">
        <f ca="1">SUMIF($Z$28:AF57,"tertiair",P28:P57)</f>
        <v>192.85714285714286</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63.75">
      <c r="A64" s="620"/>
      <c r="B64" s="817">
        <v>71016</v>
      </c>
      <c r="C64" s="817">
        <v>3600</v>
      </c>
      <c r="D64" s="668" t="s">
        <v>893</v>
      </c>
      <c r="E64" s="668" t="s">
        <v>894</v>
      </c>
      <c r="F64" s="668" t="s">
        <v>895</v>
      </c>
      <c r="G64" s="668" t="s">
        <v>896</v>
      </c>
      <c r="H64" s="668" t="s">
        <v>897</v>
      </c>
      <c r="I64" s="668" t="s">
        <v>898</v>
      </c>
      <c r="J64" s="816">
        <v>33970</v>
      </c>
      <c r="K64" s="816">
        <v>37316</v>
      </c>
      <c r="L64" s="668" t="s">
        <v>892</v>
      </c>
      <c r="M64" s="668">
        <v>360</v>
      </c>
      <c r="N64" s="668">
        <v>1620</v>
      </c>
      <c r="O64" s="668">
        <v>0</v>
      </c>
      <c r="P64" s="668">
        <v>0</v>
      </c>
      <c r="Q64" s="668">
        <v>4628.5714285714284</v>
      </c>
      <c r="R64" s="668">
        <v>0</v>
      </c>
      <c r="S64" s="668">
        <v>0</v>
      </c>
      <c r="T64" s="668">
        <v>0</v>
      </c>
      <c r="U64" s="668">
        <v>0</v>
      </c>
      <c r="V64" s="668">
        <v>0</v>
      </c>
      <c r="W64" s="668">
        <v>0</v>
      </c>
      <c r="X64" s="668">
        <v>1600</v>
      </c>
      <c r="Y64" s="668" t="s">
        <v>49</v>
      </c>
      <c r="Z64" s="669" t="s">
        <v>155</v>
      </c>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360</v>
      </c>
      <c r="N89" s="623">
        <f t="shared" ref="N89:W89" si="5">SUM(N64:N88)</f>
        <v>1620</v>
      </c>
      <c r="O89" s="623">
        <f t="shared" si="5"/>
        <v>0</v>
      </c>
      <c r="P89" s="623">
        <f t="shared" si="5"/>
        <v>0</v>
      </c>
      <c r="Q89" s="623">
        <f t="shared" si="5"/>
        <v>4628.5714285714284</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360</v>
      </c>
      <c r="N91" s="623">
        <f t="shared" si="7"/>
        <v>1620</v>
      </c>
      <c r="O91" s="623">
        <f t="shared" si="7"/>
        <v>0</v>
      </c>
      <c r="P91" s="623">
        <f t="shared" si="7"/>
        <v>0</v>
      </c>
      <c r="Q91" s="623">
        <f t="shared" si="7"/>
        <v>4628.5714285714284</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0.58823529411764697</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79.411764705882348</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113.44537815126048</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118860.11029741453</v>
      </c>
      <c r="C4" s="478">
        <f>huishoudens!C8</f>
        <v>0</v>
      </c>
      <c r="D4" s="478">
        <f>huishoudens!D8</f>
        <v>179000.545726376</v>
      </c>
      <c r="E4" s="478">
        <f>huishoudens!E8</f>
        <v>5162.134355532361</v>
      </c>
      <c r="F4" s="478">
        <f>huishoudens!F8</f>
        <v>95381.300066969881</v>
      </c>
      <c r="G4" s="478">
        <f>huishoudens!G8</f>
        <v>0</v>
      </c>
      <c r="H4" s="478">
        <f>huishoudens!H8</f>
        <v>0</v>
      </c>
      <c r="I4" s="478">
        <f>huishoudens!I8</f>
        <v>0</v>
      </c>
      <c r="J4" s="478">
        <f>huishoudens!J8</f>
        <v>0</v>
      </c>
      <c r="K4" s="478">
        <f>huishoudens!K8</f>
        <v>0</v>
      </c>
      <c r="L4" s="478">
        <f>huishoudens!L8</f>
        <v>0</v>
      </c>
      <c r="M4" s="478">
        <f>huishoudens!M8</f>
        <v>0</v>
      </c>
      <c r="N4" s="478">
        <f>huishoudens!N8</f>
        <v>11135.979114418144</v>
      </c>
      <c r="O4" s="478">
        <f>huishoudens!O8</f>
        <v>1968.0865536319354</v>
      </c>
      <c r="P4" s="479">
        <f>huishoudens!P8</f>
        <v>1885.578716075619</v>
      </c>
      <c r="Q4" s="480">
        <f>SUM(B4:P4)</f>
        <v>413393.73483041849</v>
      </c>
    </row>
    <row r="5" spans="1:17">
      <c r="A5" s="477" t="s">
        <v>155</v>
      </c>
      <c r="B5" s="478">
        <f ca="1">tertiair!B16</f>
        <v>162501.77773399997</v>
      </c>
      <c r="C5" s="478">
        <f ca="1">tertiair!C16</f>
        <v>96.428571428571431</v>
      </c>
      <c r="D5" s="478">
        <f ca="1">tertiair!D16</f>
        <v>131063.71256778286</v>
      </c>
      <c r="E5" s="478">
        <f>tertiair!E16</f>
        <v>2105.8830285375639</v>
      </c>
      <c r="F5" s="478">
        <f ca="1">tertiair!F16</f>
        <v>17680.136617965705</v>
      </c>
      <c r="G5" s="478">
        <f>tertiair!G16</f>
        <v>0</v>
      </c>
      <c r="H5" s="478">
        <f>tertiair!H16</f>
        <v>0</v>
      </c>
      <c r="I5" s="478">
        <f>tertiair!I16</f>
        <v>0</v>
      </c>
      <c r="J5" s="478">
        <f>tertiair!J16</f>
        <v>0.31349417989100925</v>
      </c>
      <c r="K5" s="478">
        <f>tertiair!K16</f>
        <v>0</v>
      </c>
      <c r="L5" s="478">
        <f ca="1">tertiair!L16</f>
        <v>0</v>
      </c>
      <c r="M5" s="478">
        <f>tertiair!M16</f>
        <v>0</v>
      </c>
      <c r="N5" s="478">
        <f ca="1">tertiair!N16</f>
        <v>7862.6857103664306</v>
      </c>
      <c r="O5" s="478">
        <f>tertiair!O16</f>
        <v>24.486303829205774</v>
      </c>
      <c r="P5" s="479">
        <f>tertiair!P16</f>
        <v>367.77396814546512</v>
      </c>
      <c r="Q5" s="477">
        <f t="shared" ref="Q5:Q14" ca="1" si="0">SUM(B5:P5)</f>
        <v>321703.19799623563</v>
      </c>
    </row>
    <row r="6" spans="1:17">
      <c r="A6" s="477" t="s">
        <v>193</v>
      </c>
      <c r="B6" s="478">
        <f>'openbare verlichting'!B8</f>
        <v>4387.5720000000001</v>
      </c>
      <c r="C6" s="478"/>
      <c r="D6" s="478"/>
      <c r="E6" s="478"/>
      <c r="F6" s="478"/>
      <c r="G6" s="478"/>
      <c r="H6" s="478"/>
      <c r="I6" s="478"/>
      <c r="J6" s="478"/>
      <c r="K6" s="478"/>
      <c r="L6" s="478"/>
      <c r="M6" s="478"/>
      <c r="N6" s="478"/>
      <c r="O6" s="478"/>
      <c r="P6" s="479"/>
      <c r="Q6" s="477">
        <f t="shared" si="0"/>
        <v>4387.5720000000001</v>
      </c>
    </row>
    <row r="7" spans="1:17">
      <c r="A7" s="477" t="s">
        <v>111</v>
      </c>
      <c r="B7" s="478">
        <f>landbouw!B8</f>
        <v>335.88499999999999</v>
      </c>
      <c r="C7" s="478">
        <f>landbouw!C8</f>
        <v>0</v>
      </c>
      <c r="D7" s="478">
        <f>landbouw!D8</f>
        <v>238.85681600000001</v>
      </c>
      <c r="E7" s="478">
        <f>landbouw!E8</f>
        <v>10.482860088791375</v>
      </c>
      <c r="F7" s="478">
        <f>landbouw!F8</f>
        <v>1187.054798336568</v>
      </c>
      <c r="G7" s="478">
        <f>landbouw!G8</f>
        <v>0</v>
      </c>
      <c r="H7" s="478">
        <f>landbouw!H8</f>
        <v>0</v>
      </c>
      <c r="I7" s="478">
        <f>landbouw!I8</f>
        <v>0</v>
      </c>
      <c r="J7" s="478">
        <f>landbouw!J8</f>
        <v>92.538646842060786</v>
      </c>
      <c r="K7" s="478">
        <f>landbouw!K8</f>
        <v>0</v>
      </c>
      <c r="L7" s="478">
        <f>landbouw!L8</f>
        <v>0</v>
      </c>
      <c r="M7" s="478">
        <f>landbouw!M8</f>
        <v>0</v>
      </c>
      <c r="N7" s="478">
        <f>landbouw!N8</f>
        <v>0</v>
      </c>
      <c r="O7" s="478">
        <f>landbouw!O8</f>
        <v>0</v>
      </c>
      <c r="P7" s="479">
        <f>landbouw!P8</f>
        <v>0</v>
      </c>
      <c r="Q7" s="477">
        <f t="shared" si="0"/>
        <v>1864.8181212674201</v>
      </c>
    </row>
    <row r="8" spans="1:17">
      <c r="A8" s="477" t="s">
        <v>629</v>
      </c>
      <c r="B8" s="478">
        <f>industrie!B18</f>
        <v>227004.48597799998</v>
      </c>
      <c r="C8" s="478">
        <f>industrie!C18</f>
        <v>0</v>
      </c>
      <c r="D8" s="478">
        <f>industrie!D18</f>
        <v>73357.810632106004</v>
      </c>
      <c r="E8" s="478">
        <f>industrie!E18</f>
        <v>32324.546585709322</v>
      </c>
      <c r="F8" s="478">
        <f>industrie!F18</f>
        <v>99835.892879776817</v>
      </c>
      <c r="G8" s="478">
        <f>industrie!G18</f>
        <v>0</v>
      </c>
      <c r="H8" s="478">
        <f>industrie!H18</f>
        <v>0</v>
      </c>
      <c r="I8" s="478">
        <f>industrie!I18</f>
        <v>0</v>
      </c>
      <c r="J8" s="478">
        <f>industrie!J18</f>
        <v>1748.2517294622505</v>
      </c>
      <c r="K8" s="478">
        <f>industrie!K18</f>
        <v>0</v>
      </c>
      <c r="L8" s="478">
        <f>industrie!L18</f>
        <v>0</v>
      </c>
      <c r="M8" s="478">
        <f>industrie!M18</f>
        <v>0</v>
      </c>
      <c r="N8" s="478">
        <f>industrie!N18</f>
        <v>9900.2333432186333</v>
      </c>
      <c r="O8" s="478">
        <f>industrie!O18</f>
        <v>0</v>
      </c>
      <c r="P8" s="479">
        <f>industrie!P18</f>
        <v>0</v>
      </c>
      <c r="Q8" s="477">
        <f t="shared" si="0"/>
        <v>444171.22114827303</v>
      </c>
    </row>
    <row r="9" spans="1:17" s="483" customFormat="1">
      <c r="A9" s="481" t="s">
        <v>555</v>
      </c>
      <c r="B9" s="482">
        <f>transport!B14</f>
        <v>210.82804608055557</v>
      </c>
      <c r="C9" s="482">
        <f>transport!C14</f>
        <v>0</v>
      </c>
      <c r="D9" s="482">
        <f>transport!D14</f>
        <v>817.63970989396125</v>
      </c>
      <c r="E9" s="482">
        <f>transport!E14</f>
        <v>697.61388850452784</v>
      </c>
      <c r="F9" s="482">
        <f>transport!F14</f>
        <v>0</v>
      </c>
      <c r="G9" s="482">
        <f>transport!G14</f>
        <v>278759.35952079273</v>
      </c>
      <c r="H9" s="482">
        <f>transport!H14</f>
        <v>62095.496933219787</v>
      </c>
      <c r="I9" s="482">
        <f>transport!I14</f>
        <v>0</v>
      </c>
      <c r="J9" s="482">
        <f>transport!J14</f>
        <v>0</v>
      </c>
      <c r="K9" s="482">
        <f>transport!K14</f>
        <v>0</v>
      </c>
      <c r="L9" s="482">
        <f>transport!L14</f>
        <v>0</v>
      </c>
      <c r="M9" s="482">
        <f>transport!M14</f>
        <v>20154.48289925091</v>
      </c>
      <c r="N9" s="482">
        <f>transport!N14</f>
        <v>0</v>
      </c>
      <c r="O9" s="482">
        <f>transport!O14</f>
        <v>0</v>
      </c>
      <c r="P9" s="482">
        <f>transport!P14</f>
        <v>0</v>
      </c>
      <c r="Q9" s="481">
        <f>SUM(B9:P9)</f>
        <v>362735.42099774251</v>
      </c>
    </row>
    <row r="10" spans="1:17">
      <c r="A10" s="477" t="s">
        <v>545</v>
      </c>
      <c r="B10" s="478">
        <f>transport!B54</f>
        <v>0</v>
      </c>
      <c r="C10" s="478">
        <f>transport!C54</f>
        <v>0</v>
      </c>
      <c r="D10" s="478">
        <f>transport!D54</f>
        <v>0</v>
      </c>
      <c r="E10" s="478">
        <f>transport!E54</f>
        <v>0</v>
      </c>
      <c r="F10" s="478">
        <f>transport!F54</f>
        <v>0</v>
      </c>
      <c r="G10" s="478">
        <f>transport!G54</f>
        <v>13654.752810438385</v>
      </c>
      <c r="H10" s="478">
        <f>transport!H54</f>
        <v>0</v>
      </c>
      <c r="I10" s="478">
        <f>transport!I54</f>
        <v>0</v>
      </c>
      <c r="J10" s="478">
        <f>transport!J54</f>
        <v>0</v>
      </c>
      <c r="K10" s="478">
        <f>transport!K54</f>
        <v>0</v>
      </c>
      <c r="L10" s="478">
        <f>transport!L54</f>
        <v>0</v>
      </c>
      <c r="M10" s="478">
        <f>transport!M54</f>
        <v>758.93267201956735</v>
      </c>
      <c r="N10" s="478">
        <f>transport!N54</f>
        <v>0</v>
      </c>
      <c r="O10" s="478">
        <f>transport!O54</f>
        <v>0</v>
      </c>
      <c r="P10" s="479">
        <f>transport!P54</f>
        <v>0</v>
      </c>
      <c r="Q10" s="477">
        <f t="shared" si="0"/>
        <v>14413.685482457953</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6730.3122000000003</v>
      </c>
      <c r="C14" s="485"/>
      <c r="D14" s="485">
        <f>'SEAP template'!E25</f>
        <v>10869.674971</v>
      </c>
      <c r="E14" s="485"/>
      <c r="F14" s="485"/>
      <c r="G14" s="485"/>
      <c r="H14" s="485"/>
      <c r="I14" s="485"/>
      <c r="J14" s="485"/>
      <c r="K14" s="485"/>
      <c r="L14" s="485"/>
      <c r="M14" s="485"/>
      <c r="N14" s="485"/>
      <c r="O14" s="485"/>
      <c r="P14" s="486"/>
      <c r="Q14" s="477">
        <f t="shared" si="0"/>
        <v>17599.987171000001</v>
      </c>
    </row>
    <row r="15" spans="1:17" s="489" customFormat="1">
      <c r="A15" s="487" t="s">
        <v>549</v>
      </c>
      <c r="B15" s="488">
        <f ca="1">SUM(B4:B14)</f>
        <v>520030.97125549498</v>
      </c>
      <c r="C15" s="488">
        <f t="shared" ref="C15:Q15" ca="1" si="1">SUM(C4:C14)</f>
        <v>96.428571428571431</v>
      </c>
      <c r="D15" s="488">
        <f t="shared" ca="1" si="1"/>
        <v>395348.2404231588</v>
      </c>
      <c r="E15" s="488">
        <f t="shared" si="1"/>
        <v>40300.660718372565</v>
      </c>
      <c r="F15" s="488">
        <f t="shared" ca="1" si="1"/>
        <v>214084.38436304897</v>
      </c>
      <c r="G15" s="488">
        <f t="shared" si="1"/>
        <v>292414.11233123112</v>
      </c>
      <c r="H15" s="488">
        <f t="shared" si="1"/>
        <v>62095.496933219787</v>
      </c>
      <c r="I15" s="488">
        <f t="shared" si="1"/>
        <v>0</v>
      </c>
      <c r="J15" s="488">
        <f t="shared" si="1"/>
        <v>1841.1038704842024</v>
      </c>
      <c r="K15" s="488">
        <f t="shared" si="1"/>
        <v>0</v>
      </c>
      <c r="L15" s="488">
        <f t="shared" ca="1" si="1"/>
        <v>0</v>
      </c>
      <c r="M15" s="488">
        <f t="shared" si="1"/>
        <v>20913.415571270478</v>
      </c>
      <c r="N15" s="488">
        <f t="shared" ca="1" si="1"/>
        <v>28898.898168003208</v>
      </c>
      <c r="O15" s="488">
        <f t="shared" si="1"/>
        <v>1992.5728574611412</v>
      </c>
      <c r="P15" s="488">
        <f t="shared" si="1"/>
        <v>2253.352684221084</v>
      </c>
      <c r="Q15" s="488">
        <f t="shared" ca="1" si="1"/>
        <v>1580269.6377473951</v>
      </c>
    </row>
    <row r="17" spans="1:17">
      <c r="A17" s="490" t="s">
        <v>550</v>
      </c>
      <c r="B17" s="807">
        <f ca="1">huishoudens!B10</f>
        <v>0.17482424538929497</v>
      </c>
      <c r="C17" s="807">
        <f ca="1">huishoudens!C10</f>
        <v>0.23764705882352938</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20779.629089633865</v>
      </c>
      <c r="C22" s="478">
        <f t="shared" ref="C22:C32" ca="1" si="3">C4*$C$17</f>
        <v>0</v>
      </c>
      <c r="D22" s="478">
        <f t="shared" ref="D22:D32" si="4">D4*$D$17</f>
        <v>36158.110236727953</v>
      </c>
      <c r="E22" s="478">
        <f t="shared" ref="E22:E32" si="5">E4*$E$17</f>
        <v>1171.8044987058461</v>
      </c>
      <c r="F22" s="478">
        <f t="shared" ref="F22:F32" si="6">F4*$F$17</f>
        <v>25466.807117880959</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83576.350942948615</v>
      </c>
    </row>
    <row r="23" spans="1:17">
      <c r="A23" s="477" t="s">
        <v>155</v>
      </c>
      <c r="B23" s="478">
        <f t="shared" ca="1" si="2"/>
        <v>28409.250666765482</v>
      </c>
      <c r="C23" s="478">
        <f t="shared" ca="1" si="3"/>
        <v>22.915966386554619</v>
      </c>
      <c r="D23" s="478">
        <f t="shared" ca="1" si="4"/>
        <v>26474.86993869214</v>
      </c>
      <c r="E23" s="478">
        <f t="shared" si="5"/>
        <v>478.03544747802704</v>
      </c>
      <c r="F23" s="478">
        <f t="shared" ca="1" si="6"/>
        <v>4720.5964769968432</v>
      </c>
      <c r="G23" s="478">
        <f t="shared" si="7"/>
        <v>0</v>
      </c>
      <c r="H23" s="478">
        <f t="shared" si="8"/>
        <v>0</v>
      </c>
      <c r="I23" s="478">
        <f t="shared" si="9"/>
        <v>0</v>
      </c>
      <c r="J23" s="478">
        <f t="shared" si="10"/>
        <v>0.11097693968141727</v>
      </c>
      <c r="K23" s="478">
        <f t="shared" si="11"/>
        <v>0</v>
      </c>
      <c r="L23" s="478">
        <f t="shared" ca="1" si="12"/>
        <v>0</v>
      </c>
      <c r="M23" s="478">
        <f t="shared" si="13"/>
        <v>0</v>
      </c>
      <c r="N23" s="478">
        <f t="shared" ca="1" si="14"/>
        <v>0</v>
      </c>
      <c r="O23" s="478">
        <f t="shared" si="15"/>
        <v>0</v>
      </c>
      <c r="P23" s="479">
        <f t="shared" si="16"/>
        <v>0</v>
      </c>
      <c r="Q23" s="477">
        <f t="shared" ref="Q23:Q31" ca="1" si="17">SUM(B23:P23)</f>
        <v>60105.779473258721</v>
      </c>
    </row>
    <row r="24" spans="1:17">
      <c r="A24" s="477" t="s">
        <v>193</v>
      </c>
      <c r="B24" s="478">
        <f t="shared" ca="1" si="2"/>
        <v>767.05396399119979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767.05396399119979</v>
      </c>
    </row>
    <row r="25" spans="1:17">
      <c r="A25" s="477" t="s">
        <v>111</v>
      </c>
      <c r="B25" s="478">
        <f t="shared" ca="1" si="2"/>
        <v>58.720841662583339</v>
      </c>
      <c r="C25" s="478">
        <f t="shared" ca="1" si="3"/>
        <v>0</v>
      </c>
      <c r="D25" s="478">
        <f t="shared" si="4"/>
        <v>48.249076832000007</v>
      </c>
      <c r="E25" s="478">
        <f t="shared" si="5"/>
        <v>2.3796092401556423</v>
      </c>
      <c r="F25" s="478">
        <f t="shared" si="6"/>
        <v>316.94363115586367</v>
      </c>
      <c r="G25" s="478">
        <f t="shared" si="7"/>
        <v>0</v>
      </c>
      <c r="H25" s="478">
        <f t="shared" si="8"/>
        <v>0</v>
      </c>
      <c r="I25" s="478">
        <f t="shared" si="9"/>
        <v>0</v>
      </c>
      <c r="J25" s="478">
        <f t="shared" si="10"/>
        <v>32.758680982089516</v>
      </c>
      <c r="K25" s="478">
        <f t="shared" si="11"/>
        <v>0</v>
      </c>
      <c r="L25" s="478">
        <f t="shared" si="12"/>
        <v>0</v>
      </c>
      <c r="M25" s="478">
        <f t="shared" si="13"/>
        <v>0</v>
      </c>
      <c r="N25" s="478">
        <f t="shared" si="14"/>
        <v>0</v>
      </c>
      <c r="O25" s="478">
        <f t="shared" si="15"/>
        <v>0</v>
      </c>
      <c r="P25" s="479">
        <f t="shared" si="16"/>
        <v>0</v>
      </c>
      <c r="Q25" s="477">
        <f t="shared" ca="1" si="17"/>
        <v>459.05183987269214</v>
      </c>
    </row>
    <row r="26" spans="1:17">
      <c r="A26" s="477" t="s">
        <v>629</v>
      </c>
      <c r="B26" s="478">
        <f t="shared" ca="1" si="2"/>
        <v>39685.887961088636</v>
      </c>
      <c r="C26" s="478">
        <f t="shared" ca="1" si="3"/>
        <v>0</v>
      </c>
      <c r="D26" s="478">
        <f t="shared" si="4"/>
        <v>14818.277747685413</v>
      </c>
      <c r="E26" s="478">
        <f t="shared" si="5"/>
        <v>7337.6720749560163</v>
      </c>
      <c r="F26" s="478">
        <f t="shared" si="6"/>
        <v>26656.183398900412</v>
      </c>
      <c r="G26" s="478">
        <f t="shared" si="7"/>
        <v>0</v>
      </c>
      <c r="H26" s="478">
        <f t="shared" si="8"/>
        <v>0</v>
      </c>
      <c r="I26" s="478">
        <f t="shared" si="9"/>
        <v>0</v>
      </c>
      <c r="J26" s="478">
        <f t="shared" si="10"/>
        <v>618.88111222963664</v>
      </c>
      <c r="K26" s="478">
        <f t="shared" si="11"/>
        <v>0</v>
      </c>
      <c r="L26" s="478">
        <f t="shared" si="12"/>
        <v>0</v>
      </c>
      <c r="M26" s="478">
        <f t="shared" si="13"/>
        <v>0</v>
      </c>
      <c r="N26" s="478">
        <f t="shared" si="14"/>
        <v>0</v>
      </c>
      <c r="O26" s="478">
        <f t="shared" si="15"/>
        <v>0</v>
      </c>
      <c r="P26" s="479">
        <f t="shared" si="16"/>
        <v>0</v>
      </c>
      <c r="Q26" s="477">
        <f t="shared" ca="1" si="17"/>
        <v>89116.902294860105</v>
      </c>
    </row>
    <row r="27" spans="1:17" s="483" customFormat="1">
      <c r="A27" s="481" t="s">
        <v>555</v>
      </c>
      <c r="B27" s="801">
        <f t="shared" ca="1" si="2"/>
        <v>36.857854062932638</v>
      </c>
      <c r="C27" s="482">
        <f t="shared" ca="1" si="3"/>
        <v>0</v>
      </c>
      <c r="D27" s="482">
        <f t="shared" si="4"/>
        <v>165.16322139858019</v>
      </c>
      <c r="E27" s="482">
        <f t="shared" si="5"/>
        <v>158.35835269052782</v>
      </c>
      <c r="F27" s="482">
        <f t="shared" si="6"/>
        <v>0</v>
      </c>
      <c r="G27" s="482">
        <f t="shared" si="7"/>
        <v>74428.748992051667</v>
      </c>
      <c r="H27" s="482">
        <f t="shared" si="8"/>
        <v>15461.778736371727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90250.907156575428</v>
      </c>
    </row>
    <row r="28" spans="1:17" ht="16.5" customHeight="1">
      <c r="A28" s="477" t="s">
        <v>545</v>
      </c>
      <c r="B28" s="478">
        <f t="shared" ca="1" si="2"/>
        <v>0</v>
      </c>
      <c r="C28" s="478">
        <f t="shared" ca="1" si="3"/>
        <v>0</v>
      </c>
      <c r="D28" s="478">
        <f t="shared" si="4"/>
        <v>0</v>
      </c>
      <c r="E28" s="478">
        <f t="shared" si="5"/>
        <v>0</v>
      </c>
      <c r="F28" s="478">
        <f t="shared" si="6"/>
        <v>0</v>
      </c>
      <c r="G28" s="478">
        <f t="shared" si="7"/>
        <v>3645.8190003870491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3645.8190003870491</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1176.6217515993658</v>
      </c>
      <c r="C32" s="478">
        <f t="shared" ca="1" si="3"/>
        <v>0</v>
      </c>
      <c r="D32" s="478">
        <f t="shared" si="4"/>
        <v>2195.6743441420003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3372.2960957413661</v>
      </c>
    </row>
    <row r="33" spans="1:17" s="489" customFormat="1">
      <c r="A33" s="487" t="s">
        <v>549</v>
      </c>
      <c r="B33" s="488">
        <f ca="1">SUM(B22:B32)</f>
        <v>90914.022128804063</v>
      </c>
      <c r="C33" s="488">
        <f t="shared" ref="C33:Q33" ca="1" si="19">SUM(C22:C32)</f>
        <v>22.915966386554619</v>
      </c>
      <c r="D33" s="488">
        <f t="shared" ca="1" si="19"/>
        <v>79860.344565478081</v>
      </c>
      <c r="E33" s="488">
        <f t="shared" si="19"/>
        <v>9148.2499830705729</v>
      </c>
      <c r="F33" s="488">
        <f t="shared" ca="1" si="19"/>
        <v>57160.530624934079</v>
      </c>
      <c r="G33" s="488">
        <f t="shared" si="19"/>
        <v>78074.567992438722</v>
      </c>
      <c r="H33" s="488">
        <f t="shared" si="19"/>
        <v>15461.778736371727</v>
      </c>
      <c r="I33" s="488">
        <f t="shared" si="19"/>
        <v>0</v>
      </c>
      <c r="J33" s="488">
        <f t="shared" si="19"/>
        <v>651.75077015140755</v>
      </c>
      <c r="K33" s="488">
        <f t="shared" si="19"/>
        <v>0</v>
      </c>
      <c r="L33" s="488">
        <f t="shared" ca="1" si="19"/>
        <v>0</v>
      </c>
      <c r="M33" s="488">
        <f t="shared" si="19"/>
        <v>0</v>
      </c>
      <c r="N33" s="488">
        <f t="shared" ca="1" si="19"/>
        <v>0</v>
      </c>
      <c r="O33" s="488">
        <f t="shared" si="19"/>
        <v>0</v>
      </c>
      <c r="P33" s="488">
        <f t="shared" si="19"/>
        <v>0</v>
      </c>
      <c r="Q33" s="488">
        <f t="shared" ca="1" si="19"/>
        <v>331294.16076763521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70983.647645157049</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36056.742378059847</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67.5</v>
      </c>
      <c r="D8" s="1062">
        <f>'SEAP template'!D76</f>
        <v>79.411764705882348</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16.041176470588237</v>
      </c>
    </row>
    <row r="9" spans="1:16">
      <c r="A9" s="1068" t="s">
        <v>802</v>
      </c>
      <c r="B9" s="1062">
        <f>'SEAP template'!B77</f>
        <v>1620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4628.5714285714284</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108660.3900232169</v>
      </c>
      <c r="C10" s="1064">
        <f>SUM(C4:C9)</f>
        <v>67.5</v>
      </c>
      <c r="D10" s="1064">
        <f t="shared" ref="D10:H10" si="0">SUM(D8:D9)</f>
        <v>79.411764705882348</v>
      </c>
      <c r="E10" s="1064">
        <f t="shared" si="0"/>
        <v>0</v>
      </c>
      <c r="F10" s="1064">
        <f t="shared" si="0"/>
        <v>0</v>
      </c>
      <c r="G10" s="1064">
        <f t="shared" si="0"/>
        <v>0</v>
      </c>
      <c r="H10" s="1064">
        <f t="shared" si="0"/>
        <v>0</v>
      </c>
      <c r="I10" s="1064">
        <f>SUM(I8:I9)</f>
        <v>0</v>
      </c>
      <c r="J10" s="1064">
        <f>SUM(J8:J9)</f>
        <v>4628.5714285714284</v>
      </c>
      <c r="K10" s="1064">
        <f t="shared" ref="K10:L10" si="1">SUM(K8:K9)</f>
        <v>0</v>
      </c>
      <c r="L10" s="1064">
        <f t="shared" si="1"/>
        <v>0</v>
      </c>
      <c r="M10" s="1064">
        <f>SUM(M8:M9)</f>
        <v>0</v>
      </c>
      <c r="N10" s="1064">
        <f>SUM(N8:N9)</f>
        <v>0</v>
      </c>
      <c r="O10" s="1064">
        <f>SUM(O8:O9)</f>
        <v>0</v>
      </c>
      <c r="P10" s="1064">
        <f>SUM(P8:P9)</f>
        <v>16.041176470588237</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0.17482424538929497</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96.428571428571431</v>
      </c>
      <c r="D17" s="1063">
        <f>'SEAP template'!D87</f>
        <v>113.44537815126048</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22.915966386554619</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96.428571428571431</v>
      </c>
      <c r="D20" s="1064">
        <f t="shared" ref="D20:H20" si="2">SUM(D17:D19)</f>
        <v>113.44537815126048</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22.915966386554619</v>
      </c>
    </row>
    <row r="21" spans="1:16">
      <c r="B21" s="913"/>
    </row>
    <row r="22" spans="1:16">
      <c r="A22" s="490" t="s">
        <v>814</v>
      </c>
      <c r="B22" s="807" t="s">
        <v>812</v>
      </c>
      <c r="C22" s="807">
        <f ca="1">'EF ele_warmte'!B22</f>
        <v>0.23764705882352938</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0.17482424538929497</v>
      </c>
      <c r="C17" s="527">
        <f ca="1">'EF ele_warmte'!B22</f>
        <v>0.23764705882352938</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2019-08-12T08:41:20Z</dcterms:modified>
</cp:coreProperties>
</file>