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D41" i="14"/>
  <c r="D46" s="1"/>
  <c r="D61" s="1"/>
  <c r="D63" s="1"/>
  <c r="O46"/>
  <c r="O61" s="1"/>
  <c r="O63" s="1"/>
  <c r="K46"/>
  <c r="K61" s="1"/>
  <c r="K63" s="1"/>
  <c r="F16"/>
  <c r="R13"/>
  <c r="R16" s="1"/>
  <c r="R27" s="1"/>
  <c r="Q8" i="48"/>
  <c r="Q15" s="1"/>
  <c r="C17" l="1"/>
  <c r="C24" s="1"/>
  <c r="C28"/>
  <c r="C30"/>
  <c r="C27"/>
  <c r="C29"/>
  <c r="C32"/>
  <c r="C25"/>
  <c r="C31"/>
  <c r="C26"/>
  <c r="C22"/>
  <c r="C23"/>
  <c r="F27" i="14"/>
  <c r="F63" s="1"/>
  <c r="C78"/>
  <c r="B78"/>
  <c r="B12" i="6" l="1"/>
  <c r="B16" i="22" s="1"/>
  <c r="B18" s="1"/>
  <c r="B4" i="6"/>
  <c r="C33" i="48"/>
  <c r="B18" i="15"/>
  <c r="B20" s="1"/>
  <c r="B20" i="16" l="1"/>
  <c r="B22" s="1"/>
  <c r="B17" i="19"/>
  <c r="B19" s="1"/>
  <c r="C39" i="14" s="1"/>
  <c r="R39" s="1"/>
  <c r="C12" i="59"/>
  <c r="B29" i="20"/>
  <c r="B31" s="1"/>
  <c r="C48" i="14" s="1"/>
  <c r="R48" s="1"/>
  <c r="B10" i="9"/>
  <c r="B12" s="1"/>
  <c r="C55" i="14"/>
  <c r="R55" s="1"/>
  <c r="B10" i="13"/>
  <c r="B56" i="22"/>
  <c r="B58" s="1"/>
  <c r="B17" i="49"/>
  <c r="B19" s="1"/>
  <c r="B10" i="17"/>
  <c r="B12" s="1"/>
  <c r="C54" i="14" s="1"/>
  <c r="R54" s="1"/>
  <c r="R56" s="1"/>
  <c r="C43"/>
  <c r="R43" s="1"/>
  <c r="C49"/>
  <c r="R49" s="1"/>
  <c r="C42"/>
  <c r="R42"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<sst xmlns="http://schemas.openxmlformats.org/spreadsheetml/2006/main" count="2411" uniqueCount="898">
  <si>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</si>
  <si>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</si>
  <si>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</si>
  <si>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</si>
  <si>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</si>
  <si>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</si>
  <si>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</si>
  <si>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</si>
  <si>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</si>
  <si>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</si>
  <si>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</si>
  <si>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</si>
  <si>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</si>
  <si>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</si>
  <si>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</si>
  <si>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</si>
  <si>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</si>
  <si>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</si>
  <si>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</si>
  <si>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</si>
  <si>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</si>
  <si>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</si>
  <si>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</si>
  <si>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</si>
  <si>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</si>
  <si>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</si>
  <si>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</si>
  <si>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</si>
  <si>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</si>
  <si>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</si>
  <si>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</si>
  <si>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</si>
  <si>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</si>
  <si>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</si>
  <si>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</si>
  <si>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</si>
  <si>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</si>
  <si>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</si>
  <si>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</si>
  <si>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</si>
  <si>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</si>
  <si>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</si>
  <si>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</si>
  <si>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</si>
  <si>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</si>
  <si>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</si>
  <si>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</si>
  <si>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</si>
  <si>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</si>
  <si>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</si>
  <si>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</si>
  <si>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</si>
  <si>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</si>
  <si>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</si>
  <si>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</si>
  <si>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</si>
  <si>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</si>
  <si>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</si>
  <si>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</si>
  <si>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</si>
  <si>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</si>
  <si>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</si>
  <si>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</si>
  <si>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</si>
  <si>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</si>
  <si>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</si>
  <si>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</si>
  <si>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</si>
  <si>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</si>
  <si>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</si>
  <si>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</si>
  <si>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</si>
  <si>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</si>
  <si>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</si>
  <si>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</si>
  <si>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</si>
  <si>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</si>
  <si>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</si>
  <si>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</si>
  <si>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</si>
  <si>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</si>
  <si>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</si>
  <si>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</si>
  <si>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</si>
  <si>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</si>
  <si>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</si>
  <si>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</si>
  <si>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</si>
  <si>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</si>
  <si>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</si>
  <si>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</si>
  <si>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</si>
  <si>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</si>
  <si>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</si>
  <si>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</si>
  <si>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</si>
  <si>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</si>
  <si>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</si>
  <si>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</si>
  <si>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</si>
  <si>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</si>
  <si>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</si>
  <si>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</si>
  <si>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</si>
  <si>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</si>
  <si>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</si>
  <si>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</si>
  <si>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</si>
  <si>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</si>
  <si>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</si>
  <si>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</si>
  <si>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</si>
  <si>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</si>
  <si>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</si>
  <si>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</si>
  <si>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</si>
  <si>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</si>
  <si>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</si>
  <si>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</si>
  <si>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</si>
  <si>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</si>
  <si>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</si>
  <si>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</si>
  <si>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</si>
  <si>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</si>
  <si>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</si>
  <si>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</si>
  <si>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</si>
  <si>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</si>
  <si>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</si>
  <si>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</si>
  <si>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</si>
  <si>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</si>
  <si>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</si>
  <si>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</si>
  <si>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</si>
  <si>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</si>
  <si>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</si>
  <si>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</si>
  <si>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</si>
  <si>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</si>
  <si>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</si>
  <si>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</si>
  <si>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</si>
  <si>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</si>
  <si>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</si>
  <si>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</si>
  <si>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</si>
  <si>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</si>
  <si>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</si>
  <si>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</si>
  <si>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</si>
  <si>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</si>
  <si>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</si>
  <si>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</si>
  <si>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</si>
  <si>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</si>
  <si>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</si>
  <si>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</si>
  <si>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</si>
  <si>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</si>
  <si>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</si>
  <si>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</si>
  <si>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</si>
  <si>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</si>
  <si>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</si>
  <si>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</si>
  <si>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</si>
  <si>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</si>
  <si>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</si>
  <si>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</si>
  <si>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</si>
  <si>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</si>
  <si>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</si>
  <si>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</si>
  <si>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</si>
  <si>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</si>
  <si>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</si>
  <si>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</si>
  <si>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</si>
  <si>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</si>
  <si>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</si>
  <si>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</si>
  <si>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</si>
  <si>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</si>
  <si>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</si>
  <si>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</si>
  <si>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</si>
  <si>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</si>
  <si>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</si>
  <si>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</si>
  <si>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</si>
  <si>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</si>
  <si>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</si>
  <si>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</si>
  <si>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</si>
  <si>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</si>
  <si>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</si>
  <si>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</si>
  <si>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</si>
  <si>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</si>
  <si>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</si>
  <si>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</si>
  <si>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</si>
  <si>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</si>
  <si>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</si>
  <si>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</si>
  <si>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</si>
  <si>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</si>
  <si>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</si>
  <si>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</si>
  <si>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</si>
  <si>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</si>
  <si>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</si>
  <si>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</si>
  <si>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</si>
  <si>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</si>
  <si>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</si>
  <si>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</si>
  <si>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</si>
  <si>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</si>
  <si>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</si>
  <si>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</si>
  <si>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</si>
  <si>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</si>
  <si>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</si>
  <si>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</si>
  <si>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</si>
  <si>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</si>
  <si>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</si>
  <si>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</si>
  <si>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</si>
  <si>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</si>
  <si>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</si>
  <si>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</si>
  <si>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</si>
  <si>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</si>
  <si>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</si>
  <si>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</si>
  <si>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</si>
  <si>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</si>
  <si>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</si>
  <si>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</si>
  <si>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</si>
  <si>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</si>
  <si>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</si>
  <si>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</si>
  <si>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</si>
  <si>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</si>
  <si>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</si>
  <si>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</si>
  <si>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</si>
  <si>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</si>
  <si>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</si>
  <si>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</si>
  <si>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</si>
  <si>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</si>
  <si>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</si>
  <si>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</si>
  <si>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</si>
  <si>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</si>
  <si>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</si>
  <si>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</si>
  <si>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</si>
  <si>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</si>
  <si>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</si>
  <si>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</si>
  <si>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</si>
  <si>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</si>
  <si>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</si>
  <si>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</si>
  <si>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</si>
  <si>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</si>
  <si>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</si>
  <si>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</si>
  <si>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</si>
  <si>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</si>
  <si>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</si>
  <si>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</si>
  <si>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</si>
  <si>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</si>
  <si>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</si>
  <si>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</si>
  <si>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</si>
  <si>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</si>
  <si>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</si>
  <si>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</si>
  <si>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</si>
  <si>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</si>
  <si>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</si>
  <si>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</si>
  <si>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</si>
  <si>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</si>
  <si>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</si>
  <si>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</si>
  <si>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</si>
  <si>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</si>
  <si>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</si>
  <si>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</si>
  <si>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</si>
  <si>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</si>
  <si>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</si>
  <si>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</si>
  <si>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</si>
  <si>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</si>
  <si>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</si>
  <si>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</si>
  <si>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</si>
  <si>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</si>
  <si>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</si>
  <si>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</si>
  <si>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</si>
  <si>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</si>
  <si>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</si>
  <si>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</si>
  <si>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</si>
  <si>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</si>
  <si>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</si>
  <si>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</si>
  <si>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</si>
  <si>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</si>
  <si>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</si>
  <si>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</si>
  <si>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</si>
  <si>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</si>
  <si>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</si>
  <si>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</si>
  <si>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</si>
  <si>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</si>
  <si>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</si>
  <si>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</si>
  <si>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</si>
  <si>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</si>
  <si>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</si>
  <si>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</si>
  <si>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</si>
  <si>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</si>
  <si>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</si>
  <si>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</si>
  <si>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</si>
  <si>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</si>
  <si>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</si>
  <si>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</si>
  <si>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</si>
  <si>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</si>
  <si>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</si>
  <si>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</si>
  <si>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</si>
  <si>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</si>
  <si>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</si>
  <si>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</si>
  <si>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</si>
  <si>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</si>
  <si>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</si>
  <si>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</si>
  <si>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</si>
  <si>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</si>
  <si>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</si>
  <si>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</si>
  <si>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</si>
  <si>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</si>
  <si>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</si>
  <si>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</si>
  <si>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</si>
  <si>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</si>
  <si>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</si>
  <si>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</si>
  <si>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</si>
  <si>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</si>
  <si>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</si>
  <si>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</si>
  <si>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</si>
  <si>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</si>
  <si>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</si>
  <si>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</si>
  <si>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</si>
  <si>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</si>
  <si>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</si>
  <si>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</si>
  <si>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</si>
  <si>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</si>
  <si>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</si>
  <si>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</si>
  <si>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</si>
  <si>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</si>
  <si>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</si>
  <si>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</si>
  <si>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</si>
  <si>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</si>
  <si>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</si>
  <si>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</si>
  <si>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</si>
  <si>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</si>
  <si>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</si>
  <si>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</si>
  <si>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</si>
  <si>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</si>
  <si>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</si>
  <si>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</si>
  <si>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</si>
  <si>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</si>
  <si>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</si>
  <si>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</si>
  <si>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</si>
  <si>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</si>
  <si>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</si>
  <si>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</si>
  <si>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</si>
  <si>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</si>
  <si>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</si>
  <si>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</si>
  <si>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</si>
  <si>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</si>
  <si>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</si>
  <si>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</si>
  <si>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</si>
  <si>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</si>
  <si>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</si>
  <si>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</si>
  <si>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</si>
  <si>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</si>
  <si>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</si>
  <si>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</si>
  <si>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</si>
  <si>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</si>
  <si>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</si>
  <si>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</si>
  <si>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</si>
  <si>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</si>
  <si>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</si>
  <si>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</si>
  <si>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</si>
  <si>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</si>
  <si>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</si>
  <si>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</si>
  <si>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</si>
  <si>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</si>
  <si>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</si>
  <si>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</si>
  <si>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</si>
  <si>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</si>
  <si>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</si>
  <si>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</si>
  <si>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</si>
  <si>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</si>
  <si>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</si>
  <si>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</si>
  <si>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</si>
  <si>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</si>
  <si>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</si>
  <si>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</si>
  <si>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</si>
  <si>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</si>
  <si>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</si>
  <si>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</si>
  <si>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</si>
  <si>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</si>
  <si>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</si>
  <si>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</si>
  <si>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</si>
  <si>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</si>
  <si>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</si>
  <si>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</si>
  <si>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</si>
  <si>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</si>
  <si>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</si>
  <si>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</si>
  <si>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</si>
  <si>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</si>
  <si>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</si>
  <si>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</si>
  <si>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</si>
  <si>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</si>
  <si>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</si>
  <si>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</si>
  <si>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</si>
  <si>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</si>
  <si>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</si>
  <si>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</si>
  <si>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</si>
  <si>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</si>
  <si>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</si>
  <si>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</si>
  <si>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</si>
  <si>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</si>
  <si>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</si>
  <si>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</si>
  <si>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</si>
  <si>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</si>
  <si>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</si>
  <si>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</si>
  <si>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</si>
  <si>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</si>
  <si>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</si>
  <si>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</si>
  <si>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</si>
  <si>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</si>
  <si>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</si>
  <si>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</si>
  <si>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</si>
  <si>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</si>
  <si>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</si>
  <si>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</si>
  <si>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</si>
  <si>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</si>
  <si>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</si>
  <si>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</si>
  <si>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</si>
  <si>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</si>
  <si>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</si>
  <si>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</si>
  <si>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</si>
  <si>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</si>
  <si>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</si>
  <si>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</si>
  <si>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</si>
  <si>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</si>
  <si>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</si>
  <si>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</si>
  <si>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</si>
  <si>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</si>
  <si>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</si>
  <si>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</si>
  <si>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</si>
  <si>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</si>
  <si>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</si>
  <si>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</si>
  <si>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</si>
  <si>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</si>
  <si>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</si>
  <si>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</si>
  <si>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</si>
  <si>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</si>
  <si>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</si>
  <si>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</si>
  <si>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</si>
  <si>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</si>
  <si>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</si>
  <si>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</si>
  <si>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</si>
  <si>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</si>
  <si>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</si>
  <si>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</si>
  <si>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</si>
  <si>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</si>
  <si>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</si>
  <si>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</si>
  <si>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</si>
  <si>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</si>
  <si>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</si>
  <si>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</si>
  <si>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</si>
  <si>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</si>
  <si>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</si>
  <si>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</si>
  <si>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</si>
  <si>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</si>
  <si>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</si>
  <si>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</si>
  <si>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</si>
  <si>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</si>
  <si>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</si>
  <si>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</si>
  <si>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</si>
  <si>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</si>
  <si>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</si>
  <si>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</si>
  <si>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</si>
  <si>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</si>
  <si>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</si>
  <si>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</si>
  <si>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</si>
  <si>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</si>
  <si>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</si>
  <si>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</si>
  <si>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</si>
  <si>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</si>
  <si>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</si>
  <si>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</si>
  <si>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</si>
  <si>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</si>
  <si>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</si>
  <si>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</si>
  <si>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</si>
  <si>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</si>
  <si>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</si>
  <si>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</si>
  <si>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</si>
  <si>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</si>
  <si>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</si>
  <si>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</si>
  <si>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</si>
  <si>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</si>
  <si>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</si>
  <si>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</si>
  <si>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</si>
  <si>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</si>
  <si>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</si>
  <si>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</si>
  <si>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</si>
  <si>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</si>
  <si>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</si>
  <si>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</si>
  <si>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</si>
  <si>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</si>
  <si>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</si>
  <si>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</si>
  <si>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</si>
  <si>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</si>
  <si>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</si>
  <si>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</si>
  <si>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</si>
  <si>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</si>
  <si>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</si>
  <si>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</si>
  <si>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</si>
  <si>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</si>
  <si>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</si>
  <si>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</si>
  <si>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</si>
  <si>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</si>
  <si>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</si>
  <si>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</si>
  <si>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</si>
  <si>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</si>
  <si>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</si>
  <si>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</si>
  <si>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</si>
  <si>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</si>
  <si>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</si>
  <si>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</si>
  <si>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</si>
  <si>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</si>
  <si>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</si>
  <si>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</si>
  <si>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</si>
  <si>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</si>
  <si>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</si>
  <si>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</si>
  <si>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</si>
  <si>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</si>
  <si>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</si>
  <si>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</si>
  <si>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</si>
  <si>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</si>
  <si>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</si>
  <si>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</si>
  <si>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</si>
  <si>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</si>
  <si>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</si>
  <si>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</si>
  <si>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</si>
  <si>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</si>
  <si>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</si>
  <si>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</si>
  <si>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</si>
  <si>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</si>
  <si>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</si>
  <si>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</si>
  <si>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</si>
  <si>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</si>
  <si>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</si>
  <si>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</si>
  <si>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</si>
  <si>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</si>
  <si>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</si>
  <si>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</si>
  <si>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</si>
  <si>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</si>
  <si>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</si>
  <si>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</si>
  <si>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</si>
  <si>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</si>
  <si>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</si>
  <si>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</si>
  <si>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</si>
  <si>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</si>
  <si>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</si>
  <si>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</si>
  <si>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</si>
  <si>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</si>
  <si>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</si>
  <si>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</si>
  <si>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</si>
  <si>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</si>
  <si>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</si>
  <si>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</si>
  <si>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</si>
  <si>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</si>
  <si>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</si>
  <si>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</si>
  <si>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</si>
  <si>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</si>
  <si>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</si>
  <si>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</si>
  <si>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</si>
  <si>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</si>
  <si>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</si>
  <si>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</si>
  <si>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</si>
  <si>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</si>
  <si>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</si>
  <si>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</si>
  <si>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</si>
  <si>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</si>
  <si>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</si>
  <si>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</si>
  <si>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</si>
  <si>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</si>
  <si>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</si>
  <si>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</si>
  <si>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</si>
  <si>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</si>
  <si>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</si>
  <si>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</si>
  <si>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</si>
  <si>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</si>
  <si>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</si>
  <si>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</si>
  <si>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</si>
  <si>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</si>
  <si>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</si>
  <si>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</si>
  <si>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</si>
  <si>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</si>
  <si>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</si>
  <si>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</si>
  <si>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</si>
  <si>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</si>
  <si>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</si>
  <si>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</si>
  <si>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</si>
  <si>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</si>
  <si>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</si>
  <si>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</si>
  <si>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</si>
  <si>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</si>
  <si>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</si>
  <si>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</si>
  <si>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</si>
  <si>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</si>
  <si>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</si>
  <si>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</si>
  <si>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</si>
  <si>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</si>
  <si>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</si>
  <si>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</si>
  <si>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</si>
  <si>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</si>
  <si>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</si>
  <si>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</si>
  <si>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</si>
  <si>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</si>
  <si>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</si>
  <si>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</si>
  <si>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</si>
  <si>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</si>
  <si>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</si>
  <si>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</si>
  <si>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</si>
  <si>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</si>
  <si>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</si>
  <si>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</si>
  <si>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</si>
  <si>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</si>
  <si>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</si>
  <si>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</si>
  <si>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</si>
  <si>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</si>
  <si>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</si>
  <si>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</si>
  <si>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</si>
  <si>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</si>
  <si>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</si>
  <si>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</si>
  <si>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</si>
  <si>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</si>
  <si>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</si>
  <si>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</si>
  <si>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</si>
  <si>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</si>
  <si>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</si>
  <si>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</si>
  <si>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</si>
  <si>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</si>
  <si>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</si>
  <si>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</si>
  <si>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</si>
  <si>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</si>
  <si>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</si>
  <si>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</si>
  <si>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</si>
  <si>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</si>
  <si>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</si>
  <si>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</si>
  <si>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</si>
  <si>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</si>
  <si>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</si>
  <si>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</si>
  <si>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</si>
  <si>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</si>
  <si>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</si>
  <si>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</si>
  <si>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</si>
  <si>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</si>
  <si>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</si>
  <si>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</si>
  <si>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</si>
  <si>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</si>
  <si>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</si>
  <si>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</si>
  <si>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</si>
  <si>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</si>
  <si>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</si>
  <si>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</si>
  <si>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</si>
  <si>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</si>
  <si>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</si>
  <si>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</si>
  <si>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</si>
  <si>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</si>
  <si>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</si>
  <si>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</si>
  <si>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</si>
  <si>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</si>
  <si>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</si>
  <si>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</si>
  <si>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</si>
  <si>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</si>
  <si>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</si>
  <si>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</si>
  <si>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</si>
  <si>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</si>
  <si>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</si>
  <si>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</si>
  <si>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</si>
  <si>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</si>
  <si>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</si>
  <si>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</si>
  <si>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</si>
  <si>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</si>
  <si>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</si>
  <si>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</si>
  <si>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</si>
  <si>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</si>
  <si>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</si>
  <si>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</si>
  <si>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</si>
  <si>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</si>
  <si>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</si>
  <si>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</si>
  <si>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</si>
  <si>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</si>
  <si>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</si>
  <si>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</si>
  <si>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</si>
  <si>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</si>
  <si>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</si>
  <si>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</si>
  <si>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</si>
  <si>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</si>
  <si>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</si>
  <si>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</si>
  <si>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</si>
  <si>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</si>
  <si>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</si>
  <si>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</si>
  <si>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</si>
  <si>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</si>
  <si>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</si>
  <si>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</si>
  <si>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</si>
  <si>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</si>
  <si>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</si>
  <si>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</si>
  <si>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</si>
  <si>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</si>
  <si>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</si>
  <si>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46021</t>
  </si>
  <si>
    <t>SINT-NIKLAAS</t>
  </si>
  <si>
    <t>Mestbank (maart 2019)</t>
  </si>
  <si>
    <t>Fluvius (februari 2019)</t>
  </si>
  <si>
    <t>referentietaak LNE (2017); Jaarverslag De Lijn (2018)</t>
  </si>
  <si>
    <t>VEA (30 april 2019)</t>
  </si>
  <si>
    <t>VEA (mei 2018)</t>
  </si>
  <si>
    <t>VEA (mei 2019)</t>
  </si>
  <si>
    <t>Acomus bvba</t>
  </si>
  <si>
    <t>Entrepotstraat 16 , 9100 Sint-Niklaas</t>
  </si>
  <si>
    <t>WKK-0353 Acomus</t>
  </si>
  <si>
    <t>interne verbrandingsmotor</t>
  </si>
  <si>
    <t>WKK interne verbrandinsgmotor (gas)</t>
  </si>
  <si>
    <t>INTERGEM</t>
  </si>
  <si>
    <t>MNtechnics bvba</t>
  </si>
  <si>
    <t>Anthonis De Jonghestraat 96 , 9100 Nieuwkerken-Waas</t>
  </si>
  <si>
    <t>WKK-0361 ALTech</t>
  </si>
  <si>
    <t>Vleeswarenfabriek De Cock NV</t>
  </si>
  <si>
    <t>Industriepark-Noord 14 , 9100 Sint-Niklaas</t>
  </si>
  <si>
    <t>WKK-0473 Vleeswarenfabriek De Cock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</si>
</sst>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497760.95340272255</c:v>
                </c:pt>
                <c:pt idx="1">
                  <c:v>304817.0850145492</c:v>
                </c:pt>
                <c:pt idx="2">
                  <c:v>3352.8530000000001</c:v>
                </c:pt>
                <c:pt idx="3">
                  <c:v>22460.059304532377</c:v>
                </c:pt>
                <c:pt idx="4">
                  <c:v>154299.06086660284</c:v>
                </c:pt>
                <c:pt idx="5">
                  <c:v>536831.17035501485</c:v>
                </c:pt>
                <c:pt idx="6">
                  <c:v>9780.9648030687222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497760.95340272255</c:v>
                </c:pt>
                <c:pt idx="1">
                  <c:v>304817.0850145492</c:v>
                </c:pt>
                <c:pt idx="2">
                  <c:v>3352.8530000000001</c:v>
                </c:pt>
                <c:pt idx="3">
                  <c:v>22460.059304532377</c:v>
                </c:pt>
                <c:pt idx="4">
                  <c:v>154299.06086660284</c:v>
                </c:pt>
                <c:pt idx="5">
                  <c:v>536831.17035501485</c:v>
                </c:pt>
                <c:pt idx="6">
                  <c:v>9780.9648030687222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90484.125281988381</c:v>
                </c:pt>
                <c:pt idx="1">
                  <c:v>61359.121574049059</c:v>
                </c:pt>
                <c:pt idx="2">
                  <c:v>685.41628896719828</c:v>
                </c:pt>
                <c:pt idx="3">
                  <c:v>5684.9397512222931</c:v>
                </c:pt>
                <c:pt idx="4">
                  <c:v>31890.489993162053</c:v>
                </c:pt>
                <c:pt idx="5">
                  <c:v>133668.10999713378</c:v>
                </c:pt>
                <c:pt idx="6">
                  <c:v>2474.0117553240739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90484.125281988381</c:v>
                </c:pt>
                <c:pt idx="1">
                  <c:v>61359.121574049059</c:v>
                </c:pt>
                <c:pt idx="2">
                  <c:v>685.41628896719828</c:v>
                </c:pt>
                <c:pt idx="3">
                  <c:v>5684.9397512222931</c:v>
                </c:pt>
                <c:pt idx="4">
                  <c:v>31890.489993162053</c:v>
                </c:pt>
                <c:pt idx="5">
                  <c:v>133668.10999713378</c:v>
                </c:pt>
                <c:pt idx="6">
                  <c:v>2474.0117553240739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46021</v>
      </c>
      <c r="B6" s="415"/>
      <c r="C6" s="416"/>
    </row>
    <row r="7" spans="1:7" s="413" customFormat="1" ht="15.75" customHeight="1">
      <c r="A7" s="417" t="str">
        <f>txtMunicipality</f>
        <v>SINT-NIKLAAS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0.20442777806459106</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0.20442777806459106</v>
      </c>
      <c r="C29" s="528">
        <f ca="1">'EF ele_warmte'!B22</f>
        <v>0.23764705882352941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32116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3812.14</v>
      </c>
    </row>
    <row r="15" spans="1:6">
      <c r="A15" s="348" t="s">
        <v>183</v>
      </c>
      <c r="B15" s="334">
        <v>49</v>
      </c>
    </row>
    <row r="16" spans="1:6">
      <c r="A16" s="348" t="s">
        <v>6</v>
      </c>
      <c r="B16" s="334">
        <v>2171</v>
      </c>
    </row>
    <row r="17" spans="1:6">
      <c r="A17" s="348" t="s">
        <v>7</v>
      </c>
      <c r="B17" s="334">
        <v>1045</v>
      </c>
    </row>
    <row r="18" spans="1:6">
      <c r="A18" s="348" t="s">
        <v>8</v>
      </c>
      <c r="B18" s="334">
        <v>1968</v>
      </c>
    </row>
    <row r="19" spans="1:6">
      <c r="A19" s="348" t="s">
        <v>9</v>
      </c>
      <c r="B19" s="334">
        <v>1913</v>
      </c>
    </row>
    <row r="20" spans="1:6">
      <c r="A20" s="348" t="s">
        <v>10</v>
      </c>
      <c r="B20" s="334">
        <v>852</v>
      </c>
    </row>
    <row r="21" spans="1:6">
      <c r="A21" s="348" t="s">
        <v>11</v>
      </c>
      <c r="B21" s="334">
        <v>13564</v>
      </c>
    </row>
    <row r="22" spans="1:6">
      <c r="A22" s="348" t="s">
        <v>12</v>
      </c>
      <c r="B22" s="334">
        <v>27421</v>
      </c>
    </row>
    <row r="23" spans="1:6">
      <c r="A23" s="348" t="s">
        <v>13</v>
      </c>
      <c r="B23" s="334">
        <v>768</v>
      </c>
    </row>
    <row r="24" spans="1:6">
      <c r="A24" s="348" t="s">
        <v>14</v>
      </c>
      <c r="B24" s="334">
        <v>35</v>
      </c>
    </row>
    <row r="25" spans="1:6">
      <c r="A25" s="348" t="s">
        <v>15</v>
      </c>
      <c r="B25" s="334">
        <v>3334</v>
      </c>
    </row>
    <row r="26" spans="1:6">
      <c r="A26" s="348" t="s">
        <v>16</v>
      </c>
      <c r="B26" s="334">
        <v>325</v>
      </c>
    </row>
    <row r="27" spans="1:6">
      <c r="A27" s="348" t="s">
        <v>17</v>
      </c>
      <c r="B27" s="334">
        <v>825</v>
      </c>
    </row>
    <row r="28" spans="1:6" s="356" customFormat="1">
      <c r="A28" s="355" t="s">
        <v>18</v>
      </c>
      <c r="B28" s="355">
        <v>219035</v>
      </c>
    </row>
    <row r="29" spans="1:6">
      <c r="A29" s="355" t="s">
        <v>713</v>
      </c>
      <c r="B29" s="355">
        <v>584</v>
      </c>
      <c r="C29" s="356"/>
      <c r="D29" s="356"/>
      <c r="E29" s="356"/>
      <c r="F29" s="356"/>
    </row>
    <row r="30" spans="1:6">
      <c r="A30" s="341" t="s">
        <v>714</v>
      </c>
      <c r="B30" s="341">
        <v>134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3</v>
      </c>
      <c r="D36" s="334">
        <v>953528.50899999996</v>
      </c>
      <c r="E36" s="334">
        <v>8</v>
      </c>
      <c r="F36" s="334">
        <v>166947.17000000001</v>
      </c>
    </row>
    <row r="37" spans="1:6">
      <c r="A37" s="348" t="s">
        <v>24</v>
      </c>
      <c r="B37" s="348" t="s">
        <v>27</v>
      </c>
      <c r="C37" s="334">
        <v>0</v>
      </c>
      <c r="D37" s="334">
        <v>0</v>
      </c>
      <c r="E37" s="334">
        <v>0</v>
      </c>
      <c r="F37" s="334">
        <v>0</v>
      </c>
    </row>
    <row r="38" spans="1:6">
      <c r="A38" s="348" t="s">
        <v>24</v>
      </c>
      <c r="B38" s="348" t="s">
        <v>28</v>
      </c>
      <c r="C38" s="334">
        <v>3</v>
      </c>
      <c r="D38" s="334">
        <v>386988.94400000002</v>
      </c>
      <c r="E38" s="334">
        <v>7</v>
      </c>
      <c r="F38" s="334">
        <v>57746.898000000001</v>
      </c>
    </row>
    <row r="39" spans="1:6">
      <c r="A39" s="348" t="s">
        <v>29</v>
      </c>
      <c r="B39" s="348" t="s">
        <v>30</v>
      </c>
      <c r="C39" s="334">
        <v>24540</v>
      </c>
      <c r="D39" s="334">
        <v>328543266.10000002</v>
      </c>
      <c r="E39" s="334">
        <v>31831</v>
      </c>
      <c r="F39" s="334">
        <v>101140446.5</v>
      </c>
    </row>
    <row r="40" spans="1:6">
      <c r="A40" s="348" t="s">
        <v>29</v>
      </c>
      <c r="B40" s="348" t="s">
        <v>28</v>
      </c>
      <c r="C40" s="334">
        <v>1</v>
      </c>
      <c r="D40" s="334">
        <v>2188.8130000000001</v>
      </c>
      <c r="E40" s="334">
        <v>2</v>
      </c>
      <c r="F40" s="334">
        <v>28322.786</v>
      </c>
    </row>
    <row r="41" spans="1:6">
      <c r="A41" s="348" t="s">
        <v>31</v>
      </c>
      <c r="B41" s="348" t="s">
        <v>32</v>
      </c>
      <c r="C41" s="334">
        <v>282</v>
      </c>
      <c r="D41" s="334">
        <v>6872782.9019999998</v>
      </c>
      <c r="E41" s="334">
        <v>590</v>
      </c>
      <c r="F41" s="334">
        <v>6987503.8420000002</v>
      </c>
    </row>
    <row r="42" spans="1:6">
      <c r="A42" s="348" t="s">
        <v>31</v>
      </c>
      <c r="B42" s="348" t="s">
        <v>33</v>
      </c>
      <c r="C42" s="334">
        <v>5</v>
      </c>
      <c r="D42" s="334">
        <v>3987078.662</v>
      </c>
      <c r="E42" s="334">
        <v>5</v>
      </c>
      <c r="F42" s="334">
        <v>2138949.31</v>
      </c>
    </row>
    <row r="43" spans="1:6">
      <c r="A43" s="348" t="s">
        <v>31</v>
      </c>
      <c r="B43" s="348" t="s">
        <v>34</v>
      </c>
      <c r="C43" s="334">
        <v>0</v>
      </c>
      <c r="D43" s="334">
        <v>0</v>
      </c>
      <c r="E43" s="334">
        <v>0</v>
      </c>
      <c r="F43" s="334">
        <v>0</v>
      </c>
    </row>
    <row r="44" spans="1:6">
      <c r="A44" s="348" t="s">
        <v>31</v>
      </c>
      <c r="B44" s="348" t="s">
        <v>35</v>
      </c>
      <c r="C44" s="334">
        <v>24</v>
      </c>
      <c r="D44" s="334">
        <v>9881356.3230000008</v>
      </c>
      <c r="E44" s="334">
        <v>64</v>
      </c>
      <c r="F44" s="334">
        <v>12627830.359999999</v>
      </c>
    </row>
    <row r="45" spans="1:6">
      <c r="A45" s="348" t="s">
        <v>31</v>
      </c>
      <c r="B45" s="348" t="s">
        <v>36</v>
      </c>
      <c r="C45" s="334">
        <v>0</v>
      </c>
      <c r="D45" s="334">
        <v>0</v>
      </c>
      <c r="E45" s="334">
        <v>13</v>
      </c>
      <c r="F45" s="334">
        <v>263649.15299999999</v>
      </c>
    </row>
    <row r="46" spans="1:6">
      <c r="A46" s="348" t="s">
        <v>31</v>
      </c>
      <c r="B46" s="348" t="s">
        <v>37</v>
      </c>
      <c r="C46" s="334">
        <v>0</v>
      </c>
      <c r="D46" s="334">
        <v>0</v>
      </c>
      <c r="E46" s="334">
        <v>0</v>
      </c>
      <c r="F46" s="334">
        <v>0</v>
      </c>
    </row>
    <row r="47" spans="1:6">
      <c r="A47" s="348" t="s">
        <v>31</v>
      </c>
      <c r="B47" s="348" t="s">
        <v>38</v>
      </c>
      <c r="C47" s="334">
        <v>15</v>
      </c>
      <c r="D47" s="334">
        <v>1410631.8389999999</v>
      </c>
      <c r="E47" s="334">
        <v>17</v>
      </c>
      <c r="F47" s="334">
        <v>1607573.642</v>
      </c>
    </row>
    <row r="48" spans="1:6">
      <c r="A48" s="348" t="s">
        <v>31</v>
      </c>
      <c r="B48" s="348" t="s">
        <v>28</v>
      </c>
      <c r="C48" s="334">
        <v>90</v>
      </c>
      <c r="D48" s="334">
        <v>31797748.190000001</v>
      </c>
      <c r="E48" s="334">
        <v>101</v>
      </c>
      <c r="F48" s="334">
        <v>37391602.93</v>
      </c>
    </row>
    <row r="49" spans="1:6">
      <c r="A49" s="348" t="s">
        <v>31</v>
      </c>
      <c r="B49" s="348" t="s">
        <v>39</v>
      </c>
      <c r="C49" s="334">
        <v>19</v>
      </c>
      <c r="D49" s="334">
        <v>326497.95199999999</v>
      </c>
      <c r="E49" s="334">
        <v>34</v>
      </c>
      <c r="F49" s="334">
        <v>1717877.4839999999</v>
      </c>
    </row>
    <row r="50" spans="1:6">
      <c r="A50" s="348" t="s">
        <v>31</v>
      </c>
      <c r="B50" s="348" t="s">
        <v>40</v>
      </c>
      <c r="C50" s="334">
        <v>34</v>
      </c>
      <c r="D50" s="334">
        <v>7728314.4340000004</v>
      </c>
      <c r="E50" s="334">
        <v>52</v>
      </c>
      <c r="F50" s="334">
        <v>13929439.52</v>
      </c>
    </row>
    <row r="51" spans="1:6">
      <c r="A51" s="348" t="s">
        <v>41</v>
      </c>
      <c r="B51" s="348" t="s">
        <v>42</v>
      </c>
      <c r="C51" s="334">
        <v>28</v>
      </c>
      <c r="D51" s="334">
        <v>627981.60199999996</v>
      </c>
      <c r="E51" s="334">
        <v>174</v>
      </c>
      <c r="F51" s="334">
        <v>3656020.5529999998</v>
      </c>
    </row>
    <row r="52" spans="1:6">
      <c r="A52" s="348" t="s">
        <v>41</v>
      </c>
      <c r="B52" s="348" t="s">
        <v>28</v>
      </c>
      <c r="C52" s="334">
        <v>17</v>
      </c>
      <c r="D52" s="334">
        <v>1852204.9010000001</v>
      </c>
      <c r="E52" s="334">
        <v>26</v>
      </c>
      <c r="F52" s="334">
        <v>521556.84899999999</v>
      </c>
    </row>
    <row r="53" spans="1:6">
      <c r="A53" s="348" t="s">
        <v>43</v>
      </c>
      <c r="B53" s="348" t="s">
        <v>44</v>
      </c>
      <c r="C53" s="334">
        <v>590</v>
      </c>
      <c r="D53" s="334">
        <v>16885885.670000002</v>
      </c>
      <c r="E53" s="334">
        <v>1550</v>
      </c>
      <c r="F53" s="334">
        <v>12047986.09</v>
      </c>
    </row>
    <row r="54" spans="1:6">
      <c r="A54" s="348" t="s">
        <v>45</v>
      </c>
      <c r="B54" s="348" t="s">
        <v>46</v>
      </c>
      <c r="C54" s="334">
        <v>0</v>
      </c>
      <c r="D54" s="334">
        <v>0</v>
      </c>
      <c r="E54" s="334">
        <v>1</v>
      </c>
      <c r="F54" s="334">
        <v>3352853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309</v>
      </c>
      <c r="D57" s="334">
        <v>26587819.690000001</v>
      </c>
      <c r="E57" s="334">
        <v>339</v>
      </c>
      <c r="F57" s="334">
        <v>8191123.0470000003</v>
      </c>
    </row>
    <row r="58" spans="1:6">
      <c r="A58" s="348" t="s">
        <v>48</v>
      </c>
      <c r="B58" s="348" t="s">
        <v>50</v>
      </c>
      <c r="C58" s="334">
        <v>203</v>
      </c>
      <c r="D58" s="334">
        <v>32873331.43</v>
      </c>
      <c r="E58" s="334">
        <v>326</v>
      </c>
      <c r="F58" s="334">
        <v>19502961.52</v>
      </c>
    </row>
    <row r="59" spans="1:6">
      <c r="A59" s="348" t="s">
        <v>48</v>
      </c>
      <c r="B59" s="348" t="s">
        <v>51</v>
      </c>
      <c r="C59" s="334">
        <v>620</v>
      </c>
      <c r="D59" s="334">
        <v>36244454.420000002</v>
      </c>
      <c r="E59" s="334">
        <v>1140</v>
      </c>
      <c r="F59" s="334">
        <v>45829260.130000003</v>
      </c>
    </row>
    <row r="60" spans="1:6">
      <c r="A60" s="348" t="s">
        <v>48</v>
      </c>
      <c r="B60" s="348" t="s">
        <v>52</v>
      </c>
      <c r="C60" s="334">
        <v>277</v>
      </c>
      <c r="D60" s="334">
        <v>12951938.26</v>
      </c>
      <c r="E60" s="334">
        <v>344</v>
      </c>
      <c r="F60" s="334">
        <v>10243718.74</v>
      </c>
    </row>
    <row r="61" spans="1:6">
      <c r="A61" s="348" t="s">
        <v>48</v>
      </c>
      <c r="B61" s="348" t="s">
        <v>53</v>
      </c>
      <c r="C61" s="334">
        <v>787</v>
      </c>
      <c r="D61" s="334">
        <v>43433809.82</v>
      </c>
      <c r="E61" s="334">
        <v>1610</v>
      </c>
      <c r="F61" s="334">
        <v>27036044.800000001</v>
      </c>
    </row>
    <row r="62" spans="1:6">
      <c r="A62" s="348" t="s">
        <v>48</v>
      </c>
      <c r="B62" s="348" t="s">
        <v>54</v>
      </c>
      <c r="C62" s="334">
        <v>96</v>
      </c>
      <c r="D62" s="334">
        <v>14726598.34</v>
      </c>
      <c r="E62" s="334">
        <v>112</v>
      </c>
      <c r="F62" s="334">
        <v>3979145.25</v>
      </c>
    </row>
    <row r="63" spans="1:6">
      <c r="A63" s="348" t="s">
        <v>48</v>
      </c>
      <c r="B63" s="348" t="s">
        <v>28</v>
      </c>
      <c r="C63" s="334">
        <v>218</v>
      </c>
      <c r="D63" s="334">
        <v>13097558.710000001</v>
      </c>
      <c r="E63" s="334">
        <v>248</v>
      </c>
      <c r="F63" s="334">
        <v>6101038.7089999998</v>
      </c>
    </row>
    <row r="64" spans="1:6">
      <c r="A64" s="348" t="s">
        <v>55</v>
      </c>
      <c r="B64" s="348" t="s">
        <v>56</v>
      </c>
      <c r="C64" s="334">
        <v>0</v>
      </c>
      <c r="D64" s="334">
        <v>0</v>
      </c>
      <c r="E64" s="334">
        <v>0</v>
      </c>
      <c r="F64" s="334">
        <v>0</v>
      </c>
    </row>
    <row r="65" spans="1:6">
      <c r="A65" s="348" t="s">
        <v>55</v>
      </c>
      <c r="B65" s="348" t="s">
        <v>28</v>
      </c>
      <c r="C65" s="334">
        <v>9</v>
      </c>
      <c r="D65" s="334">
        <v>442086.10800000001</v>
      </c>
      <c r="E65" s="334">
        <v>10</v>
      </c>
      <c r="F65" s="334">
        <v>96254.793000000005</v>
      </c>
    </row>
    <row r="66" spans="1:6">
      <c r="A66" s="348" t="s">
        <v>55</v>
      </c>
      <c r="B66" s="348" t="s">
        <v>57</v>
      </c>
      <c r="C66" s="334">
        <v>3</v>
      </c>
      <c r="D66" s="334">
        <v>322991.10200000001</v>
      </c>
      <c r="E66" s="334">
        <v>30</v>
      </c>
      <c r="F66" s="334">
        <v>1134231.209</v>
      </c>
    </row>
    <row r="67" spans="1:6">
      <c r="A67" s="355" t="s">
        <v>55</v>
      </c>
      <c r="B67" s="355" t="s">
        <v>58</v>
      </c>
      <c r="C67" s="334">
        <v>0</v>
      </c>
      <c r="D67" s="334">
        <v>0</v>
      </c>
      <c r="E67" s="334">
        <v>0</v>
      </c>
      <c r="F67" s="334">
        <v>0</v>
      </c>
    </row>
    <row r="68" spans="1:6">
      <c r="A68" s="341" t="s">
        <v>55</v>
      </c>
      <c r="B68" s="341" t="s">
        <v>59</v>
      </c>
      <c r="C68" s="334">
        <v>11</v>
      </c>
      <c r="D68" s="334">
        <v>334194.05099999998</v>
      </c>
      <c r="E68" s="334">
        <v>39</v>
      </c>
      <c r="F68" s="334">
        <v>1042068.757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179028598</v>
      </c>
      <c r="E73" s="476"/>
    </row>
    <row r="74" spans="1:6">
      <c r="A74" s="348" t="s">
        <v>63</v>
      </c>
      <c r="B74" s="348" t="s">
        <v>651</v>
      </c>
      <c r="C74" s="1307" t="s">
        <v>653</v>
      </c>
      <c r="D74" s="476">
        <v>21798472.5</v>
      </c>
      <c r="E74" s="476"/>
    </row>
    <row r="75" spans="1:6">
      <c r="A75" s="348" t="s">
        <v>64</v>
      </c>
      <c r="B75" s="348" t="s">
        <v>650</v>
      </c>
      <c r="C75" s="1307" t="s">
        <v>654</v>
      </c>
      <c r="D75" s="476">
        <v>168304855</v>
      </c>
      <c r="E75" s="476"/>
    </row>
    <row r="76" spans="1:6">
      <c r="A76" s="348" t="s">
        <v>64</v>
      </c>
      <c r="B76" s="348" t="s">
        <v>651</v>
      </c>
      <c r="C76" s="1307" t="s">
        <v>655</v>
      </c>
      <c r="D76" s="476">
        <v>11267148.5</v>
      </c>
      <c r="E76" s="476"/>
    </row>
    <row r="77" spans="1:6">
      <c r="A77" s="348" t="s">
        <v>65</v>
      </c>
      <c r="B77" s="348" t="s">
        <v>650</v>
      </c>
      <c r="C77" s="1307" t="s">
        <v>656</v>
      </c>
      <c r="D77" s="476">
        <v>136854791</v>
      </c>
      <c r="E77" s="476"/>
    </row>
    <row r="78" spans="1:6">
      <c r="A78" s="341" t="s">
        <v>65</v>
      </c>
      <c r="B78" s="341" t="s">
        <v>651</v>
      </c>
      <c r="C78" s="341" t="s">
        <v>657</v>
      </c>
      <c r="D78" s="1308">
        <v>32656558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2717277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13097.773333869418</v>
      </c>
    </row>
    <row r="92" spans="1:6">
      <c r="A92" s="341" t="s">
        <v>68</v>
      </c>
      <c r="B92" s="342">
        <v>11876.058054461526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16810</v>
      </c>
    </row>
    <row r="98" spans="1:6">
      <c r="A98" s="348" t="s">
        <v>71</v>
      </c>
      <c r="B98" s="334">
        <v>15</v>
      </c>
    </row>
    <row r="99" spans="1:6">
      <c r="A99" s="348" t="s">
        <v>72</v>
      </c>
      <c r="B99" s="334">
        <v>215</v>
      </c>
    </row>
    <row r="100" spans="1:6">
      <c r="A100" s="348" t="s">
        <v>73</v>
      </c>
      <c r="B100" s="334">
        <v>2077</v>
      </c>
    </row>
    <row r="101" spans="1:6">
      <c r="A101" s="348" t="s">
        <v>74</v>
      </c>
      <c r="B101" s="334">
        <v>290</v>
      </c>
    </row>
    <row r="102" spans="1:6">
      <c r="A102" s="348" t="s">
        <v>75</v>
      </c>
      <c r="B102" s="334">
        <v>856</v>
      </c>
    </row>
    <row r="103" spans="1:6">
      <c r="A103" s="348" t="s">
        <v>76</v>
      </c>
      <c r="B103" s="334">
        <v>965</v>
      </c>
    </row>
    <row r="104" spans="1:6">
      <c r="A104" s="348" t="s">
        <v>77</v>
      </c>
      <c r="B104" s="334">
        <v>6412</v>
      </c>
    </row>
    <row r="105" spans="1:6">
      <c r="A105" s="341" t="s">
        <v>78</v>
      </c>
      <c r="B105" s="341">
        <v>32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2</v>
      </c>
      <c r="C122" s="334">
        <v>0</v>
      </c>
    </row>
    <row r="123" spans="1:6">
      <c r="A123" s="348" t="s">
        <v>87</v>
      </c>
      <c r="B123" s="334">
        <v>173</v>
      </c>
      <c r="C123" s="334">
        <v>130</v>
      </c>
    </row>
    <row r="124" spans="1:6">
      <c r="A124" s="341" t="s">
        <v>88</v>
      </c>
      <c r="B124" s="334">
        <v>4</v>
      </c>
      <c r="C124" s="334">
        <v>5</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523</v>
      </c>
    </row>
    <row r="130" spans="1:6">
      <c r="A130" s="348" t="s">
        <v>294</v>
      </c>
      <c r="B130" s="334">
        <v>11</v>
      </c>
    </row>
    <row r="131" spans="1:6">
      <c r="A131" s="348" t="s">
        <v>295</v>
      </c>
      <c r="B131" s="334">
        <v>13</v>
      </c>
    </row>
    <row r="132" spans="1:6">
      <c r="A132" s="341" t="s">
        <v>296</v>
      </c>
      <c r="B132" s="342">
        <v>91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332346.36866470828</v>
      </c>
      <c r="C3" s="43" t="s">
        <v>169</v>
      </c>
      <c r="D3" s="43"/>
      <c r="E3" s="154"/>
      <c r="F3" s="43"/>
      <c r="G3" s="43"/>
      <c r="H3" s="43"/>
      <c r="I3" s="43"/>
      <c r="J3" s="43"/>
      <c r="K3" s="96"/>
    </row>
    <row r="4" spans="1:11">
      <c r="A4" s="383" t="s">
        <v>170</v>
      </c>
      <c r="B4" s="49">
        <f>IF(ISERROR('SEAP template'!B78+'SEAP template'!C78),0,'SEAP template'!B78+'SEAP template'!C78)</f>
        <v>25664.581388330946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164.15470588235297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0.20442777806459106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234.50672268907564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986.78571428571433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3352.8530000000001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3352.8530000000001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0.20442777806459106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685.41628896719828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101168.769286</v>
      </c>
      <c r="C5" s="17">
        <f>IF(ISERROR('Eigen informatie GS &amp; warmtenet'!B59),0,'Eigen informatie GS &amp; warmtenet'!B59)</f>
        <v>0</v>
      </c>
      <c r="D5" s="30">
        <f>(SUM(HH_hh_gas_kWh,HH_rest_gas_kWh)/1000)*0.902</f>
        <v>296348.00033152604</v>
      </c>
      <c r="E5" s="17">
        <f>B46*B57</f>
        <v>23209.38028563626</v>
      </c>
      <c r="F5" s="17">
        <f>B51*B62</f>
        <v>0</v>
      </c>
      <c r="G5" s="18"/>
      <c r="H5" s="17"/>
      <c r="I5" s="17"/>
      <c r="J5" s="17">
        <f>B50*B61+C50*C61</f>
        <v>5632.893997960141</v>
      </c>
      <c r="K5" s="17"/>
      <c r="L5" s="17"/>
      <c r="M5" s="17"/>
      <c r="N5" s="17">
        <f>B48*B59+C48*C59</f>
        <v>54175.590564914441</v>
      </c>
      <c r="O5" s="17">
        <f>B69*B70*B71</f>
        <v>1305.444508356667</v>
      </c>
      <c r="P5" s="17">
        <f>B77*B78*B79/1000-B77*B78*B79/1000/B80</f>
        <v>2823.1010944595864</v>
      </c>
    </row>
    <row r="6" spans="1:16">
      <c r="A6" s="16" t="s">
        <v>615</v>
      </c>
      <c r="B6" s="809">
        <f>kWh_PV_kleiner_dan_10kW</f>
        <v>13097.773333869418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114266.54261986942</v>
      </c>
      <c r="C8" s="21">
        <f>C5</f>
        <v>0</v>
      </c>
      <c r="D8" s="21">
        <f>D5</f>
        <v>296348.00033152604</v>
      </c>
      <c r="E8" s="21">
        <f>E5</f>
        <v>23209.38028563626</v>
      </c>
      <c r="F8" s="21">
        <f>F5</f>
        <v>0</v>
      </c>
      <c r="G8" s="21"/>
      <c r="H8" s="21"/>
      <c r="I8" s="21"/>
      <c r="J8" s="21">
        <f>J5</f>
        <v>5632.893997960141</v>
      </c>
      <c r="K8" s="21"/>
      <c r="L8" s="21">
        <f>L5</f>
        <v>0</v>
      </c>
      <c r="M8" s="21">
        <f>M5</f>
        <v>0</v>
      </c>
      <c r="N8" s="21">
        <f>N5</f>
        <v>54175.590564914441</v>
      </c>
      <c r="O8" s="21">
        <f>O5</f>
        <v>1305.444508356667</v>
      </c>
      <c r="P8" s="21">
        <f>P5</f>
        <v>2823.1010944595864</v>
      </c>
    </row>
    <row r="9" spans="1:16">
      <c r="B9" s="19"/>
      <c r="C9" s="19"/>
      <c r="D9" s="258"/>
      <c r="E9" s="19"/>
      <c r="F9" s="19"/>
      <c r="G9" s="19"/>
      <c r="H9" s="19"/>
      <c r="I9" s="19"/>
      <c r="J9" s="19"/>
      <c r="K9" s="19"/>
      <c r="L9" s="19"/>
      <c r="M9" s="19"/>
      <c r="N9" s="19"/>
      <c r="O9" s="19"/>
      <c r="P9" s="19"/>
    </row>
    <row r="10" spans="1:16">
      <c r="A10" s="24" t="s">
        <v>213</v>
      </c>
      <c r="B10" s="25">
        <f ca="1">'EF ele_warmte'!B12</f>
        <v>0.20442777806459106</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23359.2554149028</v>
      </c>
      <c r="C12" s="23">
        <f ca="1">C10*C8</f>
        <v>0</v>
      </c>
      <c r="D12" s="23">
        <f>D8*D10</f>
        <v>59862.296066968265</v>
      </c>
      <c r="E12" s="23">
        <f>E10*E8</f>
        <v>5268.529324839431</v>
      </c>
      <c r="F12" s="23">
        <f>F10*F8</f>
        <v>0</v>
      </c>
      <c r="G12" s="23"/>
      <c r="H12" s="23"/>
      <c r="I12" s="23"/>
      <c r="J12" s="23">
        <f>J10*J8</f>
        <v>1994.0444752778899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16810</v>
      </c>
      <c r="C18" s="166" t="s">
        <v>110</v>
      </c>
      <c r="D18" s="228"/>
      <c r="E18" s="15"/>
    </row>
    <row r="19" spans="1:7">
      <c r="A19" s="171" t="s">
        <v>71</v>
      </c>
      <c r="B19" s="37">
        <f>aantalw2001_ander</f>
        <v>15</v>
      </c>
      <c r="C19" s="166" t="s">
        <v>110</v>
      </c>
      <c r="D19" s="229"/>
      <c r="E19" s="15"/>
    </row>
    <row r="20" spans="1:7">
      <c r="A20" s="171" t="s">
        <v>72</v>
      </c>
      <c r="B20" s="37">
        <f>aantalw2001_propaan</f>
        <v>215</v>
      </c>
      <c r="C20" s="167">
        <f>IF(ISERROR(B20/SUM($B$20,$B$21,$B$22)*100),0,B20/SUM($B$20,$B$21,$B$22)*100)</f>
        <v>8.3268783888458557</v>
      </c>
      <c r="D20" s="229"/>
      <c r="E20" s="15"/>
    </row>
    <row r="21" spans="1:7">
      <c r="A21" s="171" t="s">
        <v>73</v>
      </c>
      <c r="B21" s="37">
        <f>aantalw2001_elektriciteit</f>
        <v>2077</v>
      </c>
      <c r="C21" s="167">
        <f>IF(ISERROR(B21/SUM($B$20,$B$21,$B$22)*100),0,B21/SUM($B$20,$B$21,$B$22)*100)</f>
        <v>80.441518202943456</v>
      </c>
      <c r="D21" s="229"/>
      <c r="E21" s="15"/>
    </row>
    <row r="22" spans="1:7">
      <c r="A22" s="171" t="s">
        <v>74</v>
      </c>
      <c r="B22" s="37">
        <f>aantalw2001_hout</f>
        <v>290</v>
      </c>
      <c r="C22" s="167">
        <f>IF(ISERROR(B22/SUM($B$20,$B$21,$B$22)*100),0,B22/SUM($B$20,$B$21,$B$22)*100)</f>
        <v>11.23160340821069</v>
      </c>
      <c r="D22" s="229"/>
      <c r="E22" s="15"/>
    </row>
    <row r="23" spans="1:7">
      <c r="A23" s="171" t="s">
        <v>75</v>
      </c>
      <c r="B23" s="37">
        <f>aantalw2001_niet_gespec</f>
        <v>856</v>
      </c>
      <c r="C23" s="166" t="s">
        <v>110</v>
      </c>
      <c r="D23" s="228"/>
      <c r="E23" s="15"/>
    </row>
    <row r="24" spans="1:7">
      <c r="A24" s="171" t="s">
        <v>76</v>
      </c>
      <c r="B24" s="37">
        <f>aantalw2001_steenkool</f>
        <v>965</v>
      </c>
      <c r="C24" s="166" t="s">
        <v>110</v>
      </c>
      <c r="D24" s="229"/>
      <c r="E24" s="15"/>
    </row>
    <row r="25" spans="1:7">
      <c r="A25" s="171" t="s">
        <v>77</v>
      </c>
      <c r="B25" s="37">
        <f>aantalw2001_stookolie</f>
        <v>6412</v>
      </c>
      <c r="C25" s="166" t="s">
        <v>110</v>
      </c>
      <c r="D25" s="228"/>
      <c r="E25" s="52"/>
    </row>
    <row r="26" spans="1:7">
      <c r="A26" s="171" t="s">
        <v>78</v>
      </c>
      <c r="B26" s="37">
        <f>aantalw2001_WP</f>
        <v>32</v>
      </c>
      <c r="C26" s="166" t="s">
        <v>110</v>
      </c>
      <c r="D26" s="228"/>
      <c r="E26" s="15"/>
    </row>
    <row r="27" spans="1:7" s="15" customFormat="1">
      <c r="A27" s="171"/>
      <c r="B27" s="29"/>
      <c r="C27" s="36"/>
      <c r="D27" s="228"/>
    </row>
    <row r="28" spans="1:7" s="15" customFormat="1">
      <c r="A28" s="230" t="s">
        <v>836</v>
      </c>
      <c r="B28" s="37">
        <f>aantalHuishoudens2011</f>
        <v>32116</v>
      </c>
      <c r="C28" s="36"/>
      <c r="D28" s="228"/>
    </row>
    <row r="29" spans="1:7" s="15" customFormat="1">
      <c r="A29" s="230" t="s">
        <v>837</v>
      </c>
      <c r="B29" s="37">
        <f>SUM(HH_hh_gas_aantal,HH_rest_gas_aantal)</f>
        <v>24541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24541</v>
      </c>
      <c r="C32" s="167">
        <f>IF(ISERROR(B32/SUM($B$32,$B$34,$B$35,$B$36,$B$38,$B$39)*100),0,B32/SUM($B$32,$B$34,$B$35,$B$36,$B$38,$B$39)*100)</f>
        <v>77.056644059281581</v>
      </c>
      <c r="D32" s="233"/>
      <c r="G32" s="15"/>
    </row>
    <row r="33" spans="1:7">
      <c r="A33" s="171" t="s">
        <v>71</v>
      </c>
      <c r="B33" s="34" t="s">
        <v>110</v>
      </c>
      <c r="C33" s="167"/>
      <c r="D33" s="233"/>
      <c r="G33" s="15"/>
    </row>
    <row r="34" spans="1:7">
      <c r="A34" s="171" t="s">
        <v>72</v>
      </c>
      <c r="B34" s="33">
        <f>IF((($B$28-$B$32-$B$39-$B$77-$B$38)*C20/100)&lt;0,0,($B$28-$B$32-$B$39-$B$77-$B$38)*C20/100)</f>
        <v>592.46572424477154</v>
      </c>
      <c r="C34" s="167">
        <f>IF(ISERROR(B34/SUM($B$32,$B$34,$B$35,$B$36,$B$38,$B$39)*100),0,B34/SUM($B$32,$B$34,$B$35,$B$36,$B$38,$B$39)*100)</f>
        <v>1.8602917741923246</v>
      </c>
      <c r="D34" s="233"/>
      <c r="G34" s="15"/>
    </row>
    <row r="35" spans="1:7">
      <c r="A35" s="171" t="s">
        <v>73</v>
      </c>
      <c r="B35" s="33">
        <f>IF((($B$28-$B$32-$B$39-$B$77-$B$38)*C21/100)&lt;0,0,($B$28-$B$32-$B$39-$B$77-$B$38)*C21/100)</f>
        <v>5723.4944616576295</v>
      </c>
      <c r="C35" s="167">
        <f>IF(ISERROR(B35/SUM($B$32,$B$34,$B$35,$B$36,$B$38,$B$39)*100),0,B35/SUM($B$32,$B$34,$B$35,$B$36,$B$38,$B$39)*100)</f>
        <v>17.971283790685849</v>
      </c>
      <c r="D35" s="233"/>
      <c r="G35" s="15"/>
    </row>
    <row r="36" spans="1:7">
      <c r="A36" s="171" t="s">
        <v>74</v>
      </c>
      <c r="B36" s="33">
        <f>IF((($B$28-$B$32-$B$39-$B$77-$B$38)*C22/100)&lt;0,0,($B$28-$B$32-$B$39-$B$77-$B$38)*C22/100)</f>
        <v>799.1398140975989</v>
      </c>
      <c r="C36" s="167">
        <f>IF(ISERROR(B36/SUM($B$32,$B$34,$B$35,$B$36,$B$38,$B$39)*100),0,B36/SUM($B$32,$B$34,$B$35,$B$36,$B$38,$B$39)*100)</f>
        <v>2.5092307651896477</v>
      </c>
      <c r="D36" s="233"/>
      <c r="G36" s="15"/>
    </row>
    <row r="37" spans="1:7">
      <c r="A37" s="171" t="s">
        <v>75</v>
      </c>
      <c r="B37" s="34" t="s">
        <v>110</v>
      </c>
      <c r="C37" s="167"/>
      <c r="D37" s="173"/>
      <c r="G37" s="15"/>
    </row>
    <row r="38" spans="1:7">
      <c r="A38" s="171" t="s">
        <v>76</v>
      </c>
      <c r="B38" s="33">
        <f>IF((B24-(B29-B18)*0.1)&lt;0,0,B24-(B29-B18)*0.1)</f>
        <v>191.89999999999998</v>
      </c>
      <c r="C38" s="167">
        <f>IF(ISERROR(B38/SUM($B$32,$B$34,$B$35,$B$36,$B$38,$B$39)*100),0,B38/SUM($B$32,$B$34,$B$35,$B$36,$B$38,$B$39)*100)</f>
        <v>0.60254961065059021</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24541</v>
      </c>
      <c r="C44" s="34" t="s">
        <v>110</v>
      </c>
      <c r="D44" s="174"/>
    </row>
    <row r="45" spans="1:7">
      <c r="A45" s="171" t="s">
        <v>71</v>
      </c>
      <c r="B45" s="33" t="str">
        <f t="shared" si="0"/>
        <v>-</v>
      </c>
      <c r="C45" s="34" t="s">
        <v>110</v>
      </c>
      <c r="D45" s="174"/>
    </row>
    <row r="46" spans="1:7">
      <c r="A46" s="171" t="s">
        <v>72</v>
      </c>
      <c r="B46" s="33">
        <f t="shared" si="0"/>
        <v>592.46572424477154</v>
      </c>
      <c r="C46" s="34" t="s">
        <v>110</v>
      </c>
      <c r="D46" s="174"/>
    </row>
    <row r="47" spans="1:7">
      <c r="A47" s="171" t="s">
        <v>73</v>
      </c>
      <c r="B47" s="33">
        <f t="shared" si="0"/>
        <v>5723.4944616576295</v>
      </c>
      <c r="C47" s="34" t="s">
        <v>110</v>
      </c>
      <c r="D47" s="174"/>
    </row>
    <row r="48" spans="1:7">
      <c r="A48" s="171" t="s">
        <v>74</v>
      </c>
      <c r="B48" s="33">
        <f t="shared" si="0"/>
        <v>799.1398140975989</v>
      </c>
      <c r="C48" s="33">
        <f>B48*10</f>
        <v>7991.398140975989</v>
      </c>
      <c r="D48" s="234"/>
    </row>
    <row r="49" spans="1:6">
      <c r="A49" s="171" t="s">
        <v>75</v>
      </c>
      <c r="B49" s="33" t="str">
        <f t="shared" si="0"/>
        <v>-</v>
      </c>
      <c r="C49" s="34" t="s">
        <v>110</v>
      </c>
      <c r="D49" s="234"/>
    </row>
    <row r="50" spans="1:6">
      <c r="A50" s="171" t="s">
        <v>76</v>
      </c>
      <c r="B50" s="33">
        <f t="shared" si="0"/>
        <v>191.89999999999998</v>
      </c>
      <c r="C50" s="33">
        <f>B50*2</f>
        <v>383.79999999999995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658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120883.29219599999</v>
      </c>
      <c r="C5" s="17">
        <f>IF(ISERROR('Eigen informatie GS &amp; warmtenet'!B60),0,'Eigen informatie GS &amp; warmtenet'!B60)</f>
        <v>0</v>
      </c>
      <c r="D5" s="30">
        <f>SUM(D6:D12)</f>
        <v>162283.79062434001</v>
      </c>
      <c r="E5" s="17">
        <f>SUM(E6:E12)</f>
        <v>1786.891360817566</v>
      </c>
      <c r="F5" s="17">
        <f>SUM(F6:F12)</f>
        <v>12965.48669459178</v>
      </c>
      <c r="G5" s="18"/>
      <c r="H5" s="17"/>
      <c r="I5" s="17"/>
      <c r="J5" s="17">
        <f>SUM(J6:J12)</f>
        <v>0.15074527017377709</v>
      </c>
      <c r="K5" s="17"/>
      <c r="L5" s="17"/>
      <c r="M5" s="17"/>
      <c r="N5" s="17">
        <f>SUM(N6:N12)</f>
        <v>6075.7664505079529</v>
      </c>
      <c r="O5" s="17">
        <f>B38*B39*B40</f>
        <v>53.869868424252701</v>
      </c>
      <c r="P5" s="17">
        <f>B46*B47*B48/1000-B46*B47*B48/1000/B49</f>
        <v>788.08707459742516</v>
      </c>
      <c r="R5" s="32"/>
    </row>
    <row r="6" spans="1:18">
      <c r="A6" s="32" t="s">
        <v>53</v>
      </c>
      <c r="B6" s="37">
        <f>B26</f>
        <v>27036.0448</v>
      </c>
      <c r="C6" s="33"/>
      <c r="D6" s="37">
        <f>IF(ISERROR(TER_kantoor_gas_kWh/1000),0,TER_kantoor_gas_kWh/1000)*0.902</f>
        <v>39177.296457640005</v>
      </c>
      <c r="E6" s="33">
        <f>$C$26*'E Balans VL '!I12/100/3.6*1000000</f>
        <v>217.55038406671679</v>
      </c>
      <c r="F6" s="33">
        <f>$C$26*('E Balans VL '!L12+'E Balans VL '!N12)/100/3.6*1000000</f>
        <v>3305.4408868857204</v>
      </c>
      <c r="G6" s="34"/>
      <c r="H6" s="33"/>
      <c r="I6" s="33"/>
      <c r="J6" s="33">
        <f>$C$26*('E Balans VL '!D12+'E Balans VL '!E12)/100/3.6*1000000</f>
        <v>0</v>
      </c>
      <c r="K6" s="33"/>
      <c r="L6" s="33"/>
      <c r="M6" s="33"/>
      <c r="N6" s="33">
        <f>$C$26*'E Balans VL '!Y12/100/3.6*1000000</f>
        <v>14.530542698894967</v>
      </c>
      <c r="O6" s="33"/>
      <c r="P6" s="33"/>
      <c r="R6" s="32"/>
    </row>
    <row r="7" spans="1:18">
      <c r="A7" s="32" t="s">
        <v>52</v>
      </c>
      <c r="B7" s="37">
        <f t="shared" ref="B7:B12" si="0">B27</f>
        <v>10243.71874</v>
      </c>
      <c r="C7" s="33"/>
      <c r="D7" s="37">
        <f>IF(ISERROR(TER_horeca_gas_kWh/1000),0,TER_horeca_gas_kWh/1000)*0.902</f>
        <v>11682.648310519999</v>
      </c>
      <c r="E7" s="33">
        <f>$C$27*'E Balans VL '!I9/100/3.6*1000000</f>
        <v>109.99238509203552</v>
      </c>
      <c r="F7" s="33">
        <f>$C$27*('E Balans VL '!L9+'E Balans VL '!N9)/100/3.6*1000000</f>
        <v>1232.070967634113</v>
      </c>
      <c r="G7" s="34"/>
      <c r="H7" s="33"/>
      <c r="I7" s="33"/>
      <c r="J7" s="33">
        <f>$C$27*('E Balans VL '!D9+'E Balans VL '!E9)/100/3.6*1000000</f>
        <v>0</v>
      </c>
      <c r="K7" s="33"/>
      <c r="L7" s="33"/>
      <c r="M7" s="33"/>
      <c r="N7" s="33">
        <f>$C$27*'E Balans VL '!Y9/100/3.6*1000000</f>
        <v>1.5357410552009378</v>
      </c>
      <c r="O7" s="33"/>
      <c r="P7" s="33"/>
      <c r="R7" s="32"/>
    </row>
    <row r="8" spans="1:18">
      <c r="A8" s="6" t="s">
        <v>51</v>
      </c>
      <c r="B8" s="37">
        <f t="shared" si="0"/>
        <v>45829.260130000002</v>
      </c>
      <c r="C8" s="33"/>
      <c r="D8" s="37">
        <f>IF(ISERROR(TER_handel_gas_kWh/1000),0,TER_handel_gas_kWh/1000)*0.902</f>
        <v>32692.497886840003</v>
      </c>
      <c r="E8" s="33">
        <f>$C$28*'E Balans VL '!I13/100/3.6*1000000</f>
        <v>1229.9170369703813</v>
      </c>
      <c r="F8" s="33">
        <f>$C$28*('E Balans VL '!L13+'E Balans VL '!N13)/100/3.6*1000000</f>
        <v>4373.5239106200224</v>
      </c>
      <c r="G8" s="34"/>
      <c r="H8" s="33"/>
      <c r="I8" s="33"/>
      <c r="J8" s="33">
        <f>$C$28*('E Balans VL '!D13+'E Balans VL '!E13)/100/3.6*1000000</f>
        <v>0</v>
      </c>
      <c r="K8" s="33"/>
      <c r="L8" s="33"/>
      <c r="M8" s="33"/>
      <c r="N8" s="33">
        <f>$C$28*'E Balans VL '!Y13/100/3.6*1000000</f>
        <v>18.167239811885974</v>
      </c>
      <c r="O8" s="33"/>
      <c r="P8" s="33"/>
      <c r="R8" s="32"/>
    </row>
    <row r="9" spans="1:18">
      <c r="A9" s="32" t="s">
        <v>50</v>
      </c>
      <c r="B9" s="37">
        <f t="shared" si="0"/>
        <v>19502.961520000001</v>
      </c>
      <c r="C9" s="33"/>
      <c r="D9" s="37">
        <f>IF(ISERROR(TER_gezond_gas_kWh/1000),0,TER_gezond_gas_kWh/1000)*0.902</f>
        <v>29651.74494986</v>
      </c>
      <c r="E9" s="33">
        <f>$C$29*'E Balans VL '!I10/100/3.6*1000000</f>
        <v>36.554900328511138</v>
      </c>
      <c r="F9" s="33">
        <f>$C$29*('E Balans VL '!L10+'E Balans VL '!N10)/100/3.6*1000000</f>
        <v>1603.32138775617</v>
      </c>
      <c r="G9" s="34"/>
      <c r="H9" s="33"/>
      <c r="I9" s="33"/>
      <c r="J9" s="33">
        <f>$C$29*('E Balans VL '!D10+'E Balans VL '!E10)/100/3.6*1000000</f>
        <v>0</v>
      </c>
      <c r="K9" s="33"/>
      <c r="L9" s="33"/>
      <c r="M9" s="33"/>
      <c r="N9" s="33">
        <f>$C$29*'E Balans VL '!Y10/100/3.6*1000000</f>
        <v>151.74759192572591</v>
      </c>
      <c r="O9" s="33"/>
      <c r="P9" s="33"/>
      <c r="R9" s="32"/>
    </row>
    <row r="10" spans="1:18">
      <c r="A10" s="32" t="s">
        <v>49</v>
      </c>
      <c r="B10" s="37">
        <f t="shared" si="0"/>
        <v>8191.123047</v>
      </c>
      <c r="C10" s="33"/>
      <c r="D10" s="37">
        <f>IF(ISERROR(TER_ander_gas_kWh/1000),0,TER_ander_gas_kWh/1000)*0.902</f>
        <v>23982.213360379999</v>
      </c>
      <c r="E10" s="33">
        <f>$C$30*'E Balans VL '!I14/100/3.6*1000000</f>
        <v>12.626699176317889</v>
      </c>
      <c r="F10" s="33">
        <f>$C$30*('E Balans VL '!L14+'E Balans VL '!N14)/100/3.6*1000000</f>
        <v>1271.6741143305899</v>
      </c>
      <c r="G10" s="34"/>
      <c r="H10" s="33"/>
      <c r="I10" s="33"/>
      <c r="J10" s="33">
        <f>$C$30*('E Balans VL '!D14+'E Balans VL '!E14)/100/3.6*1000000</f>
        <v>0.13905295228432885</v>
      </c>
      <c r="K10" s="33"/>
      <c r="L10" s="33"/>
      <c r="M10" s="33"/>
      <c r="N10" s="33">
        <f>$C$30*'E Balans VL '!Y14/100/3.6*1000000</f>
        <v>5418.984484372143</v>
      </c>
      <c r="O10" s="33"/>
      <c r="P10" s="33"/>
      <c r="R10" s="32"/>
    </row>
    <row r="11" spans="1:18">
      <c r="A11" s="32" t="s">
        <v>54</v>
      </c>
      <c r="B11" s="37">
        <f t="shared" si="0"/>
        <v>3979.14525</v>
      </c>
      <c r="C11" s="33"/>
      <c r="D11" s="37">
        <f>IF(ISERROR(TER_onderwijs_gas_kWh/1000),0,TER_onderwijs_gas_kWh/1000)*0.902</f>
        <v>13283.391702680001</v>
      </c>
      <c r="E11" s="33">
        <f>$C$31*'E Balans VL '!I11/100/3.6*1000000</f>
        <v>101.49538166161399</v>
      </c>
      <c r="F11" s="33">
        <f>$C$31*('E Balans VL '!L11+'E Balans VL '!N11)/100/3.6*1000000</f>
        <v>478.5296694538585</v>
      </c>
      <c r="G11" s="34"/>
      <c r="H11" s="33"/>
      <c r="I11" s="33"/>
      <c r="J11" s="33">
        <f>$C$31*('E Balans VL '!D11+'E Balans VL '!E11)/100/3.6*1000000</f>
        <v>0</v>
      </c>
      <c r="K11" s="33"/>
      <c r="L11" s="33"/>
      <c r="M11" s="33"/>
      <c r="N11" s="33">
        <f>$C$31*'E Balans VL '!Y11/100/3.6*1000000</f>
        <v>8.8495219440192887</v>
      </c>
      <c r="O11" s="33"/>
      <c r="P11" s="33"/>
      <c r="R11" s="32"/>
    </row>
    <row r="12" spans="1:18">
      <c r="A12" s="32" t="s">
        <v>259</v>
      </c>
      <c r="B12" s="37">
        <f t="shared" si="0"/>
        <v>6101.0387089999995</v>
      </c>
      <c r="C12" s="33"/>
      <c r="D12" s="37">
        <f>IF(ISERROR(TER_rest_gas_kWh/1000),0,TER_rest_gas_kWh/1000)*0.902</f>
        <v>11813.997956420002</v>
      </c>
      <c r="E12" s="33">
        <f>$C$32*'E Balans VL '!I8/100/3.6*1000000</f>
        <v>78.754573521989386</v>
      </c>
      <c r="F12" s="33">
        <f>$C$32*('E Balans VL '!L8+'E Balans VL '!N8)/100/3.6*1000000</f>
        <v>700.92575791130594</v>
      </c>
      <c r="G12" s="34"/>
      <c r="H12" s="33"/>
      <c r="I12" s="33"/>
      <c r="J12" s="33">
        <f>$C$32*('E Balans VL '!D8+'E Balans VL '!E8)/100/3.6*1000000</f>
        <v>1.1692317889448243E-2</v>
      </c>
      <c r="K12" s="33"/>
      <c r="L12" s="33"/>
      <c r="M12" s="33"/>
      <c r="N12" s="33">
        <f>$C$32*'E Balans VL '!Y8/100/3.6*1000000</f>
        <v>461.95132870008268</v>
      </c>
      <c r="O12" s="33"/>
      <c r="P12" s="33"/>
      <c r="R12" s="32"/>
    </row>
    <row r="13" spans="1:18">
      <c r="A13" s="16" t="s">
        <v>482</v>
      </c>
      <c r="B13" s="247">
        <f ca="1">'lokale energieproductie'!N91+'lokale energieproductie'!N60</f>
        <v>47.25</v>
      </c>
      <c r="C13" s="247">
        <f ca="1">'lokale energieproductie'!O91+'lokale energieproductie'!O60</f>
        <v>67.5</v>
      </c>
      <c r="D13" s="310">
        <f ca="1">('lokale energieproductie'!P60+'lokale energieproductie'!P91)*(-1)</f>
        <v>-135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120930.54219599999</v>
      </c>
      <c r="C16" s="21">
        <f t="shared" ca="1" si="1"/>
        <v>67.5</v>
      </c>
      <c r="D16" s="21">
        <f t="shared" ca="1" si="1"/>
        <v>162148.79062434001</v>
      </c>
      <c r="E16" s="21">
        <f t="shared" si="1"/>
        <v>1786.891360817566</v>
      </c>
      <c r="F16" s="21">
        <f t="shared" ca="1" si="1"/>
        <v>12965.48669459178</v>
      </c>
      <c r="G16" s="21">
        <f t="shared" si="1"/>
        <v>0</v>
      </c>
      <c r="H16" s="21">
        <f t="shared" si="1"/>
        <v>0</v>
      </c>
      <c r="I16" s="21">
        <f t="shared" si="1"/>
        <v>0</v>
      </c>
      <c r="J16" s="21">
        <f t="shared" si="1"/>
        <v>0.15074527017377709</v>
      </c>
      <c r="K16" s="21">
        <f t="shared" si="1"/>
        <v>0</v>
      </c>
      <c r="L16" s="21">
        <f t="shared" ca="1" si="1"/>
        <v>0</v>
      </c>
      <c r="M16" s="21">
        <f t="shared" si="1"/>
        <v>0</v>
      </c>
      <c r="N16" s="21">
        <f t="shared" ca="1" si="1"/>
        <v>6075.7664505079529</v>
      </c>
      <c r="O16" s="21">
        <f>O5</f>
        <v>53.869868424252701</v>
      </c>
      <c r="P16" s="21">
        <f>P5</f>
        <v>788.08707459742516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0.20442777806459106</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24721.562041274552</v>
      </c>
      <c r="C20" s="23">
        <f t="shared" ref="C20:P20" ca="1" si="2">C16*C18</f>
        <v>16.041176470588233</v>
      </c>
      <c r="D20" s="23">
        <f t="shared" ca="1" si="2"/>
        <v>32754.055706116684</v>
      </c>
      <c r="E20" s="23">
        <f t="shared" si="2"/>
        <v>405.62433890558748</v>
      </c>
      <c r="F20" s="23">
        <f t="shared" ca="1" si="2"/>
        <v>3461.7849474560053</v>
      </c>
      <c r="G20" s="23">
        <f t="shared" si="2"/>
        <v>0</v>
      </c>
      <c r="H20" s="23">
        <f t="shared" si="2"/>
        <v>0</v>
      </c>
      <c r="I20" s="23">
        <f t="shared" si="2"/>
        <v>0</v>
      </c>
      <c r="J20" s="23">
        <f t="shared" si="2"/>
        <v>5.3363825641517086E-2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27036.0448</v>
      </c>
      <c r="C26" s="39">
        <f>IF(ISERROR(B26*3.6/1000000/'E Balans VL '!Z12*100),0,B26*3.6/1000000/'E Balans VL '!Z12*100)</f>
        <v>0.57354495529143501</v>
      </c>
      <c r="D26" s="237" t="s">
        <v>716</v>
      </c>
      <c r="F26" s="6"/>
    </row>
    <row r="27" spans="1:18">
      <c r="A27" s="231" t="s">
        <v>52</v>
      </c>
      <c r="B27" s="33">
        <f>IF(ISERROR(TER_horeca_ele_kWh/1000),0,TER_horeca_ele_kWh/1000)</f>
        <v>10243.71874</v>
      </c>
      <c r="C27" s="39">
        <f>IF(ISERROR(B27*3.6/1000000/'E Balans VL '!Z9*100),0,B27*3.6/1000000/'E Balans VL '!Z9*100)</f>
        <v>0.77144276517163246</v>
      </c>
      <c r="D27" s="237" t="s">
        <v>716</v>
      </c>
      <c r="F27" s="6"/>
    </row>
    <row r="28" spans="1:18">
      <c r="A28" s="171" t="s">
        <v>51</v>
      </c>
      <c r="B28" s="33">
        <f>IF(ISERROR(TER_handel_ele_kWh/1000),0,TER_handel_ele_kWh/1000)</f>
        <v>45829.260130000002</v>
      </c>
      <c r="C28" s="39">
        <f>IF(ISERROR(B28*3.6/1000000/'E Balans VL '!Z13*100),0,B28*3.6/1000000/'E Balans VL '!Z13*100)</f>
        <v>1.3302610358356315</v>
      </c>
      <c r="D28" s="237" t="s">
        <v>716</v>
      </c>
      <c r="F28" s="6"/>
    </row>
    <row r="29" spans="1:18">
      <c r="A29" s="231" t="s">
        <v>50</v>
      </c>
      <c r="B29" s="33">
        <f>IF(ISERROR(TER_gezond_ele_kWh/1000),0,TER_gezond_ele_kWh/1000)</f>
        <v>19502.961520000001</v>
      </c>
      <c r="C29" s="39">
        <f>IF(ISERROR(B29*3.6/1000000/'E Balans VL '!Z10*100),0,B29*3.6/1000000/'E Balans VL '!Z10*100)</f>
        <v>1.9668969275208996</v>
      </c>
      <c r="D29" s="237" t="s">
        <v>716</v>
      </c>
      <c r="F29" s="6"/>
    </row>
    <row r="30" spans="1:18">
      <c r="A30" s="231" t="s">
        <v>49</v>
      </c>
      <c r="B30" s="33">
        <f>IF(ISERROR(TER_ander_ele_kWh/1000),0,TER_ander_ele_kWh/1000)</f>
        <v>8191.123047</v>
      </c>
      <c r="C30" s="39">
        <f>IF(ISERROR(B30*3.6/1000000/'E Balans VL '!Z14*100),0,B30*3.6/1000000/'E Balans VL '!Z14*100)</f>
        <v>0.59437772446766646</v>
      </c>
      <c r="D30" s="237" t="s">
        <v>716</v>
      </c>
      <c r="F30" s="6"/>
    </row>
    <row r="31" spans="1:18">
      <c r="A31" s="231" t="s">
        <v>54</v>
      </c>
      <c r="B31" s="33">
        <f>IF(ISERROR(TER_onderwijs_ele_kWh/1000),0,TER_onderwijs_ele_kWh/1000)</f>
        <v>3979.14525</v>
      </c>
      <c r="C31" s="39">
        <f>IF(ISERROR(B31*3.6/1000000/'E Balans VL '!Z11*100),0,B31*3.6/1000000/'E Balans VL '!Z11*100)</f>
        <v>1.1342184345896726</v>
      </c>
      <c r="D31" s="237" t="s">
        <v>716</v>
      </c>
    </row>
    <row r="32" spans="1:18">
      <c r="A32" s="231" t="s">
        <v>259</v>
      </c>
      <c r="B32" s="33">
        <f>IF(ISERROR(TER_rest_ele_kWh/1000),0,TER_rest_ele_kWh/1000)</f>
        <v>6101.0387089999995</v>
      </c>
      <c r="C32" s="39">
        <f>IF(ISERROR(B32*3.6/1000000/'E Balans VL '!Z8*100),0,B32*3.6/1000000/'E Balans VL '!Z8*100)</f>
        <v>4.9978466380724625E-2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15</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76664.426241000008</v>
      </c>
      <c r="C5" s="17">
        <f>IF(ISERROR('Eigen informatie GS &amp; warmtenet'!B61),0,'Eigen informatie GS &amp; warmtenet'!B61)</f>
        <v>0</v>
      </c>
      <c r="D5" s="30">
        <f>SUM(D6:D15)</f>
        <v>55927.97809240401</v>
      </c>
      <c r="E5" s="17">
        <f>SUM(E6:E15)</f>
        <v>3844.109395181476</v>
      </c>
      <c r="F5" s="17">
        <f>SUM(F6:F15)</f>
        <v>14581.753071637806</v>
      </c>
      <c r="G5" s="18"/>
      <c r="H5" s="17"/>
      <c r="I5" s="17"/>
      <c r="J5" s="17">
        <f>SUM(J6:J15)</f>
        <v>497.55878470894868</v>
      </c>
      <c r="K5" s="17"/>
      <c r="L5" s="17"/>
      <c r="M5" s="17"/>
      <c r="N5" s="17">
        <f>SUM(N6:N15)</f>
        <v>3059.0209959563099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12627.83036</v>
      </c>
      <c r="C8" s="33"/>
      <c r="D8" s="37">
        <f>IF( ISERROR(IND_metaal_Gas_kWH/1000),0,IND_metaal_Gas_kWH/1000)*0.902</f>
        <v>8912.9834033460011</v>
      </c>
      <c r="E8" s="33">
        <f>C30*'E Balans VL '!I18/100/3.6*1000000</f>
        <v>91.100933007717558</v>
      </c>
      <c r="F8" s="33">
        <f>C30*'E Balans VL '!L18/100/3.6*1000000+C30*'E Balans VL '!N18/100/3.6*1000000</f>
        <v>1194.3599111747151</v>
      </c>
      <c r="G8" s="34"/>
      <c r="H8" s="33"/>
      <c r="I8" s="33"/>
      <c r="J8" s="40">
        <f>C30*'E Balans VL '!D18/100/3.6*1000000+C30*'E Balans VL '!E18/100/3.6*1000000</f>
        <v>12.701145158912013</v>
      </c>
      <c r="K8" s="33"/>
      <c r="L8" s="33"/>
      <c r="M8" s="33"/>
      <c r="N8" s="33">
        <f>C30*'E Balans VL '!Y18/100/3.6*1000000</f>
        <v>159.64918569108775</v>
      </c>
      <c r="O8" s="33"/>
      <c r="P8" s="33"/>
      <c r="R8" s="32"/>
    </row>
    <row r="9" spans="1:18">
      <c r="A9" s="6" t="s">
        <v>32</v>
      </c>
      <c r="B9" s="37">
        <f t="shared" si="0"/>
        <v>6987.5038420000001</v>
      </c>
      <c r="C9" s="33"/>
      <c r="D9" s="37">
        <f>IF( ISERROR(IND_andere_gas_kWh/1000),0,IND_andere_gas_kWh/1000)*0.902</f>
        <v>6199.2501776039999</v>
      </c>
      <c r="E9" s="33">
        <f>C31*'E Balans VL '!I19/100/3.6*1000000</f>
        <v>1936.3307492502665</v>
      </c>
      <c r="F9" s="33">
        <f>C31*'E Balans VL '!L19/100/3.6*1000000+C31*'E Balans VL '!N19/100/3.6*1000000</f>
        <v>5791.2582843617784</v>
      </c>
      <c r="G9" s="34"/>
      <c r="H9" s="33"/>
      <c r="I9" s="33"/>
      <c r="J9" s="40">
        <f>C31*'E Balans VL '!D19/100/3.6*1000000+C31*'E Balans VL '!E19/100/3.6*1000000</f>
        <v>0</v>
      </c>
      <c r="K9" s="33"/>
      <c r="L9" s="33"/>
      <c r="M9" s="33"/>
      <c r="N9" s="33">
        <f>C31*'E Balans VL '!Y19/100/3.6*1000000</f>
        <v>507.20731250476575</v>
      </c>
      <c r="O9" s="33"/>
      <c r="P9" s="33"/>
      <c r="R9" s="32"/>
    </row>
    <row r="10" spans="1:18">
      <c r="A10" s="6" t="s">
        <v>40</v>
      </c>
      <c r="B10" s="37">
        <f t="shared" si="0"/>
        <v>13929.43952</v>
      </c>
      <c r="C10" s="33"/>
      <c r="D10" s="37">
        <f>IF( ISERROR(IND_voed_gas_kWh/1000),0,IND_voed_gas_kWh/1000)*0.902</f>
        <v>6970.9396194680012</v>
      </c>
      <c r="E10" s="33">
        <f>C32*'E Balans VL '!I20/100/3.6*1000000</f>
        <v>24.659826154062973</v>
      </c>
      <c r="F10" s="33">
        <f>C32*'E Balans VL '!L20/100/3.6*1000000+C32*'E Balans VL '!N20/100/3.6*1000000</f>
        <v>752.31318959505177</v>
      </c>
      <c r="G10" s="34"/>
      <c r="H10" s="33"/>
      <c r="I10" s="33"/>
      <c r="J10" s="40">
        <f>C32*'E Balans VL '!D20/100/3.6*1000000+C32*'E Balans VL '!E20/100/3.6*1000000</f>
        <v>0</v>
      </c>
      <c r="K10" s="33"/>
      <c r="L10" s="33"/>
      <c r="M10" s="33"/>
      <c r="N10" s="33">
        <f>C32*'E Balans VL '!Y20/100/3.6*1000000</f>
        <v>809.40681656720938</v>
      </c>
      <c r="O10" s="33"/>
      <c r="P10" s="33"/>
      <c r="R10" s="32"/>
    </row>
    <row r="11" spans="1:18">
      <c r="A11" s="6" t="s">
        <v>39</v>
      </c>
      <c r="B11" s="37">
        <f t="shared" si="0"/>
        <v>1717.8774839999999</v>
      </c>
      <c r="C11" s="33"/>
      <c r="D11" s="37">
        <f>IF( ISERROR(IND_textiel_gas_kWh/1000),0,IND_textiel_gas_kWh/1000)*0.902</f>
        <v>294.50115270399999</v>
      </c>
      <c r="E11" s="33">
        <f>C33*'E Balans VL '!I21/100/3.6*1000000</f>
        <v>6.0556964381420801</v>
      </c>
      <c r="F11" s="33">
        <f>C33*'E Balans VL '!L21/100/3.6*1000000+C33*'E Balans VL '!N21/100/3.6*1000000</f>
        <v>50.422273002977718</v>
      </c>
      <c r="G11" s="34"/>
      <c r="H11" s="33"/>
      <c r="I11" s="33"/>
      <c r="J11" s="40">
        <f>C33*'E Balans VL '!D21/100/3.6*1000000+C33*'E Balans VL '!E21/100/3.6*1000000</f>
        <v>0</v>
      </c>
      <c r="K11" s="33"/>
      <c r="L11" s="33"/>
      <c r="M11" s="33"/>
      <c r="N11" s="33">
        <f>C33*'E Balans VL '!Y21/100/3.6*1000000</f>
        <v>75.689436037274618</v>
      </c>
      <c r="O11" s="33"/>
      <c r="P11" s="33"/>
      <c r="R11" s="32"/>
    </row>
    <row r="12" spans="1:18">
      <c r="A12" s="6" t="s">
        <v>36</v>
      </c>
      <c r="B12" s="37">
        <f t="shared" si="0"/>
        <v>263.64915300000001</v>
      </c>
      <c r="C12" s="33"/>
      <c r="D12" s="37">
        <f>IF( ISERROR(IND_min_gas_kWh/1000),0,IND_min_gas_kWh/1000)*0.902</f>
        <v>0</v>
      </c>
      <c r="E12" s="33">
        <f>C34*'E Balans VL '!I22/100/3.6*1000000</f>
        <v>11.610168252631018</v>
      </c>
      <c r="F12" s="33">
        <f>C34*'E Balans VL '!L22/100/3.6*1000000+C34*'E Balans VL '!N22/100/3.6*1000000</f>
        <v>103.09746644157707</v>
      </c>
      <c r="G12" s="34"/>
      <c r="H12" s="33"/>
      <c r="I12" s="33"/>
      <c r="J12" s="40">
        <f>C34*'E Balans VL '!D22/100/3.6*1000000+C34*'E Balans VL '!E22/100/3.6*1000000</f>
        <v>8.0053251876814085E-2</v>
      </c>
      <c r="K12" s="33"/>
      <c r="L12" s="33"/>
      <c r="M12" s="33"/>
      <c r="N12" s="33">
        <f>C34*'E Balans VL '!Y22/100/3.6*1000000</f>
        <v>65.218810543528676</v>
      </c>
      <c r="O12" s="33"/>
      <c r="P12" s="33"/>
      <c r="R12" s="32"/>
    </row>
    <row r="13" spans="1:18">
      <c r="A13" s="6" t="s">
        <v>38</v>
      </c>
      <c r="B13" s="37">
        <f t="shared" si="0"/>
        <v>1607.5736420000001</v>
      </c>
      <c r="C13" s="33"/>
      <c r="D13" s="37">
        <f>IF( ISERROR(IND_papier_gas_kWh/1000),0,IND_papier_gas_kWh/1000)*0.902</f>
        <v>1272.389918778</v>
      </c>
      <c r="E13" s="33">
        <f>C35*'E Balans VL '!I23/100/3.6*1000000</f>
        <v>2.3652928363022583</v>
      </c>
      <c r="F13" s="33">
        <f>C35*'E Balans VL '!L23/100/3.6*1000000+C35*'E Balans VL '!N23/100/3.6*1000000</f>
        <v>17.212783750508397</v>
      </c>
      <c r="G13" s="34"/>
      <c r="H13" s="33"/>
      <c r="I13" s="33"/>
      <c r="J13" s="40">
        <f>C35*'E Balans VL '!D23/100/3.6*1000000+C35*'E Balans VL '!E23/100/3.6*1000000</f>
        <v>175.87757123604734</v>
      </c>
      <c r="K13" s="33"/>
      <c r="L13" s="33"/>
      <c r="M13" s="33"/>
      <c r="N13" s="33">
        <f>C35*'E Balans VL '!Y23/100/3.6*1000000</f>
        <v>-14.563239718620455</v>
      </c>
      <c r="O13" s="33"/>
      <c r="P13" s="33"/>
      <c r="R13" s="32"/>
    </row>
    <row r="14" spans="1:18">
      <c r="A14" s="6" t="s">
        <v>33</v>
      </c>
      <c r="B14" s="37">
        <f t="shared" si="0"/>
        <v>2138.94931</v>
      </c>
      <c r="C14" s="33"/>
      <c r="D14" s="37">
        <f>IF( ISERROR(IND_chemie_gas_kWh/1000),0,IND_chemie_gas_kWh/1000)*0.902</f>
        <v>3596.3449531239999</v>
      </c>
      <c r="E14" s="33">
        <f>C36*'E Balans VL '!I24/100/3.6*1000000</f>
        <v>4.8378725140802405</v>
      </c>
      <c r="F14" s="33">
        <f>C36*'E Balans VL '!L24/100/3.6*1000000+C36*'E Balans VL '!N24/100/3.6*1000000</f>
        <v>25.254512915906719</v>
      </c>
      <c r="G14" s="34"/>
      <c r="H14" s="33"/>
      <c r="I14" s="33"/>
      <c r="J14" s="40">
        <f>C36*'E Balans VL '!D24/100/3.6*1000000+C36*'E Balans VL '!E24/100/3.6*1000000</f>
        <v>0</v>
      </c>
      <c r="K14" s="33"/>
      <c r="L14" s="33"/>
      <c r="M14" s="33"/>
      <c r="N14" s="33">
        <f>C36*'E Balans VL '!Y24/100/3.6*1000000</f>
        <v>1.1748928409039179</v>
      </c>
      <c r="O14" s="33"/>
      <c r="P14" s="33"/>
      <c r="R14" s="32"/>
    </row>
    <row r="15" spans="1:18">
      <c r="A15" s="6" t="s">
        <v>269</v>
      </c>
      <c r="B15" s="37">
        <f t="shared" si="0"/>
        <v>37391.602930000001</v>
      </c>
      <c r="C15" s="33"/>
      <c r="D15" s="37">
        <f>IF( ISERROR(IND_rest_gas_kWh/1000),0,IND_rest_gas_kWh/1000)*0.902</f>
        <v>28681.568867380003</v>
      </c>
      <c r="E15" s="33">
        <f>C37*'E Balans VL '!I15/100/3.6*1000000</f>
        <v>1767.1488567282736</v>
      </c>
      <c r="F15" s="33">
        <f>C37*'E Balans VL '!L15/100/3.6*1000000+C37*'E Balans VL '!N15/100/3.6*1000000</f>
        <v>6647.8346503952889</v>
      </c>
      <c r="G15" s="34"/>
      <c r="H15" s="33"/>
      <c r="I15" s="33"/>
      <c r="J15" s="40">
        <f>C37*'E Balans VL '!D15/100/3.6*1000000+C37*'E Balans VL '!E15/100/3.6*1000000</f>
        <v>308.90001506211252</v>
      </c>
      <c r="K15" s="33"/>
      <c r="L15" s="33"/>
      <c r="M15" s="33"/>
      <c r="N15" s="33">
        <f>C37*'E Balans VL '!Y15/100/3.6*1000000</f>
        <v>1455.2377814901604</v>
      </c>
      <c r="O15" s="33"/>
      <c r="P15" s="33"/>
      <c r="R15" s="32"/>
    </row>
    <row r="16" spans="1:18">
      <c r="A16" s="16" t="s">
        <v>482</v>
      </c>
      <c r="B16" s="247">
        <f>'lokale energieproductie'!N90+'lokale energieproductie'!N59</f>
        <v>643.5</v>
      </c>
      <c r="C16" s="247">
        <f>'lokale energieproductie'!O90+'lokale energieproductie'!O59</f>
        <v>919.28571428571433</v>
      </c>
      <c r="D16" s="310">
        <f>('lokale energieproductie'!P59+'lokale energieproductie'!P90)*(-1)</f>
        <v>-1838.5714285714287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77307.926241000008</v>
      </c>
      <c r="C18" s="21">
        <f>C5+C16</f>
        <v>919.28571428571433</v>
      </c>
      <c r="D18" s="21">
        <f>MAX((D5+D16),0)</f>
        <v>54089.406663832582</v>
      </c>
      <c r="E18" s="21">
        <f>MAX((E5+E16),0)</f>
        <v>3844.109395181476</v>
      </c>
      <c r="F18" s="21">
        <f>MAX((F5+F16),0)</f>
        <v>14581.753071637806</v>
      </c>
      <c r="G18" s="21"/>
      <c r="H18" s="21"/>
      <c r="I18" s="21"/>
      <c r="J18" s="21">
        <f>MAX((J5+J16),0)</f>
        <v>497.55878470894868</v>
      </c>
      <c r="K18" s="21"/>
      <c r="L18" s="21">
        <f>MAX((L5+L16),0)</f>
        <v>0</v>
      </c>
      <c r="M18" s="21"/>
      <c r="N18" s="21">
        <f>MAX((N5+N16),0)</f>
        <v>3059.0209959563099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0.20442777806459106</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15803.887588228925</v>
      </c>
      <c r="C22" s="23">
        <f ca="1">C18*C20</f>
        <v>218.46554621848739</v>
      </c>
      <c r="D22" s="23">
        <f>D18*D20</f>
        <v>10926.060146094182</v>
      </c>
      <c r="E22" s="23">
        <f>E18*E20</f>
        <v>872.61283270619504</v>
      </c>
      <c r="F22" s="23">
        <f>F18*F20</f>
        <v>3893.3280701272943</v>
      </c>
      <c r="G22" s="23"/>
      <c r="H22" s="23"/>
      <c r="I22" s="23"/>
      <c r="J22" s="23">
        <f>J18*J20</f>
        <v>176.13580978696783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12627.83036</v>
      </c>
      <c r="C30" s="39">
        <f>IF(ISERROR(B30*3.6/1000000/'E Balans VL '!Z18*100),0,B30*3.6/1000000/'E Balans VL '!Z18*100)</f>
        <v>0.72898494287714855</v>
      </c>
      <c r="D30" s="237" t="s">
        <v>716</v>
      </c>
    </row>
    <row r="31" spans="1:18">
      <c r="A31" s="6" t="s">
        <v>32</v>
      </c>
      <c r="B31" s="37">
        <f>IF( ISERROR(IND_ander_ele_kWh/1000),0,IND_ander_ele_kWh/1000)</f>
        <v>6987.5038420000001</v>
      </c>
      <c r="C31" s="39">
        <f>IF(ISERROR(B31*3.6/1000000/'E Balans VL '!Z19*100),0,B31*3.6/1000000/'E Balans VL '!Z19*100)</f>
        <v>0.35144879413589208</v>
      </c>
      <c r="D31" s="237" t="s">
        <v>716</v>
      </c>
    </row>
    <row r="32" spans="1:18">
      <c r="A32" s="171" t="s">
        <v>40</v>
      </c>
      <c r="B32" s="37">
        <f>IF( ISERROR(IND_voed_ele_kWh/1000),0,IND_voed_ele_kWh/1000)</f>
        <v>13929.43952</v>
      </c>
      <c r="C32" s="39">
        <f>IF(ISERROR(B32*3.6/1000000/'E Balans VL '!Z20*100),0,B32*3.6/1000000/'E Balans VL '!Z20*100)</f>
        <v>0.46393305248355993</v>
      </c>
      <c r="D32" s="237" t="s">
        <v>716</v>
      </c>
    </row>
    <row r="33" spans="1:5">
      <c r="A33" s="171" t="s">
        <v>39</v>
      </c>
      <c r="B33" s="37">
        <f>IF( ISERROR(IND_textiel_ele_kWh/1000),0,IND_textiel_ele_kWh/1000)</f>
        <v>1717.8774839999999</v>
      </c>
      <c r="C33" s="39">
        <f>IF(ISERROR(B33*3.6/1000000/'E Balans VL '!Z21*100),0,B33*3.6/1000000/'E Balans VL '!Z21*100)</f>
        <v>0.26783896392364587</v>
      </c>
      <c r="D33" s="237" t="s">
        <v>716</v>
      </c>
    </row>
    <row r="34" spans="1:5">
      <c r="A34" s="171" t="s">
        <v>36</v>
      </c>
      <c r="B34" s="37">
        <f>IF( ISERROR(IND_min_ele_kWh/1000),0,IND_min_ele_kWh/1000)</f>
        <v>263.64915300000001</v>
      </c>
      <c r="C34" s="39">
        <f>IF(ISERROR(B34*3.6/1000000/'E Balans VL '!Z22*100),0,B34*3.6/1000000/'E Balans VL '!Z22*100)</f>
        <v>4.9179472142750091E-2</v>
      </c>
      <c r="D34" s="237" t="s">
        <v>716</v>
      </c>
    </row>
    <row r="35" spans="1:5">
      <c r="A35" s="171" t="s">
        <v>38</v>
      </c>
      <c r="B35" s="37">
        <f>IF( ISERROR(IND_papier_ele_kWh/1000),0,IND_papier_ele_kWh/1000)</f>
        <v>1607.5736420000001</v>
      </c>
      <c r="C35" s="39">
        <f>IF(ISERROR(B35*3.6/1000000/'E Balans VL '!Z22*100),0,B35*3.6/1000000/'E Balans VL '!Z22*100)</f>
        <v>0.29986678221628238</v>
      </c>
      <c r="D35" s="237" t="s">
        <v>716</v>
      </c>
    </row>
    <row r="36" spans="1:5">
      <c r="A36" s="171" t="s">
        <v>33</v>
      </c>
      <c r="B36" s="37">
        <f>IF( ISERROR(IND_chemie_ele_kWh/1000),0,IND_chemie_ele_kWh/1000)</f>
        <v>2138.94931</v>
      </c>
      <c r="C36" s="39">
        <f>IF(ISERROR(B36*3.6/1000000/'E Balans VL '!Z24*100),0,B36*3.6/1000000/'E Balans VL '!Z24*100)</f>
        <v>5.6417423332721116E-2</v>
      </c>
      <c r="D36" s="237" t="s">
        <v>716</v>
      </c>
    </row>
    <row r="37" spans="1:5">
      <c r="A37" s="171" t="s">
        <v>269</v>
      </c>
      <c r="B37" s="37">
        <f>IF( ISERROR(IND_rest_ele_kWh/1000),0,IND_rest_ele_kWh/1000)</f>
        <v>37391.602930000001</v>
      </c>
      <c r="C37" s="39">
        <f>IF(ISERROR(B37*3.6/1000000/'E Balans VL '!Z15*100),0,B37*3.6/1000000/'E Balans VL '!Z15*100)</f>
        <v>0.29175675509773275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4177.5774019999999</v>
      </c>
      <c r="C5" s="17">
        <f>'Eigen informatie GS &amp; warmtenet'!B62</f>
        <v>0</v>
      </c>
      <c r="D5" s="30">
        <f>IF(ISERROR(SUM(LB_lb_gas_kWh,LB_rest_gas_kWh)/1000),0,SUM(LB_lb_gas_kWh,LB_rest_gas_kWh)/1000)*0.902</f>
        <v>2237.1282257060002</v>
      </c>
      <c r="E5" s="17">
        <f>B17*'E Balans VL '!I25/3.6*1000000/100</f>
        <v>130.38081312134381</v>
      </c>
      <c r="F5" s="17">
        <f>B17*('E Balans VL '!L25/3.6*1000000+'E Balans VL '!N25/3.6*1000000)/100</f>
        <v>14764.021318208652</v>
      </c>
      <c r="G5" s="18"/>
      <c r="H5" s="17"/>
      <c r="I5" s="17"/>
      <c r="J5" s="17">
        <f>('E Balans VL '!D25+'E Balans VL '!E25)/3.6*1000000*landbouw!B17/100</f>
        <v>1150.9515454963805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4177.5774019999999</v>
      </c>
      <c r="C8" s="21">
        <f>C5+C6</f>
        <v>0</v>
      </c>
      <c r="D8" s="21">
        <f>MAX((D5+D6),0)</f>
        <v>2237.1282257060002</v>
      </c>
      <c r="E8" s="21">
        <f>MAX((E5+E6),0)</f>
        <v>130.38081312134381</v>
      </c>
      <c r="F8" s="21">
        <f>MAX((F5+F6),0)</f>
        <v>14764.021318208652</v>
      </c>
      <c r="G8" s="21"/>
      <c r="H8" s="21"/>
      <c r="I8" s="21"/>
      <c r="J8" s="21">
        <f>MAX((J5+J6),0)</f>
        <v>1150.9515454963805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0.20442777806459106</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854.01286598370689</v>
      </c>
      <c r="C12" s="23">
        <f ca="1">C8*C10</f>
        <v>0</v>
      </c>
      <c r="D12" s="23">
        <f>D8*D10</f>
        <v>451.89990159261208</v>
      </c>
      <c r="E12" s="23">
        <f>E8*E10</f>
        <v>29.596444578545047</v>
      </c>
      <c r="F12" s="23">
        <f>F8*F10</f>
        <v>3941.9936919617103</v>
      </c>
      <c r="G12" s="23"/>
      <c r="H12" s="23"/>
      <c r="I12" s="23"/>
      <c r="J12" s="23">
        <f>J8*J10</f>
        <v>407.4368471057187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0.62102682851882984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716.24901414887802</v>
      </c>
      <c r="C26" s="247">
        <f>B26*'GWP N2O_CH4'!B5</f>
        <v>15041.229297126438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308.4624376331459</v>
      </c>
      <c r="C27" s="247">
        <f>B27*'GWP N2O_CH4'!B5</f>
        <v>6477.7111902960642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8.9968350686600953</v>
      </c>
      <c r="C28" s="247">
        <f>B28*'GWP N2O_CH4'!B4</f>
        <v>2789.0188712846298</v>
      </c>
      <c r="D28" s="50"/>
    </row>
    <row r="29" spans="1:4">
      <c r="A29" s="41" t="s">
        <v>276</v>
      </c>
      <c r="B29" s="247">
        <f>B34*'ha_N2O bodem landbouw'!B4</f>
        <v>25.73903035881364</v>
      </c>
      <c r="C29" s="247">
        <f>B29*'GWP N2O_CH4'!B4</f>
        <v>7979.0994112322287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5.6441059368661523E-3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9.4658801701999994E-4</v>
      </c>
      <c r="C5" s="463" t="s">
        <v>210</v>
      </c>
      <c r="D5" s="448">
        <f>SUM(D6:D11)</f>
        <v>4.2137442425106281E-3</v>
      </c>
      <c r="E5" s="448">
        <f>SUM(E6:E11)</f>
        <v>3.39087844814165E-3</v>
      </c>
      <c r="F5" s="461" t="s">
        <v>210</v>
      </c>
      <c r="G5" s="448">
        <f>SUM(G6:G11)</f>
        <v>1.5011978698764832</v>
      </c>
      <c r="H5" s="448">
        <f>SUM(H6:H11)</f>
        <v>0.315545984348929</v>
      </c>
      <c r="I5" s="463" t="s">
        <v>210</v>
      </c>
      <c r="J5" s="463" t="s">
        <v>210</v>
      </c>
      <c r="K5" s="463" t="s">
        <v>210</v>
      </c>
      <c r="L5" s="463" t="s">
        <v>210</v>
      </c>
      <c r="M5" s="448">
        <f>SUM(M6:M11)</f>
        <v>0.10729714834496876</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3.5000090908999994E-4</v>
      </c>
      <c r="C6" s="449"/>
      <c r="D6" s="917">
        <f>vkm_2011_GW_PW*SUMIFS(TableVerdeelsleutelVkm[CNG],TableVerdeelsleutelVkm[Voertuigtype],"Lichte voertuigen")*SUMIFS(TableECFTransport[EnergieConsumptieFactor (PJ per km)],TableECFTransport[Index],CONCATENATE($A6,"_CNG_CNG"))</f>
        <v>1.217012777429064E-3</v>
      </c>
      <c r="E6" s="917">
        <f>vkm_2011_GW_PW*SUMIFS(TableVerdeelsleutelVkm[LPG],TableVerdeelsleutelVkm[Voertuigtype],"Lichte voertuigen")*SUMIFS(TableECFTransport[EnergieConsumptieFactor (PJ per km)],TableECFTransport[Index],CONCATENATE($A6,"_LPG_LPG"))</f>
        <v>9.5880555944879997E-4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0.2609980217368269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9.1331972526688343E-2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2.1053931673906946E-2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0.20621684399253959</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5.1952668310234898E-5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1.1891107490895806E-2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3.29035991525E-4</v>
      </c>
      <c r="C8" s="449"/>
      <c r="D8" s="451">
        <f>vkm_2011_NGW_PW*SUMIFS(TableVerdeelsleutelVkm[CNG],TableVerdeelsleutelVkm[Voertuigtype],"Lichte voertuigen")*SUMIFS(TableECFTransport[EnergieConsumptieFactor (PJ per km)],TableECFTransport[Index],CONCATENATE($A8,"_CNG_CNG"))</f>
        <v>2.0247881919803999E-3</v>
      </c>
      <c r="E8" s="451">
        <f>vkm_2011_NGW_PW*SUMIFS(TableVerdeelsleutelVkm[LPG],TableVerdeelsleutelVkm[Voertuigtype],"Lichte voertuigen")*SUMIFS(TableECFTransport[EnergieConsumptieFactor (PJ per km)],TableECFTransport[Index],CONCATENATE($A8,"_LPG_LPG"))</f>
        <v>1.4788484770498751E-3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0.37356317855743504</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0.14806352960403993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3.1275023941430231E-2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0.13636290632280251</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3.241507728662047E-5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7.8629836396192244E-3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2.6755111640499999E-4</v>
      </c>
      <c r="C10" s="449"/>
      <c r="D10" s="451">
        <f>vkm_2011_SW_PW*SUMIFS(TableVerdeelsleutelVkm[CNG],TableVerdeelsleutelVkm[Voertuigtype],"Lichte voertuigen")*SUMIFS(TableECFTransport[EnergieConsumptieFactor (PJ per km)],TableECFTransport[Index],CONCATENATE($A10,"_CNG_CNG"))</f>
        <v>9.7194327310116393E-4</v>
      </c>
      <c r="E10" s="451">
        <f>vkm_2011_SW_PW*SUMIFS(TableVerdeelsleutelVkm[LPG],TableVerdeelsleutelVkm[Voertuigtype],"Lichte voertuigen")*SUMIFS(TableECFTransport[EnergieConsumptieFactor (PJ per km)],TableECFTransport[Index],CONCATENATE($A10,"_LPG_LPG"))</f>
        <v>9.5322441164297494E-4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0.23049475026198882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7.5986012323590535E-2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1.8285985572771373E-2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0.29356216900489052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8.010214901332082E-5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1.6928116026345162E-2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262.94111583888889</v>
      </c>
      <c r="C14" s="21"/>
      <c r="D14" s="21">
        <f t="shared" ref="D14:M14" si="0">((D5)*10^9/3600)+D12</f>
        <v>1170.4845118085077</v>
      </c>
      <c r="E14" s="21">
        <f t="shared" si="0"/>
        <v>941.9106800393472</v>
      </c>
      <c r="F14" s="21"/>
      <c r="G14" s="21">
        <f t="shared" si="0"/>
        <v>416999.40829902311</v>
      </c>
      <c r="H14" s="21">
        <f t="shared" si="0"/>
        <v>87651.662319146941</v>
      </c>
      <c r="I14" s="21"/>
      <c r="J14" s="21"/>
      <c r="K14" s="21"/>
      <c r="L14" s="21"/>
      <c r="M14" s="21">
        <f t="shared" si="0"/>
        <v>29804.763429157985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0.20442777806459106</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53.752468072768309</v>
      </c>
      <c r="C18" s="23"/>
      <c r="D18" s="23">
        <f t="shared" ref="D18:M18" si="1">D14*D16</f>
        <v>236.43787138531857</v>
      </c>
      <c r="E18" s="23">
        <f t="shared" si="1"/>
        <v>213.81372436893182</v>
      </c>
      <c r="F18" s="23"/>
      <c r="G18" s="23">
        <f t="shared" si="1"/>
        <v>111338.84201583918</v>
      </c>
      <c r="H18" s="23">
        <f t="shared" si="1"/>
        <v>21825.26391746759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3.3357461869538071E-2</v>
      </c>
      <c r="H50" s="321">
        <f t="shared" si="2"/>
        <v>0</v>
      </c>
      <c r="I50" s="321">
        <f t="shared" si="2"/>
        <v>0</v>
      </c>
      <c r="J50" s="321">
        <f t="shared" si="2"/>
        <v>0</v>
      </c>
      <c r="K50" s="321">
        <f t="shared" si="2"/>
        <v>0</v>
      </c>
      <c r="L50" s="321">
        <f t="shared" si="2"/>
        <v>0</v>
      </c>
      <c r="M50" s="321">
        <f t="shared" si="2"/>
        <v>1.8540114215093279E-3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3.3357461869538071E-2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1.8540114215093279E-3</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9265.9616304272422</v>
      </c>
      <c r="H54" s="21">
        <f t="shared" si="3"/>
        <v>0</v>
      </c>
      <c r="I54" s="21">
        <f t="shared" si="3"/>
        <v>0</v>
      </c>
      <c r="J54" s="21">
        <f t="shared" si="3"/>
        <v>0</v>
      </c>
      <c r="K54" s="21">
        <f t="shared" si="3"/>
        <v>0</v>
      </c>
      <c r="L54" s="21">
        <f t="shared" si="3"/>
        <v>0</v>
      </c>
      <c r="M54" s="21">
        <f t="shared" si="3"/>
        <v>515.00317264147998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0.20442777806459106</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2474.0117553240739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124283.395196</v>
      </c>
      <c r="D10" s="712">
        <f ca="1">tertiair!C16</f>
        <v>67.5</v>
      </c>
      <c r="E10" s="712">
        <f ca="1">tertiair!D16</f>
        <v>162148.79062434001</v>
      </c>
      <c r="F10" s="712">
        <f>tertiair!E16</f>
        <v>1786.891360817566</v>
      </c>
      <c r="G10" s="712">
        <f ca="1">tertiair!F16</f>
        <v>12965.48669459178</v>
      </c>
      <c r="H10" s="712">
        <f>tertiair!G16</f>
        <v>0</v>
      </c>
      <c r="I10" s="712">
        <f>tertiair!H16</f>
        <v>0</v>
      </c>
      <c r="J10" s="712">
        <f>tertiair!I16</f>
        <v>0</v>
      </c>
      <c r="K10" s="712">
        <f>tertiair!J16</f>
        <v>0.15074527017377709</v>
      </c>
      <c r="L10" s="712">
        <f>tertiair!K16</f>
        <v>0</v>
      </c>
      <c r="M10" s="712">
        <f ca="1">tertiair!L16</f>
        <v>0</v>
      </c>
      <c r="N10" s="712">
        <f>tertiair!M16</f>
        <v>0</v>
      </c>
      <c r="O10" s="712">
        <f ca="1">tertiair!N16</f>
        <v>6075.7664505079529</v>
      </c>
      <c r="P10" s="712">
        <f>tertiair!O16</f>
        <v>53.869868424252701</v>
      </c>
      <c r="Q10" s="713">
        <f>tertiair!P16</f>
        <v>788.08707459742516</v>
      </c>
      <c r="R10" s="715">
        <f ca="1">SUM(C10:Q10)</f>
        <v>308169.9380145492</v>
      </c>
      <c r="S10" s="67"/>
    </row>
    <row r="11" spans="1:19" s="474" customFormat="1">
      <c r="A11" s="834" t="s">
        <v>224</v>
      </c>
      <c r="B11" s="839"/>
      <c r="C11" s="712">
        <f>huishoudens!B8</f>
        <v>114266.54261986942</v>
      </c>
      <c r="D11" s="712">
        <f>huishoudens!C8</f>
        <v>0</v>
      </c>
      <c r="E11" s="712">
        <f>huishoudens!D8</f>
        <v>296348.00033152604</v>
      </c>
      <c r="F11" s="712">
        <f>huishoudens!E8</f>
        <v>23209.38028563626</v>
      </c>
      <c r="G11" s="712">
        <f>huishoudens!F8</f>
        <v>0</v>
      </c>
      <c r="H11" s="712">
        <f>huishoudens!G8</f>
        <v>0</v>
      </c>
      <c r="I11" s="712">
        <f>huishoudens!H8</f>
        <v>0</v>
      </c>
      <c r="J11" s="712">
        <f>huishoudens!I8</f>
        <v>0</v>
      </c>
      <c r="K11" s="712">
        <f>huishoudens!J8</f>
        <v>5632.893997960141</v>
      </c>
      <c r="L11" s="712">
        <f>huishoudens!K8</f>
        <v>0</v>
      </c>
      <c r="M11" s="712">
        <f>huishoudens!L8</f>
        <v>0</v>
      </c>
      <c r="N11" s="712">
        <f>huishoudens!M8</f>
        <v>0</v>
      </c>
      <c r="O11" s="712">
        <f>huishoudens!N8</f>
        <v>54175.590564914441</v>
      </c>
      <c r="P11" s="712">
        <f>huishoudens!O8</f>
        <v>1305.444508356667</v>
      </c>
      <c r="Q11" s="713">
        <f>huishoudens!P8</f>
        <v>2823.1010944595864</v>
      </c>
      <c r="R11" s="715">
        <f>SUM(C11:Q11)</f>
        <v>497760.95340272255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77307.926241000008</v>
      </c>
      <c r="D13" s="712">
        <f>industrie!C18</f>
        <v>919.28571428571433</v>
      </c>
      <c r="E13" s="712">
        <f>industrie!D18</f>
        <v>54089.406663832582</v>
      </c>
      <c r="F13" s="712">
        <f>industrie!E18</f>
        <v>3844.109395181476</v>
      </c>
      <c r="G13" s="712">
        <f>industrie!F18</f>
        <v>14581.753071637806</v>
      </c>
      <c r="H13" s="712">
        <f>industrie!G18</f>
        <v>0</v>
      </c>
      <c r="I13" s="712">
        <f>industrie!H18</f>
        <v>0</v>
      </c>
      <c r="J13" s="712">
        <f>industrie!I18</f>
        <v>0</v>
      </c>
      <c r="K13" s="712">
        <f>industrie!J18</f>
        <v>497.55878470894868</v>
      </c>
      <c r="L13" s="712">
        <f>industrie!K18</f>
        <v>0</v>
      </c>
      <c r="M13" s="712">
        <f>industrie!L18</f>
        <v>0</v>
      </c>
      <c r="N13" s="712">
        <f>industrie!M18</f>
        <v>0</v>
      </c>
      <c r="O13" s="712">
        <f>industrie!N18</f>
        <v>3059.0209959563099</v>
      </c>
      <c r="P13" s="712">
        <f>industrie!O18</f>
        <v>0</v>
      </c>
      <c r="Q13" s="713">
        <f>industrie!P18</f>
        <v>0</v>
      </c>
      <c r="R13" s="715">
        <f>SUM(C13:Q13)</f>
        <v>154299.06086660284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315857.86405686941</v>
      </c>
      <c r="D16" s="748">
        <f t="shared" ref="D16:R16" ca="1" si="0">SUM(D9:D15)</f>
        <v>986.78571428571433</v>
      </c>
      <c r="E16" s="748">
        <f t="shared" ca="1" si="0"/>
        <v>512586.19761969865</v>
      </c>
      <c r="F16" s="748">
        <f t="shared" si="0"/>
        <v>28840.381041635301</v>
      </c>
      <c r="G16" s="748">
        <f t="shared" ca="1" si="0"/>
        <v>27547.239766229584</v>
      </c>
      <c r="H16" s="748">
        <f t="shared" si="0"/>
        <v>0</v>
      </c>
      <c r="I16" s="748">
        <f t="shared" si="0"/>
        <v>0</v>
      </c>
      <c r="J16" s="748">
        <f t="shared" si="0"/>
        <v>0</v>
      </c>
      <c r="K16" s="748">
        <f t="shared" si="0"/>
        <v>6130.6035279392636</v>
      </c>
      <c r="L16" s="748">
        <f t="shared" si="0"/>
        <v>0</v>
      </c>
      <c r="M16" s="748">
        <f t="shared" ca="1" si="0"/>
        <v>0</v>
      </c>
      <c r="N16" s="748">
        <f t="shared" si="0"/>
        <v>0</v>
      </c>
      <c r="O16" s="748">
        <f t="shared" ca="1" si="0"/>
        <v>63310.3780113787</v>
      </c>
      <c r="P16" s="748">
        <f t="shared" si="0"/>
        <v>1359.3143767809197</v>
      </c>
      <c r="Q16" s="748">
        <f t="shared" si="0"/>
        <v>3611.1881690570117</v>
      </c>
      <c r="R16" s="748">
        <f t="shared" ca="1" si="0"/>
        <v>960229.9522838745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9265.9616304272422</v>
      </c>
      <c r="I19" s="712">
        <f>transport!H54</f>
        <v>0</v>
      </c>
      <c r="J19" s="712">
        <f>transport!I54</f>
        <v>0</v>
      </c>
      <c r="K19" s="712">
        <f>transport!J54</f>
        <v>0</v>
      </c>
      <c r="L19" s="712">
        <f>transport!K54</f>
        <v>0</v>
      </c>
      <c r="M19" s="712">
        <f>transport!L54</f>
        <v>0</v>
      </c>
      <c r="N19" s="712">
        <f>transport!M54</f>
        <v>515.00317264147998</v>
      </c>
      <c r="O19" s="712">
        <f>transport!N54</f>
        <v>0</v>
      </c>
      <c r="P19" s="712">
        <f>transport!O54</f>
        <v>0</v>
      </c>
      <c r="Q19" s="713">
        <f>transport!P54</f>
        <v>0</v>
      </c>
      <c r="R19" s="715">
        <f>SUM(C19:Q19)</f>
        <v>9780.9648030687222</v>
      </c>
      <c r="S19" s="67"/>
    </row>
    <row r="20" spans="1:19" s="474" customFormat="1">
      <c r="A20" s="834" t="s">
        <v>306</v>
      </c>
      <c r="B20" s="839"/>
      <c r="C20" s="712">
        <f>transport!B14</f>
        <v>262.94111583888889</v>
      </c>
      <c r="D20" s="712">
        <f>transport!C14</f>
        <v>0</v>
      </c>
      <c r="E20" s="712">
        <f>transport!D14</f>
        <v>1170.4845118085077</v>
      </c>
      <c r="F20" s="712">
        <f>transport!E14</f>
        <v>941.9106800393472</v>
      </c>
      <c r="G20" s="712">
        <f>transport!F14</f>
        <v>0</v>
      </c>
      <c r="H20" s="712">
        <f>transport!G14</f>
        <v>416999.40829902311</v>
      </c>
      <c r="I20" s="712">
        <f>transport!H14</f>
        <v>87651.662319146941</v>
      </c>
      <c r="J20" s="712">
        <f>transport!I14</f>
        <v>0</v>
      </c>
      <c r="K20" s="712">
        <f>transport!J14</f>
        <v>0</v>
      </c>
      <c r="L20" s="712">
        <f>transport!K14</f>
        <v>0</v>
      </c>
      <c r="M20" s="712">
        <f>transport!L14</f>
        <v>0</v>
      </c>
      <c r="N20" s="712">
        <f>transport!M14</f>
        <v>29804.763429157985</v>
      </c>
      <c r="O20" s="712">
        <f>transport!N14</f>
        <v>0</v>
      </c>
      <c r="P20" s="712">
        <f>transport!O14</f>
        <v>0</v>
      </c>
      <c r="Q20" s="713">
        <f>transport!P14</f>
        <v>0</v>
      </c>
      <c r="R20" s="715">
        <f>SUM(C20:Q20)</f>
        <v>536831.17035501485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262.94111583888889</v>
      </c>
      <c r="D22" s="837">
        <f t="shared" ref="D22:R22" si="1">SUM(D18:D21)</f>
        <v>0</v>
      </c>
      <c r="E22" s="837">
        <f t="shared" si="1"/>
        <v>1170.4845118085077</v>
      </c>
      <c r="F22" s="837">
        <f t="shared" si="1"/>
        <v>941.9106800393472</v>
      </c>
      <c r="G22" s="837">
        <f t="shared" si="1"/>
        <v>0</v>
      </c>
      <c r="H22" s="837">
        <f t="shared" si="1"/>
        <v>426265.36992945033</v>
      </c>
      <c r="I22" s="837">
        <f t="shared" si="1"/>
        <v>87651.662319146941</v>
      </c>
      <c r="J22" s="837">
        <f t="shared" si="1"/>
        <v>0</v>
      </c>
      <c r="K22" s="837">
        <f t="shared" si="1"/>
        <v>0</v>
      </c>
      <c r="L22" s="837">
        <f t="shared" si="1"/>
        <v>0</v>
      </c>
      <c r="M22" s="837">
        <f t="shared" si="1"/>
        <v>0</v>
      </c>
      <c r="N22" s="837">
        <f t="shared" si="1"/>
        <v>30319.766601799463</v>
      </c>
      <c r="O22" s="837">
        <f t="shared" si="1"/>
        <v>0</v>
      </c>
      <c r="P22" s="837">
        <f t="shared" si="1"/>
        <v>0</v>
      </c>
      <c r="Q22" s="837">
        <f t="shared" si="1"/>
        <v>0</v>
      </c>
      <c r="R22" s="837">
        <f t="shared" si="1"/>
        <v>546612.13515808352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4177.5774019999999</v>
      </c>
      <c r="D24" s="712">
        <f>+landbouw!C8</f>
        <v>0</v>
      </c>
      <c r="E24" s="712">
        <f>+landbouw!D8</f>
        <v>2237.1282257060002</v>
      </c>
      <c r="F24" s="712">
        <f>+landbouw!E8</f>
        <v>130.38081312134381</v>
      </c>
      <c r="G24" s="712">
        <f>+landbouw!F8</f>
        <v>14764.021318208652</v>
      </c>
      <c r="H24" s="712">
        <f>+landbouw!G8</f>
        <v>0</v>
      </c>
      <c r="I24" s="712">
        <f>+landbouw!H8</f>
        <v>0</v>
      </c>
      <c r="J24" s="712">
        <f>+landbouw!I8</f>
        <v>0</v>
      </c>
      <c r="K24" s="712">
        <f>+landbouw!J8</f>
        <v>1150.9515454963805</v>
      </c>
      <c r="L24" s="712">
        <f>+landbouw!K8</f>
        <v>0</v>
      </c>
      <c r="M24" s="712">
        <f>+landbouw!L8</f>
        <v>0</v>
      </c>
      <c r="N24" s="712">
        <f>+landbouw!M8</f>
        <v>0</v>
      </c>
      <c r="O24" s="712">
        <f>+landbouw!N8</f>
        <v>0</v>
      </c>
      <c r="P24" s="712">
        <f>+landbouw!O8</f>
        <v>0</v>
      </c>
      <c r="Q24" s="713">
        <f>+landbouw!P8</f>
        <v>0</v>
      </c>
      <c r="R24" s="715">
        <f>SUM(C24:Q24)</f>
        <v>22460.059304532377</v>
      </c>
      <c r="S24" s="67"/>
    </row>
    <row r="25" spans="1:19" s="474" customFormat="1" ht="15" thickBot="1">
      <c r="A25" s="856" t="s">
        <v>734</v>
      </c>
      <c r="B25" s="982"/>
      <c r="C25" s="983">
        <f>IF(Onbekend_ele_kWh="---",0,Onbekend_ele_kWh)/1000+IF(REST_rest_ele_kWh="---",0,REST_rest_ele_kWh)/1000</f>
        <v>12047.98609</v>
      </c>
      <c r="D25" s="983"/>
      <c r="E25" s="983">
        <f>IF(onbekend_gas_kWh="---",0,onbekend_gas_kWh)/1000+IF(REST_rest_gas_kWh="---",0,REST_rest_gas_kWh)/1000</f>
        <v>16885.885670000003</v>
      </c>
      <c r="F25" s="983"/>
      <c r="G25" s="983"/>
      <c r="H25" s="983"/>
      <c r="I25" s="983"/>
      <c r="J25" s="983"/>
      <c r="K25" s="983"/>
      <c r="L25" s="983"/>
      <c r="M25" s="983"/>
      <c r="N25" s="983"/>
      <c r="O25" s="983"/>
      <c r="P25" s="983"/>
      <c r="Q25" s="984"/>
      <c r="R25" s="715">
        <f>SUM(C25:Q25)</f>
        <v>28933.871760000002</v>
      </c>
      <c r="S25" s="67"/>
    </row>
    <row r="26" spans="1:19" s="474" customFormat="1" ht="15.75" thickBot="1">
      <c r="A26" s="720" t="s">
        <v>735</v>
      </c>
      <c r="B26" s="842"/>
      <c r="C26" s="837">
        <f>SUM(C24:C25)</f>
        <v>16225.563492000001</v>
      </c>
      <c r="D26" s="837">
        <f t="shared" ref="D26:R26" si="2">SUM(D24:D25)</f>
        <v>0</v>
      </c>
      <c r="E26" s="837">
        <f t="shared" si="2"/>
        <v>19123.013895706004</v>
      </c>
      <c r="F26" s="837">
        <f t="shared" si="2"/>
        <v>130.38081312134381</v>
      </c>
      <c r="G26" s="837">
        <f t="shared" si="2"/>
        <v>14764.021318208652</v>
      </c>
      <c r="H26" s="837">
        <f t="shared" si="2"/>
        <v>0</v>
      </c>
      <c r="I26" s="837">
        <f t="shared" si="2"/>
        <v>0</v>
      </c>
      <c r="J26" s="837">
        <f t="shared" si="2"/>
        <v>0</v>
      </c>
      <c r="K26" s="837">
        <f t="shared" si="2"/>
        <v>1150.9515454963805</v>
      </c>
      <c r="L26" s="837">
        <f t="shared" si="2"/>
        <v>0</v>
      </c>
      <c r="M26" s="837">
        <f t="shared" si="2"/>
        <v>0</v>
      </c>
      <c r="N26" s="837">
        <f t="shared" si="2"/>
        <v>0</v>
      </c>
      <c r="O26" s="837">
        <f t="shared" si="2"/>
        <v>0</v>
      </c>
      <c r="P26" s="837">
        <f t="shared" si="2"/>
        <v>0</v>
      </c>
      <c r="Q26" s="837">
        <f t="shared" si="2"/>
        <v>0</v>
      </c>
      <c r="R26" s="837">
        <f t="shared" si="2"/>
        <v>51393.931064532379</v>
      </c>
      <c r="S26" s="67"/>
    </row>
    <row r="27" spans="1:19" s="474" customFormat="1" ht="17.25" thickTop="1" thickBot="1">
      <c r="A27" s="721" t="s">
        <v>115</v>
      </c>
      <c r="B27" s="829"/>
      <c r="C27" s="722">
        <f ca="1">C22+C16+C26</f>
        <v>332346.36866470828</v>
      </c>
      <c r="D27" s="722">
        <f t="shared" ref="D27:R27" ca="1" si="3">D22+D16+D26</f>
        <v>986.78571428571433</v>
      </c>
      <c r="E27" s="722">
        <f t="shared" ca="1" si="3"/>
        <v>532879.69602721313</v>
      </c>
      <c r="F27" s="722">
        <f t="shared" si="3"/>
        <v>29912.672534795991</v>
      </c>
      <c r="G27" s="722">
        <f t="shared" ca="1" si="3"/>
        <v>42311.261084438236</v>
      </c>
      <c r="H27" s="722">
        <f t="shared" si="3"/>
        <v>426265.36992945033</v>
      </c>
      <c r="I27" s="722">
        <f t="shared" si="3"/>
        <v>87651.662319146941</v>
      </c>
      <c r="J27" s="722">
        <f t="shared" si="3"/>
        <v>0</v>
      </c>
      <c r="K27" s="722">
        <f t="shared" si="3"/>
        <v>7281.5550734356439</v>
      </c>
      <c r="L27" s="722">
        <f t="shared" si="3"/>
        <v>0</v>
      </c>
      <c r="M27" s="722">
        <f t="shared" ca="1" si="3"/>
        <v>0</v>
      </c>
      <c r="N27" s="722">
        <f t="shared" si="3"/>
        <v>30319.766601799463</v>
      </c>
      <c r="O27" s="722">
        <f t="shared" ca="1" si="3"/>
        <v>63310.3780113787</v>
      </c>
      <c r="P27" s="722">
        <f t="shared" si="3"/>
        <v>1359.3143767809197</v>
      </c>
      <c r="Q27" s="722">
        <f t="shared" si="3"/>
        <v>3611.1881690570117</v>
      </c>
      <c r="R27" s="722">
        <f t="shared" ca="1" si="3"/>
        <v>1558236.0185064904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25406.978330241749</v>
      </c>
      <c r="D40" s="712">
        <f ca="1">tertiair!C20</f>
        <v>16.041176470588233</v>
      </c>
      <c r="E40" s="712">
        <f ca="1">tertiair!D20</f>
        <v>32754.055706116684</v>
      </c>
      <c r="F40" s="712">
        <f>tertiair!E20</f>
        <v>405.62433890558748</v>
      </c>
      <c r="G40" s="712">
        <f ca="1">tertiair!F20</f>
        <v>3461.7849474560053</v>
      </c>
      <c r="H40" s="712">
        <f>tertiair!G20</f>
        <v>0</v>
      </c>
      <c r="I40" s="712">
        <f>tertiair!H20</f>
        <v>0</v>
      </c>
      <c r="J40" s="712">
        <f>tertiair!I20</f>
        <v>0</v>
      </c>
      <c r="K40" s="712">
        <f>tertiair!J20</f>
        <v>5.3363825641517086E-2</v>
      </c>
      <c r="L40" s="712">
        <f>tertiair!K20</f>
        <v>0</v>
      </c>
      <c r="M40" s="712">
        <f ca="1">tertiair!L20</f>
        <v>0</v>
      </c>
      <c r="N40" s="712">
        <f>tertiair!M20</f>
        <v>0</v>
      </c>
      <c r="O40" s="712">
        <f ca="1">tertiair!N20</f>
        <v>0</v>
      </c>
      <c r="P40" s="712">
        <f>tertiair!O20</f>
        <v>0</v>
      </c>
      <c r="Q40" s="795">
        <f>tertiair!P20</f>
        <v>0</v>
      </c>
      <c r="R40" s="875">
        <f t="shared" ca="1" si="4"/>
        <v>62044.537863016252</v>
      </c>
    </row>
    <row r="41" spans="1:18">
      <c r="A41" s="847" t="s">
        <v>224</v>
      </c>
      <c r="B41" s="854"/>
      <c r="C41" s="712">
        <f ca="1">huishoudens!B12</f>
        <v>23359.2554149028</v>
      </c>
      <c r="D41" s="712">
        <f ca="1">huishoudens!C12</f>
        <v>0</v>
      </c>
      <c r="E41" s="712">
        <f>huishoudens!D12</f>
        <v>59862.296066968265</v>
      </c>
      <c r="F41" s="712">
        <f>huishoudens!E12</f>
        <v>5268.529324839431</v>
      </c>
      <c r="G41" s="712">
        <f>huishoudens!F12</f>
        <v>0</v>
      </c>
      <c r="H41" s="712">
        <f>huishoudens!G12</f>
        <v>0</v>
      </c>
      <c r="I41" s="712">
        <f>huishoudens!H12</f>
        <v>0</v>
      </c>
      <c r="J41" s="712">
        <f>huishoudens!I12</f>
        <v>0</v>
      </c>
      <c r="K41" s="712">
        <f>huishoudens!J12</f>
        <v>1994.0444752778899</v>
      </c>
      <c r="L41" s="712">
        <f>huishoudens!K12</f>
        <v>0</v>
      </c>
      <c r="M41" s="712">
        <f>huishoudens!L12</f>
        <v>0</v>
      </c>
      <c r="N41" s="712">
        <f>huishoudens!M12</f>
        <v>0</v>
      </c>
      <c r="O41" s="712">
        <f>huishoudens!N12</f>
        <v>0</v>
      </c>
      <c r="P41" s="712">
        <f>huishoudens!O12</f>
        <v>0</v>
      </c>
      <c r="Q41" s="795">
        <f>huishoudens!P12</f>
        <v>0</v>
      </c>
      <c r="R41" s="875">
        <f t="shared" ca="1" si="4"/>
        <v>90484.125281988381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15803.887588228925</v>
      </c>
      <c r="D43" s="712">
        <f ca="1">industrie!C22</f>
        <v>218.46554621848739</v>
      </c>
      <c r="E43" s="712">
        <f>industrie!D22</f>
        <v>10926.060146094182</v>
      </c>
      <c r="F43" s="712">
        <f>industrie!E22</f>
        <v>872.61283270619504</v>
      </c>
      <c r="G43" s="712">
        <f>industrie!F22</f>
        <v>3893.3280701272943</v>
      </c>
      <c r="H43" s="712">
        <f>industrie!G22</f>
        <v>0</v>
      </c>
      <c r="I43" s="712">
        <f>industrie!H22</f>
        <v>0</v>
      </c>
      <c r="J43" s="712">
        <f>industrie!I22</f>
        <v>0</v>
      </c>
      <c r="K43" s="712">
        <f>industrie!J22</f>
        <v>176.13580978696783</v>
      </c>
      <c r="L43" s="712">
        <f>industrie!K22</f>
        <v>0</v>
      </c>
      <c r="M43" s="712">
        <f>industrie!L22</f>
        <v>0</v>
      </c>
      <c r="N43" s="712">
        <f>industrie!M22</f>
        <v>0</v>
      </c>
      <c r="O43" s="712">
        <f>industrie!N22</f>
        <v>0</v>
      </c>
      <c r="P43" s="712">
        <f>industrie!O22</f>
        <v>0</v>
      </c>
      <c r="Q43" s="795">
        <f>industrie!P22</f>
        <v>0</v>
      </c>
      <c r="R43" s="874">
        <f t="shared" ca="1" si="4"/>
        <v>31890.489993162053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64570.121333373478</v>
      </c>
      <c r="D46" s="748">
        <f t="shared" ref="D46:Q46" ca="1" si="5">SUM(D39:D45)</f>
        <v>234.50672268907562</v>
      </c>
      <c r="E46" s="748">
        <f t="shared" ca="1" si="5"/>
        <v>103542.41191917914</v>
      </c>
      <c r="F46" s="748">
        <f t="shared" si="5"/>
        <v>6546.7664964512132</v>
      </c>
      <c r="G46" s="748">
        <f t="shared" ca="1" si="5"/>
        <v>7355.1130175832996</v>
      </c>
      <c r="H46" s="748">
        <f t="shared" si="5"/>
        <v>0</v>
      </c>
      <c r="I46" s="748">
        <f t="shared" si="5"/>
        <v>0</v>
      </c>
      <c r="J46" s="748">
        <f t="shared" si="5"/>
        <v>0</v>
      </c>
      <c r="K46" s="748">
        <f t="shared" si="5"/>
        <v>2170.2336488904994</v>
      </c>
      <c r="L46" s="748">
        <f t="shared" si="5"/>
        <v>0</v>
      </c>
      <c r="M46" s="748">
        <f t="shared" ca="1" si="5"/>
        <v>0</v>
      </c>
      <c r="N46" s="748">
        <f t="shared" si="5"/>
        <v>0</v>
      </c>
      <c r="O46" s="748">
        <f t="shared" ca="1" si="5"/>
        <v>0</v>
      </c>
      <c r="P46" s="748">
        <f t="shared" si="5"/>
        <v>0</v>
      </c>
      <c r="Q46" s="748">
        <f t="shared" si="5"/>
        <v>0</v>
      </c>
      <c r="R46" s="748">
        <f ca="1">SUM(R39:R45)</f>
        <v>184419.15313816667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2474.0117553240739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2474.0117553240739</v>
      </c>
    </row>
    <row r="50" spans="1:18">
      <c r="A50" s="850" t="s">
        <v>306</v>
      </c>
      <c r="B50" s="860"/>
      <c r="C50" s="718">
        <f ca="1">transport!B18</f>
        <v>53.752468072768309</v>
      </c>
      <c r="D50" s="718">
        <f>transport!C18</f>
        <v>0</v>
      </c>
      <c r="E50" s="718">
        <f>transport!D18</f>
        <v>236.43787138531857</v>
      </c>
      <c r="F50" s="718">
        <f>transport!E18</f>
        <v>213.81372436893182</v>
      </c>
      <c r="G50" s="718">
        <f>transport!F18</f>
        <v>0</v>
      </c>
      <c r="H50" s="718">
        <f>transport!G18</f>
        <v>111338.84201583918</v>
      </c>
      <c r="I50" s="718">
        <f>transport!H18</f>
        <v>21825.26391746759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133668.10999713378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53.752468072768309</v>
      </c>
      <c r="D52" s="748">
        <f t="shared" ref="D52:Q52" ca="1" si="6">SUM(D48:D51)</f>
        <v>0</v>
      </c>
      <c r="E52" s="748">
        <f t="shared" si="6"/>
        <v>236.43787138531857</v>
      </c>
      <c r="F52" s="748">
        <f t="shared" si="6"/>
        <v>213.81372436893182</v>
      </c>
      <c r="G52" s="748">
        <f t="shared" si="6"/>
        <v>0</v>
      </c>
      <c r="H52" s="748">
        <f t="shared" si="6"/>
        <v>113812.85377116325</v>
      </c>
      <c r="I52" s="748">
        <f t="shared" si="6"/>
        <v>21825.26391746759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136142.12175245787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854.01286598370689</v>
      </c>
      <c r="D54" s="718">
        <f ca="1">+landbouw!C12</f>
        <v>0</v>
      </c>
      <c r="E54" s="718">
        <f>+landbouw!D12</f>
        <v>451.89990159261208</v>
      </c>
      <c r="F54" s="718">
        <f>+landbouw!E12</f>
        <v>29.596444578545047</v>
      </c>
      <c r="G54" s="718">
        <f>+landbouw!F12</f>
        <v>3941.9936919617103</v>
      </c>
      <c r="H54" s="718">
        <f>+landbouw!G12</f>
        <v>0</v>
      </c>
      <c r="I54" s="718">
        <f>+landbouw!H12</f>
        <v>0</v>
      </c>
      <c r="J54" s="718">
        <f>+landbouw!I12</f>
        <v>0</v>
      </c>
      <c r="K54" s="718">
        <f>+landbouw!J12</f>
        <v>407.4368471057187</v>
      </c>
      <c r="L54" s="718">
        <f>+landbouw!K12</f>
        <v>0</v>
      </c>
      <c r="M54" s="718">
        <f>+landbouw!L12</f>
        <v>0</v>
      </c>
      <c r="N54" s="718">
        <f>+landbouw!M12</f>
        <v>0</v>
      </c>
      <c r="O54" s="718">
        <f>+landbouw!N12</f>
        <v>0</v>
      </c>
      <c r="P54" s="718">
        <f>+landbouw!O12</f>
        <v>0</v>
      </c>
      <c r="Q54" s="719">
        <f>+landbouw!P12</f>
        <v>0</v>
      </c>
      <c r="R54" s="747">
        <f ca="1">SUM(C54:Q54)</f>
        <v>5684.9397512222931</v>
      </c>
    </row>
    <row r="55" spans="1:18" ht="15" thickBot="1">
      <c r="A55" s="850" t="s">
        <v>734</v>
      </c>
      <c r="B55" s="860"/>
      <c r="C55" s="718">
        <f ca="1">C25*'EF ele_warmte'!B12</f>
        <v>2462.9430265318001</v>
      </c>
      <c r="D55" s="718"/>
      <c r="E55" s="718">
        <f>E25*EF_CO2_aardgas</f>
        <v>3410.9489053400007</v>
      </c>
      <c r="F55" s="718"/>
      <c r="G55" s="718"/>
      <c r="H55" s="718"/>
      <c r="I55" s="718"/>
      <c r="J55" s="718"/>
      <c r="K55" s="718"/>
      <c r="L55" s="718"/>
      <c r="M55" s="718"/>
      <c r="N55" s="718"/>
      <c r="O55" s="718"/>
      <c r="P55" s="718"/>
      <c r="Q55" s="719"/>
      <c r="R55" s="747">
        <f ca="1">SUM(C55:Q55)</f>
        <v>5873.8919318718008</v>
      </c>
    </row>
    <row r="56" spans="1:18" ht="15.75" thickBot="1">
      <c r="A56" s="848" t="s">
        <v>735</v>
      </c>
      <c r="B56" s="861"/>
      <c r="C56" s="748">
        <f ca="1">SUM(C54:C55)</f>
        <v>3316.955892515507</v>
      </c>
      <c r="D56" s="748">
        <f t="shared" ref="D56:Q56" ca="1" si="7">SUM(D54:D55)</f>
        <v>0</v>
      </c>
      <c r="E56" s="748">
        <f t="shared" si="7"/>
        <v>3862.8488069326127</v>
      </c>
      <c r="F56" s="748">
        <f t="shared" si="7"/>
        <v>29.596444578545047</v>
      </c>
      <c r="G56" s="748">
        <f t="shared" si="7"/>
        <v>3941.9936919617103</v>
      </c>
      <c r="H56" s="748">
        <f t="shared" si="7"/>
        <v>0</v>
      </c>
      <c r="I56" s="748">
        <f t="shared" si="7"/>
        <v>0</v>
      </c>
      <c r="J56" s="748">
        <f t="shared" si="7"/>
        <v>0</v>
      </c>
      <c r="K56" s="748">
        <f t="shared" si="7"/>
        <v>407.4368471057187</v>
      </c>
      <c r="L56" s="748">
        <f t="shared" si="7"/>
        <v>0</v>
      </c>
      <c r="M56" s="748">
        <f t="shared" si="7"/>
        <v>0</v>
      </c>
      <c r="N56" s="748">
        <f t="shared" si="7"/>
        <v>0</v>
      </c>
      <c r="O56" s="748">
        <f t="shared" si="7"/>
        <v>0</v>
      </c>
      <c r="P56" s="748">
        <f t="shared" si="7"/>
        <v>0</v>
      </c>
      <c r="Q56" s="749">
        <f t="shared" si="7"/>
        <v>0</v>
      </c>
      <c r="R56" s="750">
        <f ca="1">SUM(R54:R55)</f>
        <v>11558.831683094093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67940.829693961743</v>
      </c>
      <c r="D61" s="756">
        <f t="shared" ref="D61:Q61" ca="1" si="8">D46+D52+D56</f>
        <v>234.50672268907562</v>
      </c>
      <c r="E61" s="756">
        <f t="shared" ca="1" si="8"/>
        <v>107641.69859749707</v>
      </c>
      <c r="F61" s="756">
        <f t="shared" si="8"/>
        <v>6790.1766653986897</v>
      </c>
      <c r="G61" s="756">
        <f t="shared" ca="1" si="8"/>
        <v>11297.106709545009</v>
      </c>
      <c r="H61" s="756">
        <f t="shared" si="8"/>
        <v>113812.85377116325</v>
      </c>
      <c r="I61" s="756">
        <f t="shared" si="8"/>
        <v>21825.26391746759</v>
      </c>
      <c r="J61" s="756">
        <f t="shared" si="8"/>
        <v>0</v>
      </c>
      <c r="K61" s="756">
        <f t="shared" si="8"/>
        <v>2577.6704959962181</v>
      </c>
      <c r="L61" s="756">
        <f t="shared" si="8"/>
        <v>0</v>
      </c>
      <c r="M61" s="756">
        <f t="shared" ca="1" si="8"/>
        <v>0</v>
      </c>
      <c r="N61" s="756">
        <f t="shared" si="8"/>
        <v>0</v>
      </c>
      <c r="O61" s="756">
        <f t="shared" ca="1" si="8"/>
        <v>0</v>
      </c>
      <c r="P61" s="756">
        <f t="shared" si="8"/>
        <v>0</v>
      </c>
      <c r="Q61" s="756">
        <f t="shared" si="8"/>
        <v>0</v>
      </c>
      <c r="R61" s="756">
        <f ca="1">R46+R52+R56</f>
        <v>332120.10657371866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0.20442777806459106</v>
      </c>
      <c r="D63" s="802">
        <f t="shared" ca="1" si="9"/>
        <v>0.23764705882352938</v>
      </c>
      <c r="E63" s="1008">
        <f t="shared" ca="1" si="9"/>
        <v>0.20200000000000004</v>
      </c>
      <c r="F63" s="802">
        <f t="shared" si="9"/>
        <v>0.22699999999999998</v>
      </c>
      <c r="G63" s="802">
        <f t="shared" ca="1" si="9"/>
        <v>0.26700000000000002</v>
      </c>
      <c r="H63" s="802">
        <f t="shared" si="9"/>
        <v>0.26700000000000002</v>
      </c>
      <c r="I63" s="802">
        <f t="shared" si="9"/>
        <v>0.24900000000000003</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24973.831388330946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690.75</v>
      </c>
      <c r="D76" s="991">
        <f>'lokale energieproductie'!C8</f>
        <v>812.64705882352951</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164.15470588235297</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24973.831388330946</v>
      </c>
      <c r="C78" s="774">
        <f>SUM(C72:C77)</f>
        <v>690.75</v>
      </c>
      <c r="D78" s="775">
        <f t="shared" ref="D78:H78" si="10">SUM(D76:D77)</f>
        <v>812.64705882352951</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164.15470588235297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986.78571428571433</v>
      </c>
      <c r="D87" s="798">
        <f>'lokale energieproductie'!C17</f>
        <v>1160.9243697478992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234.50672268907564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986.78571428571433</v>
      </c>
      <c r="D90" s="774">
        <f t="shared" ref="D90:H90" si="12">SUM(D87:D89)</f>
        <v>1160.9243697478992</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234.50672268907564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24973.831388330946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690.75</v>
      </c>
      <c r="C8" s="574">
        <f>B101</f>
        <v>812.64705882352951</v>
      </c>
      <c r="D8" s="575"/>
      <c r="E8" s="575">
        <f>E101</f>
        <v>0</v>
      </c>
      <c r="F8" s="576"/>
      <c r="G8" s="577"/>
      <c r="H8" s="575">
        <f>I101</f>
        <v>0</v>
      </c>
      <c r="I8" s="575">
        <f>G101+F101</f>
        <v>0</v>
      </c>
      <c r="J8" s="575">
        <f>H101+D101+C101</f>
        <v>0</v>
      </c>
      <c r="K8" s="575"/>
      <c r="L8" s="575"/>
      <c r="M8" s="575"/>
      <c r="N8" s="578"/>
      <c r="O8" s="579">
        <f>C8*$C$12+D8*$D$12+E8*$E$12+F8*$F$12+G8*$G$12+H8*$H$12+I8*$I$12+J8*$J$12</f>
        <v>164.15470588235297</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25664.581388330946</v>
      </c>
      <c r="C10" s="589">
        <f t="shared" ref="C10:L10" si="0">SUM(C8:C9)</f>
        <v>812.64705882352951</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164.15470588235297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986.78571428571433</v>
      </c>
      <c r="C17" s="605">
        <f>B102</f>
        <v>1160.9243697478992</v>
      </c>
      <c r="D17" s="606"/>
      <c r="E17" s="606">
        <f>E102</f>
        <v>0</v>
      </c>
      <c r="F17" s="607"/>
      <c r="G17" s="608"/>
      <c r="H17" s="605">
        <f>I102</f>
        <v>0</v>
      </c>
      <c r="I17" s="606">
        <f>G102+F102</f>
        <v>0</v>
      </c>
      <c r="J17" s="606">
        <f>H102+D102+C102</f>
        <v>0</v>
      </c>
      <c r="K17" s="606"/>
      <c r="L17" s="606"/>
      <c r="M17" s="606"/>
      <c r="N17" s="1005"/>
      <c r="O17" s="609">
        <f>C17*$C$22+E17*$E$22+H17*$H$22+I17*$I$22+J17*$J$22+D17*$D$22+F17*$F$22+G17*$G$22+K17*$K$22+L17*$L$22</f>
        <v>234.50672268907564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986.78571428571433</v>
      </c>
      <c r="C20" s="588">
        <f>SUM(C17:C19)</f>
        <v>1160.9243697478992</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234.50672268907564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46021</v>
      </c>
      <c r="C28" s="817">
        <v>9100</v>
      </c>
      <c r="D28" s="666" t="s">
        <v>886</v>
      </c>
      <c r="E28" s="665" t="s">
        <v>887</v>
      </c>
      <c r="F28" s="665" t="s">
        <v>888</v>
      </c>
      <c r="G28" s="665" t="s">
        <v>889</v>
      </c>
      <c r="H28" s="665" t="s">
        <v>890</v>
      </c>
      <c r="I28" s="665" t="s">
        <v>887</v>
      </c>
      <c r="J28" s="816">
        <v>40688</v>
      </c>
      <c r="K28" s="816">
        <v>40787</v>
      </c>
      <c r="L28" s="665" t="s">
        <v>891</v>
      </c>
      <c r="M28" s="665">
        <v>5</v>
      </c>
      <c r="N28" s="665">
        <v>22.5</v>
      </c>
      <c r="O28" s="665">
        <v>32.142857142857146</v>
      </c>
      <c r="P28" s="665">
        <v>64.285714285714292</v>
      </c>
      <c r="Q28" s="665">
        <v>0</v>
      </c>
      <c r="R28" s="665">
        <v>0</v>
      </c>
      <c r="S28" s="665">
        <v>0</v>
      </c>
      <c r="T28" s="665">
        <v>0</v>
      </c>
      <c r="U28" s="665">
        <v>0</v>
      </c>
      <c r="V28" s="665">
        <v>0</v>
      </c>
      <c r="W28" s="665">
        <v>0</v>
      </c>
      <c r="X28" s="665">
        <v>1600</v>
      </c>
      <c r="Y28" s="665" t="s">
        <v>49</v>
      </c>
      <c r="Z28" s="667" t="s">
        <v>155</v>
      </c>
    </row>
    <row r="29" spans="1:26" s="619" customFormat="1" ht="63.75">
      <c r="A29" s="618"/>
      <c r="B29" s="817">
        <v>46021</v>
      </c>
      <c r="C29" s="817">
        <v>9100</v>
      </c>
      <c r="D29" s="666" t="s">
        <v>892</v>
      </c>
      <c r="E29" s="665" t="s">
        <v>893</v>
      </c>
      <c r="F29" s="665" t="s">
        <v>894</v>
      </c>
      <c r="G29" s="665" t="s">
        <v>889</v>
      </c>
      <c r="H29" s="665" t="s">
        <v>890</v>
      </c>
      <c r="I29" s="665" t="s">
        <v>893</v>
      </c>
      <c r="J29" s="816">
        <v>40735</v>
      </c>
      <c r="K29" s="816">
        <v>40817</v>
      </c>
      <c r="L29" s="665" t="s">
        <v>891</v>
      </c>
      <c r="M29" s="665">
        <v>5.5</v>
      </c>
      <c r="N29" s="665">
        <v>24.75</v>
      </c>
      <c r="O29" s="665">
        <v>35.357142857142861</v>
      </c>
      <c r="P29" s="665">
        <v>70.714285714285722</v>
      </c>
      <c r="Q29" s="665">
        <v>0</v>
      </c>
      <c r="R29" s="665">
        <v>0</v>
      </c>
      <c r="S29" s="665">
        <v>0</v>
      </c>
      <c r="T29" s="665">
        <v>0</v>
      </c>
      <c r="U29" s="665">
        <v>0</v>
      </c>
      <c r="V29" s="665">
        <v>0</v>
      </c>
      <c r="W29" s="665">
        <v>0</v>
      </c>
      <c r="X29" s="665">
        <v>1600</v>
      </c>
      <c r="Y29" s="665" t="s">
        <v>49</v>
      </c>
      <c r="Z29" s="667" t="s">
        <v>155</v>
      </c>
    </row>
    <row r="30" spans="1:26" s="619" customFormat="1" ht="38.25">
      <c r="A30" s="618"/>
      <c r="B30" s="817">
        <v>46021</v>
      </c>
      <c r="C30" s="817">
        <v>9100</v>
      </c>
      <c r="D30" s="666" t="s">
        <v>895</v>
      </c>
      <c r="E30" s="665" t="s">
        <v>896</v>
      </c>
      <c r="F30" s="665" t="s">
        <v>897</v>
      </c>
      <c r="G30" s="665" t="s">
        <v>889</v>
      </c>
      <c r="H30" s="665" t="s">
        <v>890</v>
      </c>
      <c r="I30" s="665" t="s">
        <v>896</v>
      </c>
      <c r="J30" s="816">
        <v>41418</v>
      </c>
      <c r="K30" s="816">
        <v>41333</v>
      </c>
      <c r="L30" s="665" t="s">
        <v>891</v>
      </c>
      <c r="M30" s="665">
        <v>143</v>
      </c>
      <c r="N30" s="665">
        <v>643.5</v>
      </c>
      <c r="O30" s="665">
        <v>919.28571428571433</v>
      </c>
      <c r="P30" s="665">
        <v>1838.5714285714287</v>
      </c>
      <c r="Q30" s="665">
        <v>0</v>
      </c>
      <c r="R30" s="665">
        <v>0</v>
      </c>
      <c r="S30" s="665">
        <v>0</v>
      </c>
      <c r="T30" s="665">
        <v>0</v>
      </c>
      <c r="U30" s="665">
        <v>0</v>
      </c>
      <c r="V30" s="665">
        <v>0</v>
      </c>
      <c r="W30" s="665">
        <v>0</v>
      </c>
      <c r="X30" s="665">
        <v>500</v>
      </c>
      <c r="Y30" s="665" t="s">
        <v>40</v>
      </c>
      <c r="Z30" s="667" t="s">
        <v>388</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153.5</v>
      </c>
      <c r="N58" s="623">
        <f>SUM(N28:N57)</f>
        <v>690.75</v>
      </c>
      <c r="O58" s="623">
        <f t="shared" ref="O58:W58" si="2">SUM(O28:O57)</f>
        <v>986.78571428571433</v>
      </c>
      <c r="P58" s="623">
        <f t="shared" si="2"/>
        <v>1973.5714285714287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143</v>
      </c>
      <c r="N59" s="623">
        <f t="shared" si="3"/>
        <v>643.5</v>
      </c>
      <c r="O59" s="623">
        <f t="shared" si="3"/>
        <v>919.28571428571433</v>
      </c>
      <c r="P59" s="623">
        <f t="shared" si="3"/>
        <v>1838.5714285714287</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10.5</v>
      </c>
      <c r="N60" s="623">
        <f ca="1">SUMIF($Z$28:AD57,"tertiair",N28:N57)</f>
        <v>47.25</v>
      </c>
      <c r="O60" s="623">
        <f ca="1">SUMIF($Z$28:AE57,"tertiair",O28:O57)</f>
        <v>67.5</v>
      </c>
      <c r="P60" s="623">
        <f ca="1">SUMIF($Z$28:AF57,"tertiair",P28:P57)</f>
        <v>135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812.64705882352951</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1160.9243697478992</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114266.54261986942</v>
      </c>
      <c r="C4" s="478">
        <f>huishoudens!C8</f>
        <v>0</v>
      </c>
      <c r="D4" s="478">
        <f>huishoudens!D8</f>
        <v>296348.00033152604</v>
      </c>
      <c r="E4" s="478">
        <f>huishoudens!E8</f>
        <v>23209.38028563626</v>
      </c>
      <c r="F4" s="478">
        <f>huishoudens!F8</f>
        <v>0</v>
      </c>
      <c r="G4" s="478">
        <f>huishoudens!G8</f>
        <v>0</v>
      </c>
      <c r="H4" s="478">
        <f>huishoudens!H8</f>
        <v>0</v>
      </c>
      <c r="I4" s="478">
        <f>huishoudens!I8</f>
        <v>0</v>
      </c>
      <c r="J4" s="478">
        <f>huishoudens!J8</f>
        <v>5632.893997960141</v>
      </c>
      <c r="K4" s="478">
        <f>huishoudens!K8</f>
        <v>0</v>
      </c>
      <c r="L4" s="478">
        <f>huishoudens!L8</f>
        <v>0</v>
      </c>
      <c r="M4" s="478">
        <f>huishoudens!M8</f>
        <v>0</v>
      </c>
      <c r="N4" s="478">
        <f>huishoudens!N8</f>
        <v>54175.590564914441</v>
      </c>
      <c r="O4" s="478">
        <f>huishoudens!O8</f>
        <v>1305.444508356667</v>
      </c>
      <c r="P4" s="479">
        <f>huishoudens!P8</f>
        <v>2823.1010944595864</v>
      </c>
      <c r="Q4" s="480">
        <f>SUM(B4:P4)</f>
        <v>497760.95340272255</v>
      </c>
    </row>
    <row r="5" spans="1:17">
      <c r="A5" s="477" t="s">
        <v>155</v>
      </c>
      <c r="B5" s="478">
        <f ca="1">tertiair!B16</f>
        <v>120930.54219599999</v>
      </c>
      <c r="C5" s="478">
        <f ca="1">tertiair!C16</f>
        <v>67.5</v>
      </c>
      <c r="D5" s="478">
        <f ca="1">tertiair!D16</f>
        <v>162148.79062434001</v>
      </c>
      <c r="E5" s="478">
        <f>tertiair!E16</f>
        <v>1786.891360817566</v>
      </c>
      <c r="F5" s="478">
        <f ca="1">tertiair!F16</f>
        <v>12965.48669459178</v>
      </c>
      <c r="G5" s="478">
        <f>tertiair!G16</f>
        <v>0</v>
      </c>
      <c r="H5" s="478">
        <f>tertiair!H16</f>
        <v>0</v>
      </c>
      <c r="I5" s="478">
        <f>tertiair!I16</f>
        <v>0</v>
      </c>
      <c r="J5" s="478">
        <f>tertiair!J16</f>
        <v>0.15074527017377709</v>
      </c>
      <c r="K5" s="478">
        <f>tertiair!K16</f>
        <v>0</v>
      </c>
      <c r="L5" s="478">
        <f ca="1">tertiair!L16</f>
        <v>0</v>
      </c>
      <c r="M5" s="478">
        <f>tertiair!M16</f>
        <v>0</v>
      </c>
      <c r="N5" s="478">
        <f ca="1">tertiair!N16</f>
        <v>6075.7664505079529</v>
      </c>
      <c r="O5" s="478">
        <f>tertiair!O16</f>
        <v>53.869868424252701</v>
      </c>
      <c r="P5" s="479">
        <f>tertiair!P16</f>
        <v>788.08707459742516</v>
      </c>
      <c r="Q5" s="477">
        <f t="shared" ref="Q5:Q14" ca="1" si="0">SUM(B5:P5)</f>
        <v>304817.0850145492</v>
      </c>
    </row>
    <row r="6" spans="1:17">
      <c r="A6" s="477" t="s">
        <v>193</v>
      </c>
      <c r="B6" s="478">
        <f>'openbare verlichting'!B8</f>
        <v>3352.8530000000001</v>
      </c>
      <c r="C6" s="478"/>
      <c r="D6" s="478"/>
      <c r="E6" s="478"/>
      <c r="F6" s="478"/>
      <c r="G6" s="478"/>
      <c r="H6" s="478"/>
      <c r="I6" s="478"/>
      <c r="J6" s="478"/>
      <c r="K6" s="478"/>
      <c r="L6" s="478"/>
      <c r="M6" s="478"/>
      <c r="N6" s="478"/>
      <c r="O6" s="478"/>
      <c r="P6" s="479"/>
      <c r="Q6" s="477">
        <f t="shared" si="0"/>
        <v>3352.8530000000001</v>
      </c>
    </row>
    <row r="7" spans="1:17">
      <c r="A7" s="477" t="s">
        <v>111</v>
      </c>
      <c r="B7" s="478">
        <f>landbouw!B8</f>
        <v>4177.5774019999999</v>
      </c>
      <c r="C7" s="478">
        <f>landbouw!C8</f>
        <v>0</v>
      </c>
      <c r="D7" s="478">
        <f>landbouw!D8</f>
        <v>2237.1282257060002</v>
      </c>
      <c r="E7" s="478">
        <f>landbouw!E8</f>
        <v>130.38081312134381</v>
      </c>
      <c r="F7" s="478">
        <f>landbouw!F8</f>
        <v>14764.021318208652</v>
      </c>
      <c r="G7" s="478">
        <f>landbouw!G8</f>
        <v>0</v>
      </c>
      <c r="H7" s="478">
        <f>landbouw!H8</f>
        <v>0</v>
      </c>
      <c r="I7" s="478">
        <f>landbouw!I8</f>
        <v>0</v>
      </c>
      <c r="J7" s="478">
        <f>landbouw!J8</f>
        <v>1150.9515454963805</v>
      </c>
      <c r="K7" s="478">
        <f>landbouw!K8</f>
        <v>0</v>
      </c>
      <c r="L7" s="478">
        <f>landbouw!L8</f>
        <v>0</v>
      </c>
      <c r="M7" s="478">
        <f>landbouw!M8</f>
        <v>0</v>
      </c>
      <c r="N7" s="478">
        <f>landbouw!N8</f>
        <v>0</v>
      </c>
      <c r="O7" s="478">
        <f>landbouw!O8</f>
        <v>0</v>
      </c>
      <c r="P7" s="479">
        <f>landbouw!P8</f>
        <v>0</v>
      </c>
      <c r="Q7" s="477">
        <f t="shared" si="0"/>
        <v>22460.059304532377</v>
      </c>
    </row>
    <row r="8" spans="1:17">
      <c r="A8" s="477" t="s">
        <v>629</v>
      </c>
      <c r="B8" s="478">
        <f>industrie!B18</f>
        <v>77307.926241000008</v>
      </c>
      <c r="C8" s="478">
        <f>industrie!C18</f>
        <v>919.28571428571433</v>
      </c>
      <c r="D8" s="478">
        <f>industrie!D18</f>
        <v>54089.406663832582</v>
      </c>
      <c r="E8" s="478">
        <f>industrie!E18</f>
        <v>3844.109395181476</v>
      </c>
      <c r="F8" s="478">
        <f>industrie!F18</f>
        <v>14581.753071637806</v>
      </c>
      <c r="G8" s="478">
        <f>industrie!G18</f>
        <v>0</v>
      </c>
      <c r="H8" s="478">
        <f>industrie!H18</f>
        <v>0</v>
      </c>
      <c r="I8" s="478">
        <f>industrie!I18</f>
        <v>0</v>
      </c>
      <c r="J8" s="478">
        <f>industrie!J18</f>
        <v>497.55878470894868</v>
      </c>
      <c r="K8" s="478">
        <f>industrie!K18</f>
        <v>0</v>
      </c>
      <c r="L8" s="478">
        <f>industrie!L18</f>
        <v>0</v>
      </c>
      <c r="M8" s="478">
        <f>industrie!M18</f>
        <v>0</v>
      </c>
      <c r="N8" s="478">
        <f>industrie!N18</f>
        <v>3059.0209959563099</v>
      </c>
      <c r="O8" s="478">
        <f>industrie!O18</f>
        <v>0</v>
      </c>
      <c r="P8" s="479">
        <f>industrie!P18</f>
        <v>0</v>
      </c>
      <c r="Q8" s="477">
        <f t="shared" si="0"/>
        <v>154299.06086660284</v>
      </c>
    </row>
    <row r="9" spans="1:17" s="483" customFormat="1">
      <c r="A9" s="481" t="s">
        <v>555</v>
      </c>
      <c r="B9" s="482">
        <f>transport!B14</f>
        <v>262.94111583888889</v>
      </c>
      <c r="C9" s="482">
        <f>transport!C14</f>
        <v>0</v>
      </c>
      <c r="D9" s="482">
        <f>transport!D14</f>
        <v>1170.4845118085077</v>
      </c>
      <c r="E9" s="482">
        <f>transport!E14</f>
        <v>941.9106800393472</v>
      </c>
      <c r="F9" s="482">
        <f>transport!F14</f>
        <v>0</v>
      </c>
      <c r="G9" s="482">
        <f>transport!G14</f>
        <v>416999.40829902311</v>
      </c>
      <c r="H9" s="482">
        <f>transport!H14</f>
        <v>87651.662319146941</v>
      </c>
      <c r="I9" s="482">
        <f>transport!I14</f>
        <v>0</v>
      </c>
      <c r="J9" s="482">
        <f>transport!J14</f>
        <v>0</v>
      </c>
      <c r="K9" s="482">
        <f>transport!K14</f>
        <v>0</v>
      </c>
      <c r="L9" s="482">
        <f>transport!L14</f>
        <v>0</v>
      </c>
      <c r="M9" s="482">
        <f>transport!M14</f>
        <v>29804.763429157985</v>
      </c>
      <c r="N9" s="482">
        <f>transport!N14</f>
        <v>0</v>
      </c>
      <c r="O9" s="482">
        <f>transport!O14</f>
        <v>0</v>
      </c>
      <c r="P9" s="482">
        <f>transport!P14</f>
        <v>0</v>
      </c>
      <c r="Q9" s="481">
        <f>SUM(B9:P9)</f>
        <v>536831.17035501485</v>
      </c>
    </row>
    <row r="10" spans="1:17">
      <c r="A10" s="477" t="s">
        <v>545</v>
      </c>
      <c r="B10" s="478">
        <f>transport!B54</f>
        <v>0</v>
      </c>
      <c r="C10" s="478">
        <f>transport!C54</f>
        <v>0</v>
      </c>
      <c r="D10" s="478">
        <f>transport!D54</f>
        <v>0</v>
      </c>
      <c r="E10" s="478">
        <f>transport!E54</f>
        <v>0</v>
      </c>
      <c r="F10" s="478">
        <f>transport!F54</f>
        <v>0</v>
      </c>
      <c r="G10" s="478">
        <f>transport!G54</f>
        <v>9265.9616304272422</v>
      </c>
      <c r="H10" s="478">
        <f>transport!H54</f>
        <v>0</v>
      </c>
      <c r="I10" s="478">
        <f>transport!I54</f>
        <v>0</v>
      </c>
      <c r="J10" s="478">
        <f>transport!J54</f>
        <v>0</v>
      </c>
      <c r="K10" s="478">
        <f>transport!K54</f>
        <v>0</v>
      </c>
      <c r="L10" s="478">
        <f>transport!L54</f>
        <v>0</v>
      </c>
      <c r="M10" s="478">
        <f>transport!M54</f>
        <v>515.00317264147998</v>
      </c>
      <c r="N10" s="478">
        <f>transport!N54</f>
        <v>0</v>
      </c>
      <c r="O10" s="478">
        <f>transport!O54</f>
        <v>0</v>
      </c>
      <c r="P10" s="479">
        <f>transport!P54</f>
        <v>0</v>
      </c>
      <c r="Q10" s="477">
        <f t="shared" si="0"/>
        <v>9780.9648030687222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12047.98609</v>
      </c>
      <c r="C14" s="485"/>
      <c r="D14" s="485">
        <f>'SEAP template'!E25</f>
        <v>16885.885670000003</v>
      </c>
      <c r="E14" s="485"/>
      <c r="F14" s="485"/>
      <c r="G14" s="485"/>
      <c r="H14" s="485"/>
      <c r="I14" s="485"/>
      <c r="J14" s="485"/>
      <c r="K14" s="485"/>
      <c r="L14" s="485"/>
      <c r="M14" s="485"/>
      <c r="N14" s="485"/>
      <c r="O14" s="485"/>
      <c r="P14" s="486"/>
      <c r="Q14" s="477">
        <f t="shared" si="0"/>
        <v>28933.871760000002</v>
      </c>
    </row>
    <row r="15" spans="1:17" s="489" customFormat="1">
      <c r="A15" s="487" t="s">
        <v>549</v>
      </c>
      <c r="B15" s="488">
        <f ca="1">SUM(B4:B14)</f>
        <v>332346.36866470828</v>
      </c>
      <c r="C15" s="488">
        <f t="shared" ref="C15:Q15" ca="1" si="1">SUM(C4:C14)</f>
        <v>986.78571428571433</v>
      </c>
      <c r="D15" s="488">
        <f t="shared" ca="1" si="1"/>
        <v>532879.69602721313</v>
      </c>
      <c r="E15" s="488">
        <f t="shared" si="1"/>
        <v>29912.672534795991</v>
      </c>
      <c r="F15" s="488">
        <f t="shared" ca="1" si="1"/>
        <v>42311.261084438243</v>
      </c>
      <c r="G15" s="488">
        <f t="shared" si="1"/>
        <v>426265.36992945033</v>
      </c>
      <c r="H15" s="488">
        <f t="shared" si="1"/>
        <v>87651.662319146941</v>
      </c>
      <c r="I15" s="488">
        <f t="shared" si="1"/>
        <v>0</v>
      </c>
      <c r="J15" s="488">
        <f t="shared" si="1"/>
        <v>7281.5550734356439</v>
      </c>
      <c r="K15" s="488">
        <f t="shared" si="1"/>
        <v>0</v>
      </c>
      <c r="L15" s="488">
        <f t="shared" ca="1" si="1"/>
        <v>0</v>
      </c>
      <c r="M15" s="488">
        <f t="shared" si="1"/>
        <v>30319.766601799463</v>
      </c>
      <c r="N15" s="488">
        <f t="shared" ca="1" si="1"/>
        <v>63310.3780113787</v>
      </c>
      <c r="O15" s="488">
        <f t="shared" si="1"/>
        <v>1359.3143767809197</v>
      </c>
      <c r="P15" s="488">
        <f t="shared" si="1"/>
        <v>3611.1881690570117</v>
      </c>
      <c r="Q15" s="488">
        <f t="shared" ca="1" si="1"/>
        <v>1558236.0185064904</v>
      </c>
    </row>
    <row r="17" spans="1:17">
      <c r="A17" s="490" t="s">
        <v>550</v>
      </c>
      <c r="B17" s="807">
        <f ca="1">huishoudens!B10</f>
        <v>0.20442777806459106</v>
      </c>
      <c r="C17" s="807">
        <f ca="1">huishoudens!C10</f>
        <v>0.23764705882352941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23359.2554149028</v>
      </c>
      <c r="C22" s="478">
        <f t="shared" ref="C22:C32" ca="1" si="3">C4*$C$17</f>
        <v>0</v>
      </c>
      <c r="D22" s="478">
        <f t="shared" ref="D22:D32" si="4">D4*$D$17</f>
        <v>59862.296066968265</v>
      </c>
      <c r="E22" s="478">
        <f t="shared" ref="E22:E32" si="5">E4*$E$17</f>
        <v>5268.529324839431</v>
      </c>
      <c r="F22" s="478">
        <f t="shared" ref="F22:F32" si="6">F4*$F$17</f>
        <v>0</v>
      </c>
      <c r="G22" s="478">
        <f t="shared" ref="G22:G32" si="7">G4*$G$17</f>
        <v>0</v>
      </c>
      <c r="H22" s="478">
        <f t="shared" ref="H22:H32" si="8">H4*$H$17</f>
        <v>0</v>
      </c>
      <c r="I22" s="478">
        <f t="shared" ref="I22:I32" si="9">I4*$I$17</f>
        <v>0</v>
      </c>
      <c r="J22" s="478">
        <f t="shared" ref="J22:J32" si="10">J4*$J$17</f>
        <v>1994.0444752778899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90484.125281988381</v>
      </c>
    </row>
    <row r="23" spans="1:17">
      <c r="A23" s="477" t="s">
        <v>155</v>
      </c>
      <c r="B23" s="478">
        <f t="shared" ca="1" si="2"/>
        <v>24721.562041274552</v>
      </c>
      <c r="C23" s="478">
        <f t="shared" ca="1" si="3"/>
        <v>16.041176470588233</v>
      </c>
      <c r="D23" s="478">
        <f t="shared" ca="1" si="4"/>
        <v>32754.055706116684</v>
      </c>
      <c r="E23" s="478">
        <f t="shared" si="5"/>
        <v>405.62433890558748</v>
      </c>
      <c r="F23" s="478">
        <f t="shared" ca="1" si="6"/>
        <v>3461.7849474560053</v>
      </c>
      <c r="G23" s="478">
        <f t="shared" si="7"/>
        <v>0</v>
      </c>
      <c r="H23" s="478">
        <f t="shared" si="8"/>
        <v>0</v>
      </c>
      <c r="I23" s="478">
        <f t="shared" si="9"/>
        <v>0</v>
      </c>
      <c r="J23" s="478">
        <f t="shared" si="10"/>
        <v>5.3363825641517086E-2</v>
      </c>
      <c r="K23" s="478">
        <f t="shared" si="11"/>
        <v>0</v>
      </c>
      <c r="L23" s="478">
        <f t="shared" ca="1" si="12"/>
        <v>0</v>
      </c>
      <c r="M23" s="478">
        <f t="shared" si="13"/>
        <v>0</v>
      </c>
      <c r="N23" s="478">
        <f t="shared" ca="1" si="14"/>
        <v>0</v>
      </c>
      <c r="O23" s="478">
        <f t="shared" si="15"/>
        <v>0</v>
      </c>
      <c r="P23" s="479">
        <f t="shared" si="16"/>
        <v>0</v>
      </c>
      <c r="Q23" s="477">
        <f t="shared" ref="Q23:Q31" ca="1" si="17">SUM(B23:P23)</f>
        <v>61359.121574049059</v>
      </c>
    </row>
    <row r="24" spans="1:17">
      <c r="A24" s="477" t="s">
        <v>193</v>
      </c>
      <c r="B24" s="478">
        <f t="shared" ca="1" si="2"/>
        <v>685.41628896719828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685.41628896719828</v>
      </c>
    </row>
    <row r="25" spans="1:17">
      <c r="A25" s="477" t="s">
        <v>111</v>
      </c>
      <c r="B25" s="478">
        <f t="shared" ca="1" si="2"/>
        <v>854.01286598370689</v>
      </c>
      <c r="C25" s="478">
        <f t="shared" ca="1" si="3"/>
        <v>0</v>
      </c>
      <c r="D25" s="478">
        <f t="shared" si="4"/>
        <v>451.89990159261208</v>
      </c>
      <c r="E25" s="478">
        <f t="shared" si="5"/>
        <v>29.596444578545047</v>
      </c>
      <c r="F25" s="478">
        <f t="shared" si="6"/>
        <v>3941.9936919617103</v>
      </c>
      <c r="G25" s="478">
        <f t="shared" si="7"/>
        <v>0</v>
      </c>
      <c r="H25" s="478">
        <f t="shared" si="8"/>
        <v>0</v>
      </c>
      <c r="I25" s="478">
        <f t="shared" si="9"/>
        <v>0</v>
      </c>
      <c r="J25" s="478">
        <f t="shared" si="10"/>
        <v>407.4368471057187</v>
      </c>
      <c r="K25" s="478">
        <f t="shared" si="11"/>
        <v>0</v>
      </c>
      <c r="L25" s="478">
        <f t="shared" si="12"/>
        <v>0</v>
      </c>
      <c r="M25" s="478">
        <f t="shared" si="13"/>
        <v>0</v>
      </c>
      <c r="N25" s="478">
        <f t="shared" si="14"/>
        <v>0</v>
      </c>
      <c r="O25" s="478">
        <f t="shared" si="15"/>
        <v>0</v>
      </c>
      <c r="P25" s="479">
        <f t="shared" si="16"/>
        <v>0</v>
      </c>
      <c r="Q25" s="477">
        <f t="shared" ca="1" si="17"/>
        <v>5684.9397512222931</v>
      </c>
    </row>
    <row r="26" spans="1:17">
      <c r="A26" s="477" t="s">
        <v>629</v>
      </c>
      <c r="B26" s="478">
        <f t="shared" ca="1" si="2"/>
        <v>15803.887588228925</v>
      </c>
      <c r="C26" s="478">
        <f t="shared" ca="1" si="3"/>
        <v>218.46554621848739</v>
      </c>
      <c r="D26" s="478">
        <f t="shared" si="4"/>
        <v>10926.060146094182</v>
      </c>
      <c r="E26" s="478">
        <f t="shared" si="5"/>
        <v>872.61283270619504</v>
      </c>
      <c r="F26" s="478">
        <f t="shared" si="6"/>
        <v>3893.3280701272943</v>
      </c>
      <c r="G26" s="478">
        <f t="shared" si="7"/>
        <v>0</v>
      </c>
      <c r="H26" s="478">
        <f t="shared" si="8"/>
        <v>0</v>
      </c>
      <c r="I26" s="478">
        <f t="shared" si="9"/>
        <v>0</v>
      </c>
      <c r="J26" s="478">
        <f t="shared" si="10"/>
        <v>176.13580978696783</v>
      </c>
      <c r="K26" s="478">
        <f t="shared" si="11"/>
        <v>0</v>
      </c>
      <c r="L26" s="478">
        <f t="shared" si="12"/>
        <v>0</v>
      </c>
      <c r="M26" s="478">
        <f t="shared" si="13"/>
        <v>0</v>
      </c>
      <c r="N26" s="478">
        <f t="shared" si="14"/>
        <v>0</v>
      </c>
      <c r="O26" s="478">
        <f t="shared" si="15"/>
        <v>0</v>
      </c>
      <c r="P26" s="479">
        <f t="shared" si="16"/>
        <v>0</v>
      </c>
      <c r="Q26" s="477">
        <f t="shared" ca="1" si="17"/>
        <v>31890.489993162053</v>
      </c>
    </row>
    <row r="27" spans="1:17" s="483" customFormat="1">
      <c r="A27" s="481" t="s">
        <v>555</v>
      </c>
      <c r="B27" s="801">
        <f t="shared" ca="1" si="2"/>
        <v>53.752468072768309</v>
      </c>
      <c r="C27" s="482">
        <f t="shared" ca="1" si="3"/>
        <v>0</v>
      </c>
      <c r="D27" s="482">
        <f t="shared" si="4"/>
        <v>236.43787138531857</v>
      </c>
      <c r="E27" s="482">
        <f t="shared" si="5"/>
        <v>213.81372436893182</v>
      </c>
      <c r="F27" s="482">
        <f t="shared" si="6"/>
        <v>0</v>
      </c>
      <c r="G27" s="482">
        <f t="shared" si="7"/>
        <v>111338.84201583918</v>
      </c>
      <c r="H27" s="482">
        <f t="shared" si="8"/>
        <v>21825.26391746759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133668.10999713378</v>
      </c>
    </row>
    <row r="28" spans="1:17" ht="16.5" customHeight="1">
      <c r="A28" s="477" t="s">
        <v>545</v>
      </c>
      <c r="B28" s="478">
        <f t="shared" ca="1" si="2"/>
        <v>0</v>
      </c>
      <c r="C28" s="478">
        <f t="shared" ca="1" si="3"/>
        <v>0</v>
      </c>
      <c r="D28" s="478">
        <f t="shared" si="4"/>
        <v>0</v>
      </c>
      <c r="E28" s="478">
        <f t="shared" si="5"/>
        <v>0</v>
      </c>
      <c r="F28" s="478">
        <f t="shared" si="6"/>
        <v>0</v>
      </c>
      <c r="G28" s="478">
        <f t="shared" si="7"/>
        <v>2474.0117553240739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2474.0117553240739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2462.9430265318001</v>
      </c>
      <c r="C32" s="478">
        <f t="shared" ca="1" si="3"/>
        <v>0</v>
      </c>
      <c r="D32" s="478">
        <f t="shared" si="4"/>
        <v>3410.9489053400007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5873.8919318718008</v>
      </c>
    </row>
    <row r="33" spans="1:17" s="489" customFormat="1">
      <c r="A33" s="487" t="s">
        <v>549</v>
      </c>
      <c r="B33" s="488">
        <f ca="1">SUM(B22:B32)</f>
        <v>67940.829693961743</v>
      </c>
      <c r="C33" s="488">
        <f t="shared" ref="C33:Q33" ca="1" si="19">SUM(C22:C32)</f>
        <v>234.50672268907562</v>
      </c>
      <c r="D33" s="488">
        <f t="shared" ca="1" si="19"/>
        <v>107641.69859749707</v>
      </c>
      <c r="E33" s="488">
        <f t="shared" si="19"/>
        <v>6790.1766653986897</v>
      </c>
      <c r="F33" s="488">
        <f t="shared" ca="1" si="19"/>
        <v>11297.106709545009</v>
      </c>
      <c r="G33" s="488">
        <f t="shared" si="19"/>
        <v>113812.85377116325</v>
      </c>
      <c r="H33" s="488">
        <f t="shared" si="19"/>
        <v>21825.26391746759</v>
      </c>
      <c r="I33" s="488">
        <f t="shared" si="19"/>
        <v>0</v>
      </c>
      <c r="J33" s="488">
        <f t="shared" si="19"/>
        <v>2577.6704959962181</v>
      </c>
      <c r="K33" s="488">
        <f t="shared" si="19"/>
        <v>0</v>
      </c>
      <c r="L33" s="488">
        <f t="shared" ca="1" si="19"/>
        <v>0</v>
      </c>
      <c r="M33" s="488">
        <f t="shared" si="19"/>
        <v>0</v>
      </c>
      <c r="N33" s="488">
        <f t="shared" ca="1" si="19"/>
        <v>0</v>
      </c>
      <c r="O33" s="488">
        <f t="shared" si="19"/>
        <v>0</v>
      </c>
      <c r="P33" s="488">
        <f t="shared" si="19"/>
        <v>0</v>
      </c>
      <c r="Q33" s="488">
        <f t="shared" ca="1" si="19"/>
        <v>332120.10657371866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24973.831388330946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690.75</v>
      </c>
      <c r="D8" s="1062">
        <f>'SEAP template'!D76</f>
        <v>812.64705882352951</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164.15470588235297</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24973.831388330946</v>
      </c>
      <c r="C10" s="1064">
        <f>SUM(C4:C9)</f>
        <v>690.75</v>
      </c>
      <c r="D10" s="1064">
        <f t="shared" ref="D10:H10" si="0">SUM(D8:D9)</f>
        <v>812.64705882352951</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164.15470588235297</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0.20442777806459106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986.78571428571433</v>
      </c>
      <c r="D17" s="1063">
        <f>'SEAP template'!D87</f>
        <v>1160.9243697478992</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234.50672268907564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986.78571428571433</v>
      </c>
      <c r="D20" s="1064">
        <f t="shared" ref="D20:H20" si="2">SUM(D17:D19)</f>
        <v>1160.9243697478992</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234.50672268907564</v>
      </c>
    </row>
    <row r="21" spans="1:16">
      <c r="B21" s="913"/>
    </row>
    <row r="22" spans="1:16">
      <c r="A22" s="490" t="s">
        <v>814</v>
      </c>
      <c r="B22" s="807" t="s">
        <v>812</v>
      </c>
      <c r="C22" s="807">
        <f ca="1">'EF ele_warmte'!B22</f>
        <v>0.23764705882352941</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0.20442777806459106</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2019-08-12T08:41:15Z</dcterms:modified>
</cp:coreProperties>
</file>