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I15"/>
  <c r="O20" i="59"/>
  <c r="N20"/>
  <c r="F16" i="16"/>
  <c r="G20" i="59"/>
  <c r="C13" i="15"/>
  <c r="L6" i="17"/>
  <c r="L5" s="1"/>
  <c r="E20" i="59"/>
  <c r="B13" i="15"/>
  <c r="F6" i="17"/>
  <c r="F8" s="1"/>
  <c r="G24" i="14" s="1"/>
  <c r="G26" s="1"/>
  <c r="D89"/>
  <c r="D19" i="59" s="1"/>
  <c r="O19" i="18"/>
  <c r="K10"/>
  <c r="N77" i="14"/>
  <c r="L10" i="18"/>
  <c r="O77" i="14"/>
  <c r="B89"/>
  <c r="B19" i="59" s="1"/>
  <c r="H16" i="14"/>
  <c r="B8" i="9"/>
  <c r="B6" i="48" s="1"/>
  <c r="Q6" s="1"/>
  <c r="C16" i="15"/>
  <c r="L16" i="16"/>
  <c r="L18" s="1"/>
  <c r="M13" i="14" s="1"/>
  <c r="I14" i="15"/>
  <c r="I16" s="1"/>
  <c r="J10" i="14" s="1"/>
  <c r="B13" i="16"/>
  <c r="C35"/>
  <c r="D8" i="17"/>
  <c r="D12" s="1"/>
  <c r="E54" i="14" s="1"/>
  <c r="E9"/>
  <c r="D14" i="15"/>
  <c r="P18" i="16"/>
  <c r="P22" s="1"/>
  <c r="Q43" i="14" s="1"/>
  <c r="N6" i="17"/>
  <c r="N5" s="1"/>
  <c r="J8"/>
  <c r="J12" s="1"/>
  <c r="K54" i="14" s="1"/>
  <c r="K56" s="1"/>
  <c r="N16" i="16"/>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N78" i="14" l="1"/>
  <c r="N9" i="59"/>
  <c r="N10" s="1"/>
  <c r="M24" i="48"/>
  <c r="M32"/>
  <c r="I33"/>
  <c r="J27" i="14"/>
  <c r="Q89"/>
  <c r="P19" i="59" s="1"/>
  <c r="G78" i="14"/>
  <c r="G9" i="59"/>
  <c r="G10" s="1"/>
  <c r="H90" i="14"/>
  <c r="H18" i="59"/>
  <c r="H20" s="1"/>
  <c r="H78" i="14"/>
  <c r="H9" i="59"/>
  <c r="H10" s="1"/>
  <c r="E78" i="14"/>
  <c r="E9" i="59"/>
  <c r="E10" s="1"/>
  <c r="O78" i="14"/>
  <c r="O9" i="59"/>
  <c r="O10" s="1"/>
  <c r="K33" i="48"/>
  <c r="N46" i="14"/>
  <c r="K15" i="48"/>
  <c r="Q13" i="14"/>
  <c r="C89"/>
  <c r="C19" i="59" s="1"/>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B48" i="13"/>
  <c r="C48" s="1"/>
  <c r="N5" s="1"/>
  <c r="N8" s="1"/>
  <c r="N4" i="48" s="1"/>
  <c r="N22" s="1"/>
  <c r="M30"/>
  <c r="M26"/>
  <c r="M25"/>
  <c r="C50" i="13"/>
  <c r="J5" s="1"/>
  <c r="J8" s="1"/>
  <c r="C5" i="48"/>
  <c r="F78" i="14" l="1"/>
  <c r="F8" i="59"/>
  <c r="F10" s="1"/>
  <c r="F90" i="14"/>
  <c r="F17" i="59"/>
  <c r="F20" s="1"/>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20" i="15"/>
  <c r="K40" i="14" s="1"/>
  <c r="E27"/>
  <c r="C10" i="18"/>
  <c r="B15" i="48"/>
  <c r="D15"/>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B22" i="6"/>
  <c r="C22" i="59" s="1"/>
  <c r="G33" i="48"/>
  <c r="Q9"/>
  <c r="H15"/>
  <c r="F22" i="16"/>
  <c r="G43" i="14" s="1"/>
  <c r="G46" s="1"/>
  <c r="G61" s="1"/>
  <c r="G63" s="1"/>
  <c r="Q78" s="1"/>
  <c r="B9" i="6" s="1"/>
  <c r="F8" i="48"/>
  <c r="F15" s="1"/>
  <c r="O13" i="14"/>
  <c r="O16" s="1"/>
  <c r="O27"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C10" i="13"/>
  <c r="C12" s="1"/>
  <c r="C18" i="15"/>
  <c r="C20" s="1"/>
  <c r="D40" i="14" s="1"/>
  <c r="C17" i="19"/>
  <c r="C19" s="1"/>
  <c r="D39" i="14" s="1"/>
  <c r="C16" i="22"/>
  <c r="C56"/>
  <c r="C58" s="1"/>
  <c r="D49" i="14" s="1"/>
  <c r="D52" s="1"/>
  <c r="B90"/>
  <c r="B17" i="59"/>
  <c r="B20" s="1"/>
  <c r="F26" i="48"/>
  <c r="F33" s="1"/>
  <c r="C29" i="20"/>
  <c r="J26" i="48"/>
  <c r="J33" s="1"/>
  <c r="J15"/>
  <c r="E15"/>
  <c r="C17"/>
  <c r="C24" s="1"/>
  <c r="D41" i="14"/>
  <c r="D46" s="1"/>
  <c r="O46"/>
  <c r="O61" s="1"/>
  <c r="O63" s="1"/>
  <c r="K46"/>
  <c r="K61" s="1"/>
  <c r="K63" s="1"/>
  <c r="F16"/>
  <c r="R13"/>
  <c r="R16" s="1"/>
  <c r="R27" s="1"/>
  <c r="Q8" i="48"/>
  <c r="Q15" s="1"/>
  <c r="D61" i="14" l="1"/>
  <c r="D63" s="1"/>
  <c r="C28" i="48"/>
  <c r="C30"/>
  <c r="C27"/>
  <c r="C29"/>
  <c r="C32"/>
  <c r="C25"/>
  <c r="C31"/>
  <c r="C26"/>
  <c r="C22"/>
  <c r="C23"/>
  <c r="F27" i="14"/>
  <c r="F63" s="1"/>
  <c r="C78"/>
  <c r="B78"/>
  <c r="B12" i="6" l="1"/>
  <c r="B16" i="22" s="1"/>
  <c r="B18" s="1"/>
  <c r="B4" i="6"/>
  <c r="C33" i="48"/>
  <c r="B17" i="19" l="1"/>
  <c r="B19" s="1"/>
  <c r="C39" i="14" s="1"/>
  <c r="R39" s="1"/>
  <c r="C12" i="59"/>
  <c r="B18" i="15"/>
  <c r="B20" s="1"/>
  <c r="B20" i="16"/>
  <c r="B22" s="1"/>
  <c r="C43" i="14" s="1"/>
  <c r="R43" s="1"/>
  <c r="B29" i="20"/>
  <c r="B31" s="1"/>
  <c r="B10" i="9"/>
  <c r="B12" s="1"/>
  <c r="C40" i="14" s="1"/>
  <c r="R40" s="1"/>
  <c r="C55"/>
  <c r="R55" s="1"/>
  <c r="B10" i="13"/>
  <c r="B56" i="22"/>
  <c r="B58" s="1"/>
  <c r="C49" i="14" s="1"/>
  <c r="R49" s="1"/>
  <c r="B17" i="49"/>
  <c r="B19" s="1"/>
  <c r="C42" i="14" s="1"/>
  <c r="R42" s="1"/>
  <c r="B10" i="17"/>
  <c r="B12" s="1"/>
  <c r="C54" i="14"/>
  <c r="R54" s="1"/>
  <c r="R56" s="1"/>
  <c r="C48"/>
  <c r="R48" s="1"/>
  <c r="C50"/>
  <c r="R5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<sst xmlns="http://schemas.openxmlformats.org/spreadsheetml/2006/main" count="2525" uniqueCount="943">
  <si>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</si>
  <si>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</si>
  <si>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</si>
  <si>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</si>
  <si>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</si>
  <si>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</si>
  <si>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</si>
  <si>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</si>
  <si>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</si>
  <si>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</si>
  <si>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</si>
  <si>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</si>
  <si>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</si>
  <si>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</si>
  <si>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</si>
  <si>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</si>
  <si>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</si>
  <si>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</si>
  <si>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</si>
  <si>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</si>
  <si>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</si>
  <si>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</si>
  <si>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</si>
  <si>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</si>
  <si>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</si>
  <si>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</si>
  <si>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</si>
  <si>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</si>
  <si>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</si>
  <si>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</si>
  <si>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</si>
  <si>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</si>
  <si>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</si>
  <si>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</si>
  <si>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</si>
  <si>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</si>
  <si>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</si>
  <si>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</si>
  <si>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</si>
  <si>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</si>
  <si>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</si>
  <si>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</si>
  <si>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</si>
  <si>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</si>
  <si>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</si>
  <si>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</si>
  <si>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</si>
  <si>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</si>
  <si>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</si>
  <si>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</si>
  <si>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</si>
  <si>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</si>
  <si>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</si>
  <si>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</si>
  <si>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</si>
  <si>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</si>
  <si>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</si>
  <si>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</si>
  <si>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</si>
  <si>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</si>
  <si>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</si>
  <si>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</si>
  <si>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</si>
  <si>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</si>
  <si>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</si>
  <si>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</si>
  <si>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</si>
  <si>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</si>
  <si>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</si>
  <si>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</si>
  <si>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</si>
  <si>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</si>
  <si>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</si>
  <si>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</si>
  <si>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</si>
  <si>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</si>
  <si>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</si>
  <si>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</si>
  <si>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</si>
  <si>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</si>
  <si>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</si>
  <si>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</si>
  <si>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</si>
  <si>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</si>
  <si>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</si>
  <si>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</si>
  <si>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</si>
  <si>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</si>
  <si>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</si>
  <si>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</si>
  <si>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</si>
  <si>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</si>
  <si>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</si>
  <si>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</si>
  <si>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</si>
  <si>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</si>
  <si>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</si>
  <si>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</si>
  <si>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</si>
  <si>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</si>
  <si>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</si>
  <si>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</si>
  <si>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</si>
  <si>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</si>
  <si>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</si>
  <si>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</si>
  <si>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</si>
  <si>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</si>
  <si>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</si>
  <si>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</si>
  <si>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</si>
  <si>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</si>
  <si>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</si>
  <si>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</si>
  <si>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</si>
  <si>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</si>
  <si>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</si>
  <si>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</si>
  <si>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</si>
  <si>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</si>
  <si>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</si>
  <si>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</si>
  <si>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</si>
  <si>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</si>
  <si>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</si>
  <si>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</si>
  <si>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</si>
  <si>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</si>
  <si>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</si>
  <si>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</si>
  <si>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</si>
  <si>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</si>
  <si>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</si>
  <si>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</si>
  <si>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</si>
  <si>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</si>
  <si>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</si>
  <si>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</si>
  <si>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</si>
  <si>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</si>
  <si>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</si>
  <si>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</si>
  <si>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</si>
  <si>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</si>
  <si>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</si>
  <si>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</si>
  <si>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</si>
  <si>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</si>
  <si>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</si>
  <si>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</si>
  <si>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</si>
  <si>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</si>
  <si>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</si>
  <si>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</si>
  <si>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</si>
  <si>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</si>
  <si>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</si>
  <si>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</si>
  <si>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</si>
  <si>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</si>
  <si>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</si>
  <si>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</si>
  <si>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</si>
  <si>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</si>
  <si>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</si>
  <si>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</si>
  <si>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</si>
  <si>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</si>
  <si>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</si>
  <si>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</si>
  <si>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</si>
  <si>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</si>
  <si>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</si>
  <si>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</si>
  <si>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</si>
  <si>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</si>
  <si>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</si>
  <si>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</si>
  <si>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</si>
  <si>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</si>
  <si>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</si>
  <si>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</si>
  <si>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</si>
  <si>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</si>
  <si>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</si>
  <si>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</si>
  <si>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</si>
  <si>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</si>
  <si>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</si>
  <si>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</si>
  <si>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</si>
  <si>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</si>
  <si>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</si>
  <si>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</si>
  <si>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</si>
  <si>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</si>
  <si>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</si>
  <si>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</si>
  <si>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</si>
  <si>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</si>
  <si>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</si>
  <si>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</si>
  <si>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</si>
  <si>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</si>
  <si>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</si>
  <si>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</si>
  <si>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</si>
  <si>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</si>
  <si>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</si>
  <si>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</si>
  <si>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</si>
  <si>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</si>
  <si>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</si>
  <si>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</si>
  <si>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</si>
  <si>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</si>
  <si>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</si>
  <si>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</si>
  <si>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</si>
  <si>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</si>
  <si>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</si>
  <si>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</si>
  <si>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</si>
  <si>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</si>
  <si>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</si>
  <si>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</si>
  <si>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</si>
  <si>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</si>
  <si>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</si>
  <si>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</si>
  <si>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</si>
  <si>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</si>
  <si>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</si>
  <si>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</si>
  <si>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</si>
  <si>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</si>
  <si>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</si>
  <si>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</si>
  <si>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</si>
  <si>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</si>
  <si>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</si>
  <si>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</si>
  <si>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</si>
  <si>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</si>
  <si>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</si>
  <si>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</si>
  <si>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</si>
  <si>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</si>
  <si>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</si>
  <si>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</si>
  <si>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</si>
  <si>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</si>
  <si>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</si>
  <si>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</si>
  <si>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</si>
  <si>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</si>
  <si>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</si>
  <si>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</si>
  <si>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</si>
  <si>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</si>
  <si>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</si>
  <si>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</si>
  <si>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</si>
  <si>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</si>
  <si>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</si>
  <si>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</si>
  <si>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</si>
  <si>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</si>
  <si>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</si>
  <si>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</si>
  <si>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</si>
  <si>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</si>
  <si>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</si>
  <si>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</si>
  <si>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</si>
  <si>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</si>
  <si>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</si>
  <si>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</si>
  <si>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</si>
  <si>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</si>
  <si>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</si>
  <si>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</si>
  <si>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</si>
  <si>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</si>
  <si>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</si>
  <si>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</si>
  <si>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</si>
  <si>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</si>
  <si>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</si>
  <si>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</si>
  <si>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</si>
  <si>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</si>
  <si>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</si>
  <si>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</si>
  <si>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</si>
  <si>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</si>
  <si>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</si>
  <si>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</si>
  <si>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</si>
  <si>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</si>
  <si>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</si>
  <si>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</si>
  <si>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</si>
  <si>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</si>
  <si>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</si>
  <si>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</si>
  <si>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</si>
  <si>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</si>
  <si>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</si>
  <si>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</si>
  <si>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</si>
  <si>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</si>
  <si>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</si>
  <si>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</si>
  <si>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</si>
  <si>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</si>
  <si>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</si>
  <si>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</si>
  <si>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</si>
  <si>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</si>
  <si>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</si>
  <si>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</si>
  <si>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</si>
  <si>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</si>
  <si>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</si>
  <si>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</si>
  <si>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</si>
  <si>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</si>
  <si>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</si>
  <si>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</si>
  <si>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</si>
  <si>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</si>
  <si>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</si>
  <si>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</si>
  <si>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</si>
  <si>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</si>
  <si>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</si>
  <si>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</si>
  <si>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</si>
  <si>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</si>
  <si>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</si>
  <si>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</si>
  <si>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</si>
  <si>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</si>
  <si>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</si>
  <si>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</si>
  <si>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</si>
  <si>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</si>
  <si>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</si>
  <si>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</si>
  <si>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</si>
  <si>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</si>
  <si>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</si>
  <si>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</si>
  <si>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</si>
  <si>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</si>
  <si>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</si>
  <si>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</si>
  <si>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</si>
  <si>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</si>
  <si>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</si>
  <si>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</si>
  <si>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</si>
  <si>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</si>
  <si>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</si>
  <si>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</si>
  <si>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</si>
  <si>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</si>
  <si>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</si>
  <si>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</si>
  <si>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</si>
  <si>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</si>
  <si>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</si>
  <si>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</si>
  <si>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</si>
  <si>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</si>
  <si>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</si>
  <si>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</si>
  <si>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</si>
  <si>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</si>
  <si>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</si>
  <si>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</si>
  <si>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</si>
  <si>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</si>
  <si>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</si>
  <si>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</si>
  <si>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</si>
  <si>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</si>
  <si>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</si>
  <si>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</si>
  <si>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</si>
  <si>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</si>
  <si>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</si>
  <si>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</si>
  <si>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</si>
  <si>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</si>
  <si>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</si>
  <si>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</si>
  <si>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</si>
  <si>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</si>
  <si>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</si>
  <si>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</si>
  <si>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</si>
  <si>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</si>
  <si>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</si>
  <si>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</si>
  <si>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</si>
  <si>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</si>
  <si>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</si>
  <si>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</si>
  <si>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</si>
  <si>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</si>
  <si>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</si>
  <si>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</si>
  <si>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</si>
  <si>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</si>
  <si>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</si>
  <si>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</si>
  <si>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</si>
  <si>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</si>
  <si>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</si>
  <si>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</si>
  <si>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</si>
  <si>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</si>
  <si>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</si>
  <si>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</si>
  <si>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</si>
  <si>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</si>
  <si>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</si>
  <si>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</si>
  <si>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</si>
  <si>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</si>
  <si>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</si>
  <si>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</si>
  <si>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</si>
  <si>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</si>
  <si>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</si>
  <si>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</si>
  <si>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</si>
  <si>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</si>
  <si>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</si>
  <si>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</si>
  <si>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</si>
  <si>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</si>
  <si>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</si>
  <si>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</si>
  <si>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</si>
  <si>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</si>
  <si>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</si>
  <si>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</si>
  <si>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</si>
  <si>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</si>
  <si>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</si>
  <si>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</si>
  <si>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</si>
  <si>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</si>
  <si>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</si>
  <si>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</si>
  <si>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</si>
  <si>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</si>
  <si>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</si>
  <si>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</si>
  <si>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</si>
  <si>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</si>
  <si>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</si>
  <si>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</si>
  <si>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</si>
  <si>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</si>
  <si>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</si>
  <si>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</si>
  <si>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</si>
  <si>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</si>
  <si>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</si>
  <si>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</si>
  <si>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</si>
  <si>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</si>
  <si>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</si>
  <si>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</si>
  <si>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</si>
  <si>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</si>
  <si>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</si>
  <si>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</si>
  <si>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</si>
  <si>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</si>
  <si>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</si>
  <si>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</si>
  <si>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</si>
  <si>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</si>
  <si>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</si>
  <si>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</si>
  <si>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</si>
  <si>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</si>
  <si>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</si>
  <si>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</si>
  <si>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</si>
  <si>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</si>
  <si>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</si>
  <si>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</si>
  <si>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</si>
  <si>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</si>
  <si>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</si>
  <si>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</si>
  <si>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</si>
  <si>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</si>
  <si>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</si>
  <si>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</si>
  <si>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</si>
  <si>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</si>
  <si>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</si>
  <si>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</si>
  <si>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</si>
  <si>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</si>
  <si>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</si>
  <si>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</si>
  <si>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</si>
  <si>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</si>
  <si>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</si>
  <si>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</si>
  <si>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</si>
  <si>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</si>
  <si>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</si>
  <si>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</si>
  <si>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</si>
  <si>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</si>
  <si>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</si>
  <si>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</si>
  <si>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</si>
  <si>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</si>
  <si>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</si>
  <si>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</si>
  <si>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</si>
  <si>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</si>
  <si>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</si>
  <si>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</si>
  <si>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</si>
  <si>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</si>
  <si>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</si>
  <si>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</si>
  <si>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</si>
  <si>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</si>
  <si>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</si>
  <si>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</si>
  <si>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</si>
  <si>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</si>
  <si>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</si>
  <si>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</si>
  <si>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</si>
  <si>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</si>
  <si>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</si>
  <si>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</si>
  <si>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</si>
  <si>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</si>
  <si>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</si>
  <si>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</si>
  <si>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</si>
  <si>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</si>
  <si>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</si>
  <si>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</si>
  <si>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</si>
  <si>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</si>
  <si>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</si>
  <si>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</si>
  <si>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</si>
  <si>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</si>
  <si>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</si>
  <si>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</si>
  <si>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</si>
  <si>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</si>
  <si>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</si>
  <si>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</si>
  <si>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</si>
  <si>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</si>
  <si>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</si>
  <si>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</si>
  <si>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</si>
  <si>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</si>
  <si>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</si>
  <si>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</si>
  <si>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</si>
  <si>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</si>
  <si>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</si>
  <si>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</si>
  <si>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</si>
  <si>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</si>
  <si>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</si>
  <si>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</si>
  <si>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</si>
  <si>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</si>
  <si>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</si>
  <si>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</si>
  <si>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</si>
  <si>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</si>
  <si>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</si>
  <si>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</si>
  <si>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</si>
  <si>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</si>
  <si>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</si>
  <si>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</si>
  <si>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</si>
  <si>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</si>
  <si>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</si>
  <si>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</si>
  <si>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</si>
  <si>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</si>
  <si>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</si>
  <si>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</si>
  <si>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</si>
  <si>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</si>
  <si>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</si>
  <si>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</si>
  <si>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</si>
  <si>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</si>
  <si>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</si>
  <si>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</si>
  <si>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</si>
  <si>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</si>
  <si>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</si>
  <si>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</si>
  <si>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</si>
  <si>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</si>
  <si>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</si>
  <si>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</si>
  <si>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</si>
  <si>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</si>
  <si>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</si>
  <si>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</si>
  <si>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</si>
  <si>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</si>
  <si>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</si>
  <si>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</si>
  <si>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</si>
  <si>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</si>
  <si>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</si>
  <si>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</si>
  <si>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</si>
  <si>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</si>
  <si>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</si>
  <si>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</si>
  <si>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</si>
  <si>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</si>
  <si>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</si>
  <si>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</si>
  <si>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</si>
  <si>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</si>
  <si>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</si>
  <si>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</si>
  <si>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</si>
  <si>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</si>
  <si>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</si>
  <si>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</si>
  <si>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</si>
  <si>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</si>
  <si>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</si>
  <si>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</si>
  <si>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</si>
  <si>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</si>
  <si>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</si>
  <si>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</si>
  <si>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</si>
  <si>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</si>
  <si>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</si>
  <si>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</si>
  <si>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</si>
  <si>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</si>
  <si>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</si>
  <si>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</si>
  <si>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</si>
  <si>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</si>
  <si>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</si>
  <si>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</si>
  <si>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</si>
  <si>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</si>
  <si>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</si>
  <si>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</si>
  <si>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</si>
  <si>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</si>
  <si>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</si>
  <si>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</si>
  <si>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</si>
  <si>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</si>
  <si>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</si>
  <si>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</si>
  <si>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</si>
  <si>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</si>
  <si>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</si>
  <si>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</si>
  <si>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</si>
  <si>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</si>
  <si>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</si>
  <si>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</si>
  <si>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</si>
  <si>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</si>
  <si>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</si>
  <si>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</si>
  <si>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</si>
  <si>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</si>
  <si>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</si>
  <si>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</si>
  <si>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</si>
  <si>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</si>
  <si>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</si>
  <si>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</si>
  <si>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</si>
  <si>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</si>
  <si>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</si>
  <si>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</si>
  <si>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</si>
  <si>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</si>
  <si>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</si>
  <si>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</si>
  <si>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</si>
  <si>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</si>
  <si>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</si>
  <si>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</si>
  <si>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</si>
  <si>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</si>
  <si>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</si>
  <si>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</si>
  <si>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</si>
  <si>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</si>
  <si>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</si>
  <si>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</si>
  <si>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</si>
  <si>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</si>
  <si>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</si>
  <si>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</si>
  <si>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</si>
  <si>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</si>
  <si>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</si>
  <si>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</si>
  <si>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</si>
  <si>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</si>
  <si>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</si>
  <si>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</si>
  <si>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</si>
  <si>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</si>
  <si>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</si>
  <si>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</si>
  <si>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</si>
  <si>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</si>
  <si>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</si>
  <si>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</si>
  <si>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</si>
  <si>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</si>
  <si>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</si>
  <si>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</si>
  <si>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</si>
  <si>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</si>
  <si>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</si>
  <si>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</si>
  <si>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</si>
  <si>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</si>
  <si>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</si>
  <si>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</si>
  <si>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</si>
  <si>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</si>
  <si>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</si>
  <si>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</si>
  <si>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</si>
  <si>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</si>
  <si>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</si>
  <si>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</si>
  <si>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</si>
  <si>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</si>
  <si>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</si>
  <si>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</si>
  <si>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</si>
  <si>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</si>
  <si>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</si>
  <si>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</si>
  <si>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</si>
  <si>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</si>
  <si>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</si>
  <si>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</si>
  <si>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</si>
  <si>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</si>
  <si>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</si>
  <si>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</si>
  <si>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</si>
  <si>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</si>
  <si>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</si>
  <si>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</si>
  <si>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</si>
  <si>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</si>
  <si>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</si>
  <si>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</si>
  <si>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</si>
  <si>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</si>
  <si>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</si>
  <si>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</si>
  <si>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</si>
  <si>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</si>
  <si>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</si>
  <si>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</si>
  <si>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</si>
  <si>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</si>
  <si>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</si>
  <si>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</si>
  <si>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</si>
  <si>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</si>
  <si>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</si>
  <si>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</si>
  <si>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</si>
  <si>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</si>
  <si>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</si>
  <si>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</si>
  <si>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</si>
  <si>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</si>
  <si>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</si>
  <si>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</si>
  <si>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</si>
  <si>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</si>
  <si>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</si>
  <si>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</si>
  <si>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</si>
  <si>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</si>
  <si>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</si>
  <si>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</si>
  <si>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</si>
  <si>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</si>
  <si>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</si>
  <si>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</si>
  <si>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</si>
  <si>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</si>
  <si>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</si>
  <si>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</si>
  <si>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</si>
  <si>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</si>
  <si>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</si>
  <si>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</si>
  <si>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</si>
  <si>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</si>
  <si>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</si>
  <si>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</si>
  <si>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</si>
  <si>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</si>
  <si>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</si>
  <si>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</si>
  <si>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</si>
  <si>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</si>
  <si>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</si>
  <si>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</si>
  <si>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</si>
  <si>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</si>
  <si>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</si>
  <si>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</si>
  <si>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</si>
  <si>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</si>
  <si>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</si>
  <si>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</si>
  <si>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</si>
  <si>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</si>
  <si>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</si>
  <si>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</si>
  <si>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</si>
  <si>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</si>
  <si>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</si>
  <si>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</si>
  <si>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</si>
  <si>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</si>
  <si>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</si>
  <si>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</si>
  <si>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</si>
  <si>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</si>
  <si>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</si>
  <si>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</si>
  <si>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</si>
  <si>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</si>
  <si>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</si>
  <si>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</si>
  <si>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</si>
  <si>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</si>
  <si>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</si>
  <si>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</si>
  <si>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</si>
  <si>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</si>
  <si>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</si>
  <si>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</si>
  <si>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46003</t>
  </si>
  <si>
    <t>BEVEREN</t>
  </si>
  <si>
    <t>Mestbank (maart 2019)</t>
  </si>
  <si>
    <t>Fluvius (februari 2019)</t>
  </si>
  <si>
    <t>referentietaak LNE (2017); Jaarverslag De Lijn (2018)</t>
  </si>
  <si>
    <t>VEA (30 april 2019)</t>
  </si>
  <si>
    <t>VEA (mei 2018)</t>
  </si>
  <si>
    <t>VEA (mei 2019)</t>
  </si>
  <si>
    <t>Van De Ven</t>
  </si>
  <si>
    <t>Dweerse Kromstraat 53, 9120 Melsele</t>
  </si>
  <si>
    <t>WKK-0091 Van De Ven</t>
  </si>
  <si>
    <t>interne verbrandingsmotor</t>
  </si>
  <si>
    <t>WKK interne verbrandinsgmotor (gas)</t>
  </si>
  <si>
    <t>INTERGEM</t>
  </si>
  <si>
    <t>Pijl LV</t>
  </si>
  <si>
    <t>Priemstraat 30, 9120 Melsele</t>
  </si>
  <si>
    <t>WKK-0119 Pijl NV</t>
  </si>
  <si>
    <t>Tomerel</t>
  </si>
  <si>
    <t>Pauwstraat 147, 9120 Melsele</t>
  </si>
  <si>
    <t>WKK-0151 Tomerel</t>
  </si>
  <si>
    <t>Biogas Boeye BVBA</t>
  </si>
  <si>
    <t>Perstraat 127 , 9120 Beveren-Waas</t>
  </si>
  <si>
    <t>WKK-0208 Biogas Boeye</t>
  </si>
  <si>
    <t>Tomaline BVBA</t>
  </si>
  <si>
    <t>Veldstraat 1A , 9120 Melsele</t>
  </si>
  <si>
    <t>WKK-0200 Tomaline</t>
  </si>
  <si>
    <t>Groeikracht Vrasene NV</t>
  </si>
  <si>
    <t>Laarstraat 1 , 9120 Vrasene</t>
  </si>
  <si>
    <t>WKK-0306 Groeikracht Vrasene</t>
  </si>
  <si>
    <t>Laarstraat 1 , 9120 Beveren-Waas</t>
  </si>
  <si>
    <t>Van der Valk Hotel Beveren nv</t>
  </si>
  <si>
    <t>Gentseweg 280 , 9120 Beveren-Waas</t>
  </si>
  <si>
    <t>WKK-0261 Van Der Valk Hotel Beveren</t>
  </si>
  <si>
    <t>Op de Beeck nv</t>
  </si>
  <si>
    <t>Molenweg Kaai 1936 , 9120 Kallo (Beveren-Waas)</t>
  </si>
  <si>
    <t>WKK-0433 Op De Beeck</t>
  </si>
  <si>
    <t>S&amp;R Beveren NV</t>
  </si>
  <si>
    <t>Pastoor Steenssensstraat 329 , 9120 Beveren-Waas</t>
  </si>
  <si>
    <t>WKK-0586 S&amp;R Beveren</t>
  </si>
  <si>
    <t>Meerminnendam 29 , 9120 Beveren-Waas</t>
  </si>
  <si>
    <t>Apers-Mertens Koen &amp; Lieve FV</t>
  </si>
  <si>
    <t>Botermelkstraat 6 , 9120 Haasdonk</t>
  </si>
  <si>
    <t>WKK-0570 Apers-Mertens</t>
  </si>
  <si>
    <t>Van Remoortel Aardappelverwerking NV</t>
  </si>
  <si>
    <t>Aven Ackers 15 b, 9130 Verrebroek</t>
  </si>
  <si>
    <t>WKK-0582 Van Remoortel</t>
  </si>
  <si>
    <t>NPG Bio II NV</t>
  </si>
  <si>
    <t>Tongersesteenweg 99 , 3770 Riemst</t>
  </si>
  <si>
    <t>WKK-0538 NPG Doel</t>
  </si>
  <si>
    <t>Sint-Antoniusweg 1700 , 9120 Kallo (Beveren-Waas)</t>
  </si>
  <si>
    <t>Elia (DNB)</t>
  </si>
  <si>
    <t>Fertikal NV</t>
  </si>
  <si>
    <t>Molenweg Haven 1938 , 9130 Kallo (Kieldrecht)</t>
  </si>
  <si>
    <t>WKK-0428 Fertikal</t>
  </si>
  <si>
    <t>Gyproc</t>
  </si>
  <si>
    <t>WKK-0640 Gyproc</t>
  </si>
  <si>
    <t>Sint-Jansweg 9 / Haven 1602, 9130 Kallo, BE</t>
  </si>
  <si>
    <t>INTERGEM (via EANDIS)</t>
  </si>
  <si>
    <t>Op de Beeck II</t>
  </si>
  <si>
    <t>WKK-0684</t>
  </si>
  <si>
    <t>Interne verbrandingsmotor</t>
  </si>
  <si>
    <t>Molenweg z/n</t>
  </si>
  <si>
    <t>Boven Yvo</t>
  </si>
  <si>
    <t>WKK-0763</t>
  </si>
  <si>
    <t>Doornpark 59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</si>
</sst>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332421.14039886097</c:v>
                </c:pt>
                <c:pt idx="1">
                  <c:v>322476.96536570531</c:v>
                </c:pt>
                <c:pt idx="2">
                  <c:v>2816.0880000000002</c:v>
                </c:pt>
                <c:pt idx="3">
                  <c:v>158714.47482797288</c:v>
                </c:pt>
                <c:pt idx="4">
                  <c:v>183910.6687122623</c:v>
                </c:pt>
                <c:pt idx="5">
                  <c:v>1061436.4266848292</c:v>
                </c:pt>
                <c:pt idx="6">
                  <c:v>3771.5543859342138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332421.14039886097</c:v>
                </c:pt>
                <c:pt idx="1">
                  <c:v>322476.96536570531</c:v>
                </c:pt>
                <c:pt idx="2">
                  <c:v>2816.0880000000002</c:v>
                </c:pt>
                <c:pt idx="3">
                  <c:v>158714.47482797288</c:v>
                </c:pt>
                <c:pt idx="4">
                  <c:v>183910.6687122623</c:v>
                </c:pt>
                <c:pt idx="5">
                  <c:v>1061436.4266848292</c:v>
                </c:pt>
                <c:pt idx="6">
                  <c:v>3771.5543859342138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48806.042343207562</c:v>
                </c:pt>
                <c:pt idx="1">
                  <c:v>40101.720964011722</c:v>
                </c:pt>
                <c:pt idx="2">
                  <c:v>207.87501568172908</c:v>
                </c:pt>
                <c:pt idx="3">
                  <c:v>26898.20557070971</c:v>
                </c:pt>
                <c:pt idx="4">
                  <c:v>21801.897078563376</c:v>
                </c:pt>
                <c:pt idx="5">
                  <c:v>265068.1574158626</c:v>
                </c:pt>
                <c:pt idx="6">
                  <c:v>953.98256455414366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48806.042343207562</c:v>
                </c:pt>
                <c:pt idx="1">
                  <c:v>40101.720964011722</c:v>
                </c:pt>
                <c:pt idx="2">
                  <c:v>207.87501568172908</c:v>
                </c:pt>
                <c:pt idx="3">
                  <c:v>26898.20557070971</c:v>
                </c:pt>
                <c:pt idx="4">
                  <c:v>21801.897078563376</c:v>
                </c:pt>
                <c:pt idx="5">
                  <c:v>265068.1574158626</c:v>
                </c:pt>
                <c:pt idx="6">
                  <c:v>953.98256455414366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46003</v>
      </c>
      <c r="B6" s="415"/>
      <c r="C6" s="416"/>
    </row>
    <row r="7" spans="1:7" s="413" customFormat="1" ht="15.75" customHeight="1">
      <c r="A7" s="417" t="str">
        <f>txtMunicipality</f>
        <v>BEVEREN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7.3816945948325857E-2</v>
      </c>
      <c r="C17" s="527">
        <f ca="1">'EF ele_warmte'!B22</f>
        <v>0.14009378426533947</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7.3816945948325857E-2</v>
      </c>
      <c r="C29" s="528">
        <f ca="1">'EF ele_warmte'!B22</f>
        <v>0.14009378426533947</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46003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19968</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6829.53</v>
      </c>
    </row>
    <row r="15" spans="1:6">
      <c r="A15" s="348" t="s">
        <v>183</v>
      </c>
      <c r="B15" s="334">
        <v>46</v>
      </c>
    </row>
    <row r="16" spans="1:6">
      <c r="A16" s="348" t="s">
        <v>6</v>
      </c>
      <c r="B16" s="334">
        <v>1917</v>
      </c>
    </row>
    <row r="17" spans="1:6">
      <c r="A17" s="348" t="s">
        <v>7</v>
      </c>
      <c r="B17" s="334">
        <v>2230</v>
      </c>
    </row>
    <row r="18" spans="1:6">
      <c r="A18" s="348" t="s">
        <v>8</v>
      </c>
      <c r="B18" s="334">
        <v>3045</v>
      </c>
    </row>
    <row r="19" spans="1:6">
      <c r="A19" s="348" t="s">
        <v>9</v>
      </c>
      <c r="B19" s="334">
        <v>2968</v>
      </c>
    </row>
    <row r="20" spans="1:6">
      <c r="A20" s="348" t="s">
        <v>10</v>
      </c>
      <c r="B20" s="334">
        <v>1734</v>
      </c>
    </row>
    <row r="21" spans="1:6">
      <c r="A21" s="348" t="s">
        <v>11</v>
      </c>
      <c r="B21" s="334">
        <v>19228</v>
      </c>
    </row>
    <row r="22" spans="1:6">
      <c r="A22" s="348" t="s">
        <v>12</v>
      </c>
      <c r="B22" s="334">
        <v>42970</v>
      </c>
    </row>
    <row r="23" spans="1:6">
      <c r="A23" s="348" t="s">
        <v>13</v>
      </c>
      <c r="B23" s="334">
        <v>761</v>
      </c>
    </row>
    <row r="24" spans="1:6">
      <c r="A24" s="348" t="s">
        <v>14</v>
      </c>
      <c r="B24" s="334">
        <v>34</v>
      </c>
    </row>
    <row r="25" spans="1:6">
      <c r="A25" s="348" t="s">
        <v>15</v>
      </c>
      <c r="B25" s="334">
        <v>4761</v>
      </c>
    </row>
    <row r="26" spans="1:6">
      <c r="A26" s="348" t="s">
        <v>16</v>
      </c>
      <c r="B26" s="334">
        <v>107</v>
      </c>
    </row>
    <row r="27" spans="1:6">
      <c r="A27" s="348" t="s">
        <v>17</v>
      </c>
      <c r="B27" s="334">
        <v>715</v>
      </c>
    </row>
    <row r="28" spans="1:6" s="356" customFormat="1">
      <c r="A28" s="355" t="s">
        <v>18</v>
      </c>
      <c r="B28" s="355">
        <v>638388</v>
      </c>
    </row>
    <row r="29" spans="1:6">
      <c r="A29" s="355" t="s">
        <v>713</v>
      </c>
      <c r="B29" s="355">
        <v>417</v>
      </c>
      <c r="C29" s="356"/>
      <c r="D29" s="356"/>
      <c r="E29" s="356"/>
      <c r="F29" s="356"/>
    </row>
    <row r="30" spans="1:6">
      <c r="A30" s="341" t="s">
        <v>714</v>
      </c>
      <c r="B30" s="341">
        <v>83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5</v>
      </c>
      <c r="F35" s="334">
        <v>147004.785</v>
      </c>
    </row>
    <row r="36" spans="1:6">
      <c r="A36" s="348" t="s">
        <v>24</v>
      </c>
      <c r="B36" s="348" t="s">
        <v>26</v>
      </c>
      <c r="C36" s="334">
        <v>0</v>
      </c>
      <c r="D36" s="334">
        <v>0</v>
      </c>
      <c r="E36" s="334">
        <v>34</v>
      </c>
      <c r="F36" s="334">
        <v>2109811.5189999999</v>
      </c>
    </row>
    <row r="37" spans="1:6">
      <c r="A37" s="348" t="s">
        <v>24</v>
      </c>
      <c r="B37" s="348" t="s">
        <v>27</v>
      </c>
      <c r="C37" s="334">
        <v>0</v>
      </c>
      <c r="D37" s="334">
        <v>0</v>
      </c>
      <c r="E37" s="334">
        <v>0</v>
      </c>
      <c r="F37" s="334">
        <v>0</v>
      </c>
    </row>
    <row r="38" spans="1:6">
      <c r="A38" s="348" t="s">
        <v>24</v>
      </c>
      <c r="B38" s="348" t="s">
        <v>28</v>
      </c>
      <c r="C38" s="334">
        <v>3</v>
      </c>
      <c r="D38" s="334">
        <v>18623718.300000001</v>
      </c>
      <c r="E38" s="334">
        <v>3</v>
      </c>
      <c r="F38" s="334">
        <v>48053.267999999996</v>
      </c>
    </row>
    <row r="39" spans="1:6">
      <c r="A39" s="348" t="s">
        <v>29</v>
      </c>
      <c r="B39" s="348" t="s">
        <v>30</v>
      </c>
      <c r="C39" s="334">
        <v>15015</v>
      </c>
      <c r="D39" s="334">
        <v>213784138.09999999</v>
      </c>
      <c r="E39" s="334">
        <v>20041</v>
      </c>
      <c r="F39" s="334">
        <v>81638379.530000001</v>
      </c>
    </row>
    <row r="40" spans="1:6">
      <c r="A40" s="348" t="s">
        <v>29</v>
      </c>
      <c r="B40" s="348" t="s">
        <v>28</v>
      </c>
      <c r="C40" s="334">
        <v>0</v>
      </c>
      <c r="D40" s="334">
        <v>0</v>
      </c>
      <c r="E40" s="334">
        <v>0</v>
      </c>
      <c r="F40" s="334">
        <v>0</v>
      </c>
    </row>
    <row r="41" spans="1:6">
      <c r="A41" s="348" t="s">
        <v>31</v>
      </c>
      <c r="B41" s="348" t="s">
        <v>32</v>
      </c>
      <c r="C41" s="334">
        <v>196</v>
      </c>
      <c r="D41" s="334">
        <v>25818137.850000001</v>
      </c>
      <c r="E41" s="334">
        <v>444</v>
      </c>
      <c r="F41" s="334">
        <v>7096794.0209999997</v>
      </c>
    </row>
    <row r="42" spans="1:6">
      <c r="A42" s="348" t="s">
        <v>31</v>
      </c>
      <c r="B42" s="348" t="s">
        <v>33</v>
      </c>
      <c r="C42" s="334">
        <v>0</v>
      </c>
      <c r="D42" s="334">
        <v>0</v>
      </c>
      <c r="E42" s="334">
        <v>7</v>
      </c>
      <c r="F42" s="334">
        <v>19577001.649999999</v>
      </c>
    </row>
    <row r="43" spans="1:6">
      <c r="A43" s="348" t="s">
        <v>31</v>
      </c>
      <c r="B43" s="348" t="s">
        <v>34</v>
      </c>
      <c r="C43" s="334">
        <v>0</v>
      </c>
      <c r="D43" s="334">
        <v>0</v>
      </c>
      <c r="E43" s="334">
        <v>0</v>
      </c>
      <c r="F43" s="334">
        <v>0</v>
      </c>
    </row>
    <row r="44" spans="1:6">
      <c r="A44" s="348" t="s">
        <v>31</v>
      </c>
      <c r="B44" s="348" t="s">
        <v>35</v>
      </c>
      <c r="C44" s="334">
        <v>3</v>
      </c>
      <c r="D44" s="334">
        <v>47373.788999999997</v>
      </c>
      <c r="E44" s="334">
        <v>35</v>
      </c>
      <c r="F44" s="334">
        <v>4174893.3629999999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4</v>
      </c>
      <c r="D47" s="334">
        <v>85299.37</v>
      </c>
      <c r="E47" s="334">
        <v>9</v>
      </c>
      <c r="F47" s="334">
        <v>280429.52899999998</v>
      </c>
    </row>
    <row r="48" spans="1:6">
      <c r="A48" s="348" t="s">
        <v>31</v>
      </c>
      <c r="B48" s="348" t="s">
        <v>28</v>
      </c>
      <c r="C48" s="334">
        <v>53</v>
      </c>
      <c r="D48" s="334">
        <v>27558154.93</v>
      </c>
      <c r="E48" s="334">
        <v>82</v>
      </c>
      <c r="F48" s="334">
        <v>48588173.859999999</v>
      </c>
    </row>
    <row r="49" spans="1:6">
      <c r="A49" s="348" t="s">
        <v>31</v>
      </c>
      <c r="B49" s="348" t="s">
        <v>39</v>
      </c>
      <c r="C49" s="334">
        <v>3</v>
      </c>
      <c r="D49" s="334">
        <v>30025.945</v>
      </c>
      <c r="E49" s="334">
        <v>6</v>
      </c>
      <c r="F49" s="334">
        <v>27655.86</v>
      </c>
    </row>
    <row r="50" spans="1:6">
      <c r="A50" s="348" t="s">
        <v>31</v>
      </c>
      <c r="B50" s="348" t="s">
        <v>40</v>
      </c>
      <c r="C50" s="334">
        <v>24</v>
      </c>
      <c r="D50" s="334">
        <v>1732831.3259999999</v>
      </c>
      <c r="E50" s="334">
        <v>27</v>
      </c>
      <c r="F50" s="334">
        <v>2097512.452</v>
      </c>
    </row>
    <row r="51" spans="1:6">
      <c r="A51" s="348" t="s">
        <v>41</v>
      </c>
      <c r="B51" s="348" t="s">
        <v>42</v>
      </c>
      <c r="C51" s="334">
        <v>57</v>
      </c>
      <c r="D51" s="334">
        <v>145833258.40000001</v>
      </c>
      <c r="E51" s="334">
        <v>343</v>
      </c>
      <c r="F51" s="334">
        <v>10425168.380000001</v>
      </c>
    </row>
    <row r="52" spans="1:6">
      <c r="A52" s="348" t="s">
        <v>41</v>
      </c>
      <c r="B52" s="348" t="s">
        <v>28</v>
      </c>
      <c r="C52" s="334">
        <v>8</v>
      </c>
      <c r="D52" s="334">
        <v>158793.00099999999</v>
      </c>
      <c r="E52" s="334">
        <v>7</v>
      </c>
      <c r="F52" s="334">
        <v>80852.172999999995</v>
      </c>
    </row>
    <row r="53" spans="1:6">
      <c r="A53" s="348" t="s">
        <v>43</v>
      </c>
      <c r="B53" s="348" t="s">
        <v>44</v>
      </c>
      <c r="C53" s="334">
        <v>330</v>
      </c>
      <c r="D53" s="334">
        <v>5378973.1189999999</v>
      </c>
      <c r="E53" s="334">
        <v>766</v>
      </c>
      <c r="F53" s="334">
        <v>7540583.3509999998</v>
      </c>
    </row>
    <row r="54" spans="1:6">
      <c r="A54" s="348" t="s">
        <v>45</v>
      </c>
      <c r="B54" s="348" t="s">
        <v>46</v>
      </c>
      <c r="C54" s="334">
        <v>0</v>
      </c>
      <c r="D54" s="334">
        <v>0</v>
      </c>
      <c r="E54" s="334">
        <v>1</v>
      </c>
      <c r="F54" s="334">
        <v>2816088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150</v>
      </c>
      <c r="D57" s="334">
        <v>10939315.4</v>
      </c>
      <c r="E57" s="334">
        <v>233</v>
      </c>
      <c r="F57" s="334">
        <v>8001564.3799999999</v>
      </c>
    </row>
    <row r="58" spans="1:6">
      <c r="A58" s="348" t="s">
        <v>48</v>
      </c>
      <c r="B58" s="348" t="s">
        <v>50</v>
      </c>
      <c r="C58" s="334">
        <v>71</v>
      </c>
      <c r="D58" s="334">
        <v>3608760.2</v>
      </c>
      <c r="E58" s="334">
        <v>95</v>
      </c>
      <c r="F58" s="334">
        <v>2943978.8509999998</v>
      </c>
    </row>
    <row r="59" spans="1:6">
      <c r="A59" s="348" t="s">
        <v>48</v>
      </c>
      <c r="B59" s="348" t="s">
        <v>51</v>
      </c>
      <c r="C59" s="334">
        <v>273</v>
      </c>
      <c r="D59" s="334">
        <v>9427807.6119999997</v>
      </c>
      <c r="E59" s="334">
        <v>607</v>
      </c>
      <c r="F59" s="334">
        <v>21278242.25</v>
      </c>
    </row>
    <row r="60" spans="1:6">
      <c r="A60" s="348" t="s">
        <v>48</v>
      </c>
      <c r="B60" s="348" t="s">
        <v>52</v>
      </c>
      <c r="C60" s="334">
        <v>132</v>
      </c>
      <c r="D60" s="334">
        <v>4885070.6349999998</v>
      </c>
      <c r="E60" s="334">
        <v>183</v>
      </c>
      <c r="F60" s="334">
        <v>3876757.608</v>
      </c>
    </row>
    <row r="61" spans="1:6">
      <c r="A61" s="348" t="s">
        <v>48</v>
      </c>
      <c r="B61" s="348" t="s">
        <v>53</v>
      </c>
      <c r="C61" s="334">
        <v>466</v>
      </c>
      <c r="D61" s="334">
        <v>25981093.91</v>
      </c>
      <c r="E61" s="334">
        <v>854</v>
      </c>
      <c r="F61" s="334">
        <v>109235492.40000001</v>
      </c>
    </row>
    <row r="62" spans="1:6">
      <c r="A62" s="348" t="s">
        <v>48</v>
      </c>
      <c r="B62" s="348" t="s">
        <v>54</v>
      </c>
      <c r="C62" s="334">
        <v>26</v>
      </c>
      <c r="D62" s="334">
        <v>3047976.469</v>
      </c>
      <c r="E62" s="334">
        <v>30</v>
      </c>
      <c r="F62" s="334">
        <v>876825.41700000002</v>
      </c>
    </row>
    <row r="63" spans="1:6">
      <c r="A63" s="348" t="s">
        <v>48</v>
      </c>
      <c r="B63" s="348" t="s">
        <v>28</v>
      </c>
      <c r="C63" s="334">
        <v>161</v>
      </c>
      <c r="D63" s="334">
        <v>63283714.299999997</v>
      </c>
      <c r="E63" s="334">
        <v>152</v>
      </c>
      <c r="F63" s="334">
        <v>16930596.859999999</v>
      </c>
    </row>
    <row r="64" spans="1:6">
      <c r="A64" s="348" t="s">
        <v>55</v>
      </c>
      <c r="B64" s="348" t="s">
        <v>56</v>
      </c>
      <c r="C64" s="334">
        <v>0</v>
      </c>
      <c r="D64" s="334">
        <v>0</v>
      </c>
      <c r="E64" s="334">
        <v>0</v>
      </c>
      <c r="F64" s="334">
        <v>0</v>
      </c>
    </row>
    <row r="65" spans="1:6">
      <c r="A65" s="348" t="s">
        <v>55</v>
      </c>
      <c r="B65" s="348" t="s">
        <v>28</v>
      </c>
      <c r="C65" s="334">
        <v>1</v>
      </c>
      <c r="D65" s="334">
        <v>36927.517999999996</v>
      </c>
      <c r="E65" s="334">
        <v>2</v>
      </c>
      <c r="F65" s="334">
        <v>54351.946000000004</v>
      </c>
    </row>
    <row r="66" spans="1:6">
      <c r="A66" s="348" t="s">
        <v>55</v>
      </c>
      <c r="B66" s="348" t="s">
        <v>57</v>
      </c>
      <c r="C66" s="334">
        <v>0</v>
      </c>
      <c r="D66" s="334">
        <v>0</v>
      </c>
      <c r="E66" s="334">
        <v>30</v>
      </c>
      <c r="F66" s="334">
        <v>3286609.4750000001</v>
      </c>
    </row>
    <row r="67" spans="1:6">
      <c r="A67" s="355" t="s">
        <v>55</v>
      </c>
      <c r="B67" s="355" t="s">
        <v>58</v>
      </c>
      <c r="C67" s="334">
        <v>0</v>
      </c>
      <c r="D67" s="334">
        <v>0</v>
      </c>
      <c r="E67" s="334">
        <v>0</v>
      </c>
      <c r="F67" s="334">
        <v>0</v>
      </c>
    </row>
    <row r="68" spans="1:6">
      <c r="A68" s="341" t="s">
        <v>55</v>
      </c>
      <c r="B68" s="341" t="s">
        <v>59</v>
      </c>
      <c r="C68" s="334">
        <v>15</v>
      </c>
      <c r="D68" s="334">
        <v>1542777.7</v>
      </c>
      <c r="E68" s="334">
        <v>45</v>
      </c>
      <c r="F68" s="334">
        <v>1877932.6070000001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284068194</v>
      </c>
      <c r="E73" s="476"/>
    </row>
    <row r="74" spans="1:6">
      <c r="A74" s="348" t="s">
        <v>63</v>
      </c>
      <c r="B74" s="348" t="s">
        <v>651</v>
      </c>
      <c r="C74" s="1307" t="s">
        <v>653</v>
      </c>
      <c r="D74" s="476">
        <v>53955152</v>
      </c>
      <c r="E74" s="476"/>
    </row>
    <row r="75" spans="1:6">
      <c r="A75" s="348" t="s">
        <v>64</v>
      </c>
      <c r="B75" s="348" t="s">
        <v>650</v>
      </c>
      <c r="C75" s="1307" t="s">
        <v>654</v>
      </c>
      <c r="D75" s="476">
        <v>180978590</v>
      </c>
      <c r="E75" s="476"/>
    </row>
    <row r="76" spans="1:6">
      <c r="A76" s="348" t="s">
        <v>64</v>
      </c>
      <c r="B76" s="348" t="s">
        <v>651</v>
      </c>
      <c r="C76" s="1307" t="s">
        <v>655</v>
      </c>
      <c r="D76" s="476">
        <v>35320662</v>
      </c>
      <c r="E76" s="476"/>
    </row>
    <row r="77" spans="1:6">
      <c r="A77" s="348" t="s">
        <v>65</v>
      </c>
      <c r="B77" s="348" t="s">
        <v>650</v>
      </c>
      <c r="C77" s="1307" t="s">
        <v>656</v>
      </c>
      <c r="D77" s="476">
        <v>319619802</v>
      </c>
      <c r="E77" s="476"/>
    </row>
    <row r="78" spans="1:6">
      <c r="A78" s="341" t="s">
        <v>65</v>
      </c>
      <c r="B78" s="341" t="s">
        <v>651</v>
      </c>
      <c r="C78" s="341" t="s">
        <v>657</v>
      </c>
      <c r="D78" s="1308">
        <v>91505526</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1047786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182065.59810098994</v>
      </c>
    </row>
    <row r="91" spans="1:6">
      <c r="A91" s="348" t="s">
        <v>67</v>
      </c>
      <c r="B91" s="334">
        <v>12758.512329979216</v>
      </c>
    </row>
    <row r="92" spans="1:6">
      <c r="A92" s="341" t="s">
        <v>68</v>
      </c>
      <c r="B92" s="342">
        <v>33334.481161978307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9871</v>
      </c>
    </row>
    <row r="98" spans="1:6">
      <c r="A98" s="348" t="s">
        <v>71</v>
      </c>
      <c r="B98" s="334">
        <v>3</v>
      </c>
    </row>
    <row r="99" spans="1:6">
      <c r="A99" s="348" t="s">
        <v>72</v>
      </c>
      <c r="B99" s="334">
        <v>133</v>
      </c>
    </row>
    <row r="100" spans="1:6">
      <c r="A100" s="348" t="s">
        <v>73</v>
      </c>
      <c r="B100" s="334">
        <v>2776</v>
      </c>
    </row>
    <row r="101" spans="1:6">
      <c r="A101" s="348" t="s">
        <v>74</v>
      </c>
      <c r="B101" s="334">
        <v>316</v>
      </c>
    </row>
    <row r="102" spans="1:6">
      <c r="A102" s="348" t="s">
        <v>75</v>
      </c>
      <c r="B102" s="334">
        <v>369</v>
      </c>
    </row>
    <row r="103" spans="1:6">
      <c r="A103" s="348" t="s">
        <v>76</v>
      </c>
      <c r="B103" s="334">
        <v>626</v>
      </c>
    </row>
    <row r="104" spans="1:6">
      <c r="A104" s="348" t="s">
        <v>77</v>
      </c>
      <c r="B104" s="334">
        <v>3115</v>
      </c>
    </row>
    <row r="105" spans="1:6">
      <c r="A105" s="341" t="s">
        <v>78</v>
      </c>
      <c r="B105" s="341">
        <v>19</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11</v>
      </c>
      <c r="C121" s="334">
        <v>0</v>
      </c>
    </row>
    <row r="122" spans="1:6">
      <c r="A122" s="348" t="s">
        <v>86</v>
      </c>
      <c r="B122" s="334">
        <v>3</v>
      </c>
      <c r="C122" s="334">
        <v>0</v>
      </c>
    </row>
    <row r="123" spans="1:6">
      <c r="A123" s="348" t="s">
        <v>87</v>
      </c>
      <c r="B123" s="334">
        <v>84</v>
      </c>
      <c r="C123" s="334">
        <v>179</v>
      </c>
    </row>
    <row r="124" spans="1:6">
      <c r="A124" s="341" t="s">
        <v>88</v>
      </c>
      <c r="B124" s="334">
        <v>2</v>
      </c>
      <c r="C124" s="334">
        <v>3</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638</v>
      </c>
    </row>
    <row r="130" spans="1:6">
      <c r="A130" s="348" t="s">
        <v>294</v>
      </c>
      <c r="B130" s="334">
        <v>9</v>
      </c>
    </row>
    <row r="131" spans="1:6">
      <c r="A131" s="348" t="s">
        <v>295</v>
      </c>
      <c r="B131" s="334">
        <v>3</v>
      </c>
    </row>
    <row r="132" spans="1:6">
      <c r="A132" s="341" t="s">
        <v>296</v>
      </c>
      <c r="B132" s="342">
        <v>49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412676.04981376533</v>
      </c>
      <c r="C3" s="43" t="s">
        <v>169</v>
      </c>
      <c r="D3" s="43"/>
      <c r="E3" s="154"/>
      <c r="F3" s="43"/>
      <c r="G3" s="43"/>
      <c r="H3" s="43"/>
      <c r="I3" s="43"/>
      <c r="J3" s="43"/>
      <c r="K3" s="96"/>
    </row>
    <row r="4" spans="1:11">
      <c r="A4" s="383" t="s">
        <v>170</v>
      </c>
      <c r="B4" s="49">
        <f>IF(ISERROR('SEAP template'!B78+'SEAP template'!C78),0,'SEAP template'!B78+'SEAP template'!C78)</f>
        <v>355662.67159294744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17862.529076470586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7.3816945948325857E-2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25517.898680672271</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182148.68571428576</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0.14009378426533947</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2816.0880000000002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2816.0880000000002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7.3816945948325857E-2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207.87501568172908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81638.379530000006</v>
      </c>
      <c r="C5" s="17">
        <f>IF(ISERROR('Eigen informatie GS &amp; warmtenet'!B59),0,'Eigen informatie GS &amp; warmtenet'!B59)</f>
        <v>0</v>
      </c>
      <c r="D5" s="30">
        <f>(SUM(HH_hh_gas_kWh,HH_rest_gas_kWh)/1000)*0.902</f>
        <v>192833.29256619999</v>
      </c>
      <c r="E5" s="17">
        <f>B46*B57</f>
        <v>7603.4566038800876</v>
      </c>
      <c r="F5" s="17">
        <f>B51*B62</f>
        <v>0</v>
      </c>
      <c r="G5" s="18"/>
      <c r="H5" s="17"/>
      <c r="I5" s="17"/>
      <c r="J5" s="17">
        <f>B50*B61+C50*C61</f>
        <v>3275.8257955828658</v>
      </c>
      <c r="K5" s="17"/>
      <c r="L5" s="17"/>
      <c r="M5" s="17"/>
      <c r="N5" s="17">
        <f>B48*B59+C48*C59</f>
        <v>31262.743326783981</v>
      </c>
      <c r="O5" s="17">
        <f>B69*B70*B71</f>
        <v>1626.8457398973662</v>
      </c>
      <c r="P5" s="17">
        <f>B77*B78*B79/1000-B77*B78*B79/1000/B80</f>
        <v>1422.0845065374783</v>
      </c>
    </row>
    <row r="6" spans="1:16">
      <c r="A6" s="16" t="s">
        <v>615</v>
      </c>
      <c r="B6" s="809">
        <f>kWh_PV_kleiner_dan_10kW</f>
        <v>12758.512329979216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94396.891859979223</v>
      </c>
      <c r="C8" s="21">
        <f>C5</f>
        <v>0</v>
      </c>
      <c r="D8" s="21">
        <f>D5</f>
        <v>192833.29256619999</v>
      </c>
      <c r="E8" s="21">
        <f>E5</f>
        <v>7603.4566038800876</v>
      </c>
      <c r="F8" s="21">
        <f>F5</f>
        <v>0</v>
      </c>
      <c r="G8" s="21"/>
      <c r="H8" s="21"/>
      <c r="I8" s="21"/>
      <c r="J8" s="21">
        <f>J5</f>
        <v>3275.8257955828658</v>
      </c>
      <c r="K8" s="21"/>
      <c r="L8" s="21">
        <f>L5</f>
        <v>0</v>
      </c>
      <c r="M8" s="21">
        <f>M5</f>
        <v>0</v>
      </c>
      <c r="N8" s="21">
        <f>N5</f>
        <v>31262.743326783981</v>
      </c>
      <c r="O8" s="21">
        <f>O5</f>
        <v>1626.8457398973662</v>
      </c>
      <c r="P8" s="21">
        <f>P5</f>
        <v>1422.0845065374783</v>
      </c>
    </row>
    <row r="9" spans="1:16">
      <c r="B9" s="19"/>
      <c r="C9" s="19"/>
      <c r="D9" s="258"/>
      <c r="E9" s="19"/>
      <c r="F9" s="19"/>
      <c r="G9" s="19"/>
      <c r="H9" s="19"/>
      <c r="I9" s="19"/>
      <c r="J9" s="19"/>
      <c r="K9" s="19"/>
      <c r="L9" s="19"/>
      <c r="M9" s="19"/>
      <c r="N9" s="19"/>
      <c r="O9" s="19"/>
      <c r="P9" s="19"/>
    </row>
    <row r="10" spans="1:16">
      <c r="A10" s="24" t="s">
        <v>213</v>
      </c>
      <c r="B10" s="25">
        <f ca="1">'EF ele_warmte'!B12</f>
        <v>7.3816945948325857E-2</v>
      </c>
      <c r="C10" s="25">
        <f ca="1">'EF ele_warmte'!B22</f>
        <v>0.14009378426533947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6968.0902641180473</v>
      </c>
      <c r="C12" s="23">
        <f ca="1">C10*C8</f>
        <v>0</v>
      </c>
      <c r="D12" s="23">
        <f>D8*D10</f>
        <v>38952.325098372399</v>
      </c>
      <c r="E12" s="23">
        <f>E10*E8</f>
        <v>1725.9846490807799</v>
      </c>
      <c r="F12" s="23">
        <f>F10*F8</f>
        <v>0</v>
      </c>
      <c r="G12" s="23"/>
      <c r="H12" s="23"/>
      <c r="I12" s="23"/>
      <c r="J12" s="23">
        <f>J10*J8</f>
        <v>1159.6423316363343</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9871</v>
      </c>
      <c r="C18" s="166" t="s">
        <v>110</v>
      </c>
      <c r="D18" s="228"/>
      <c r="E18" s="15"/>
    </row>
    <row r="19" spans="1:7">
      <c r="A19" s="171" t="s">
        <v>71</v>
      </c>
      <c r="B19" s="37">
        <f>aantalw2001_ander</f>
        <v>3</v>
      </c>
      <c r="C19" s="166" t="s">
        <v>110</v>
      </c>
      <c r="D19" s="229"/>
      <c r="E19" s="15"/>
    </row>
    <row r="20" spans="1:7">
      <c r="A20" s="171" t="s">
        <v>72</v>
      </c>
      <c r="B20" s="37">
        <f>aantalw2001_propaan</f>
        <v>133</v>
      </c>
      <c r="C20" s="167">
        <f>IF(ISERROR(B20/SUM($B$20,$B$21,$B$22)*100),0,B20/SUM($B$20,$B$21,$B$22)*100)</f>
        <v>4.1240310077519382</v>
      </c>
      <c r="D20" s="229"/>
      <c r="E20" s="15"/>
    </row>
    <row r="21" spans="1:7">
      <c r="A21" s="171" t="s">
        <v>73</v>
      </c>
      <c r="B21" s="37">
        <f>aantalw2001_elektriciteit</f>
        <v>2776</v>
      </c>
      <c r="C21" s="167">
        <f>IF(ISERROR(B21/SUM($B$20,$B$21,$B$22)*100),0,B21/SUM($B$20,$B$21,$B$22)*100)</f>
        <v>86.077519379844958</v>
      </c>
      <c r="D21" s="229"/>
      <c r="E21" s="15"/>
    </row>
    <row r="22" spans="1:7">
      <c r="A22" s="171" t="s">
        <v>74</v>
      </c>
      <c r="B22" s="37">
        <f>aantalw2001_hout</f>
        <v>316</v>
      </c>
      <c r="C22" s="167">
        <f>IF(ISERROR(B22/SUM($B$20,$B$21,$B$22)*100),0,B22/SUM($B$20,$B$21,$B$22)*100)</f>
        <v>9.7984496124031004</v>
      </c>
      <c r="D22" s="229"/>
      <c r="E22" s="15"/>
    </row>
    <row r="23" spans="1:7">
      <c r="A23" s="171" t="s">
        <v>75</v>
      </c>
      <c r="B23" s="37">
        <f>aantalw2001_niet_gespec</f>
        <v>369</v>
      </c>
      <c r="C23" s="166" t="s">
        <v>110</v>
      </c>
      <c r="D23" s="228"/>
      <c r="E23" s="15"/>
    </row>
    <row r="24" spans="1:7">
      <c r="A24" s="171" t="s">
        <v>76</v>
      </c>
      <c r="B24" s="37">
        <f>aantalw2001_steenkool</f>
        <v>626</v>
      </c>
      <c r="C24" s="166" t="s">
        <v>110</v>
      </c>
      <c r="D24" s="229"/>
      <c r="E24" s="15"/>
    </row>
    <row r="25" spans="1:7">
      <c r="A25" s="171" t="s">
        <v>77</v>
      </c>
      <c r="B25" s="37">
        <f>aantalw2001_stookolie</f>
        <v>3115</v>
      </c>
      <c r="C25" s="166" t="s">
        <v>110</v>
      </c>
      <c r="D25" s="228"/>
      <c r="E25" s="52"/>
    </row>
    <row r="26" spans="1:7">
      <c r="A26" s="171" t="s">
        <v>78</v>
      </c>
      <c r="B26" s="37">
        <f>aantalw2001_WP</f>
        <v>19</v>
      </c>
      <c r="C26" s="166" t="s">
        <v>110</v>
      </c>
      <c r="D26" s="228"/>
      <c r="E26" s="15"/>
    </row>
    <row r="27" spans="1:7" s="15" customFormat="1">
      <c r="A27" s="171"/>
      <c r="B27" s="29"/>
      <c r="C27" s="36"/>
      <c r="D27" s="228"/>
    </row>
    <row r="28" spans="1:7" s="15" customFormat="1">
      <c r="A28" s="230" t="s">
        <v>836</v>
      </c>
      <c r="B28" s="37">
        <f>aantalHuishoudens2011</f>
        <v>19968</v>
      </c>
      <c r="C28" s="36"/>
      <c r="D28" s="228"/>
    </row>
    <row r="29" spans="1:7" s="15" customFormat="1">
      <c r="A29" s="230" t="s">
        <v>837</v>
      </c>
      <c r="B29" s="37">
        <f>SUM(HH_hh_gas_aantal,HH_rest_gas_aantal)</f>
        <v>15015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15015</v>
      </c>
      <c r="C32" s="167">
        <f>IF(ISERROR(B32/SUM($B$32,$B$34,$B$35,$B$36,$B$38,$B$39)*100),0,B32/SUM($B$32,$B$34,$B$35,$B$36,$B$38,$B$39)*100)</f>
        <v>75.70715474209652</v>
      </c>
      <c r="D32" s="233"/>
      <c r="G32" s="15"/>
    </row>
    <row r="33" spans="1:7">
      <c r="A33" s="171" t="s">
        <v>71</v>
      </c>
      <c r="B33" s="34" t="s">
        <v>110</v>
      </c>
      <c r="C33" s="167"/>
      <c r="D33" s="233"/>
      <c r="G33" s="15"/>
    </row>
    <row r="34" spans="1:7">
      <c r="A34" s="171" t="s">
        <v>72</v>
      </c>
      <c r="B34" s="33">
        <f>IF((($B$28-$B$32-$B$39-$B$77-$B$38)*C20/100)&lt;0,0,($B$28-$B$32-$B$39-$B$77-$B$38)*C20/100)</f>
        <v>194.09339534883722</v>
      </c>
      <c r="C34" s="167">
        <f>IF(ISERROR(B34/SUM($B$32,$B$34,$B$35,$B$36,$B$38,$B$39)*100),0,B34/SUM($B$32,$B$34,$B$35,$B$36,$B$38,$B$39)*100)</f>
        <v>0.97863860913042533</v>
      </c>
      <c r="D34" s="233"/>
      <c r="G34" s="15"/>
    </row>
    <row r="35" spans="1:7">
      <c r="A35" s="171" t="s">
        <v>73</v>
      </c>
      <c r="B35" s="33">
        <f>IF((($B$28-$B$32-$B$39-$B$77-$B$38)*C21/100)&lt;0,0,($B$28-$B$32-$B$39-$B$77-$B$38)*C21/100)</f>
        <v>4051.1523720930227</v>
      </c>
      <c r="C35" s="167">
        <f>IF(ISERROR(B35/SUM($B$32,$B$34,$B$35,$B$36,$B$38,$B$39)*100),0,B35/SUM($B$32,$B$34,$B$35,$B$36,$B$38,$B$39)*100)</f>
        <v>20.42632164621098</v>
      </c>
      <c r="D35" s="233"/>
      <c r="G35" s="15"/>
    </row>
    <row r="36" spans="1:7">
      <c r="A36" s="171" t="s">
        <v>74</v>
      </c>
      <c r="B36" s="33">
        <f>IF((($B$28-$B$32-$B$39-$B$77-$B$38)*C22/100)&lt;0,0,($B$28-$B$32-$B$39-$B$77-$B$38)*C22/100)</f>
        <v>461.15423255813948</v>
      </c>
      <c r="C36" s="167">
        <f>IF(ISERROR(B36/SUM($B$32,$B$34,$B$35,$B$36,$B$38,$B$39)*100),0,B36/SUM($B$32,$B$34,$B$35,$B$36,$B$38,$B$39)*100)</f>
        <v>2.3251864698136417</v>
      </c>
      <c r="D36" s="233"/>
      <c r="G36" s="15"/>
    </row>
    <row r="37" spans="1:7">
      <c r="A37" s="171" t="s">
        <v>75</v>
      </c>
      <c r="B37" s="34" t="s">
        <v>110</v>
      </c>
      <c r="C37" s="167"/>
      <c r="D37" s="173"/>
      <c r="G37" s="15"/>
    </row>
    <row r="38" spans="1:7">
      <c r="A38" s="171" t="s">
        <v>76</v>
      </c>
      <c r="B38" s="33">
        <f>IF((B24-(B29-B18)*0.1)&lt;0,0,B24-(B29-B18)*0.1)</f>
        <v>111.60000000000002</v>
      </c>
      <c r="C38" s="167">
        <f>IF(ISERROR(B38/SUM($B$32,$B$34,$B$35,$B$36,$B$38,$B$39)*100),0,B38/SUM($B$32,$B$34,$B$35,$B$36,$B$38,$B$39)*100)</f>
        <v>0.56269853274844983</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15015</v>
      </c>
      <c r="C44" s="34" t="s">
        <v>110</v>
      </c>
      <c r="D44" s="174"/>
    </row>
    <row r="45" spans="1:7">
      <c r="A45" s="171" t="s">
        <v>71</v>
      </c>
      <c r="B45" s="33" t="str">
        <f t="shared" si="0"/>
        <v>-</v>
      </c>
      <c r="C45" s="34" t="s">
        <v>110</v>
      </c>
      <c r="D45" s="174"/>
    </row>
    <row r="46" spans="1:7">
      <c r="A46" s="171" t="s">
        <v>72</v>
      </c>
      <c r="B46" s="33">
        <f t="shared" si="0"/>
        <v>194.09339534883722</v>
      </c>
      <c r="C46" s="34" t="s">
        <v>110</v>
      </c>
      <c r="D46" s="174"/>
    </row>
    <row r="47" spans="1:7">
      <c r="A47" s="171" t="s">
        <v>73</v>
      </c>
      <c r="B47" s="33">
        <f t="shared" si="0"/>
        <v>4051.1523720930227</v>
      </c>
      <c r="C47" s="34" t="s">
        <v>110</v>
      </c>
      <c r="D47" s="174"/>
    </row>
    <row r="48" spans="1:7">
      <c r="A48" s="171" t="s">
        <v>74</v>
      </c>
      <c r="B48" s="33">
        <f t="shared" si="0"/>
        <v>461.15423255813948</v>
      </c>
      <c r="C48" s="33">
        <f>B48*10</f>
        <v>4611.5423255813948</v>
      </c>
      <c r="D48" s="234"/>
    </row>
    <row r="49" spans="1:6">
      <c r="A49" s="171" t="s">
        <v>75</v>
      </c>
      <c r="B49" s="33" t="str">
        <f t="shared" si="0"/>
        <v>-</v>
      </c>
      <c r="C49" s="34" t="s">
        <v>110</v>
      </c>
      <c r="D49" s="234"/>
    </row>
    <row r="50" spans="1:6">
      <c r="A50" s="171" t="s">
        <v>76</v>
      </c>
      <c r="B50" s="33">
        <f t="shared" si="0"/>
        <v>111.60000000000002</v>
      </c>
      <c r="C50" s="33">
        <f>B50*2</f>
        <v>223.20000000000005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820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135</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163143.45776600001</v>
      </c>
      <c r="C5" s="17">
        <f>IF(ISERROR('Eigen informatie GS &amp; warmtenet'!B60),0,'Eigen informatie GS &amp; warmtenet'!B60)</f>
        <v>0</v>
      </c>
      <c r="D5" s="30">
        <f>SUM(D6:D12)</f>
        <v>109298.712150452</v>
      </c>
      <c r="E5" s="17">
        <f>SUM(E6:E12)</f>
        <v>1750.4169340951685</v>
      </c>
      <c r="F5" s="17">
        <f>SUM(F6:F12)</f>
        <v>19386.87524975379</v>
      </c>
      <c r="G5" s="18"/>
      <c r="H5" s="17"/>
      <c r="I5" s="17"/>
      <c r="J5" s="17">
        <f>SUM(J6:J12)</f>
        <v>0.16828158710970481</v>
      </c>
      <c r="K5" s="17"/>
      <c r="L5" s="17"/>
      <c r="M5" s="17"/>
      <c r="N5" s="17">
        <f>SUM(N6:N12)</f>
        <v>6668.0909495706164</v>
      </c>
      <c r="O5" s="17">
        <f>B38*B39*B40</f>
        <v>44.075346892570387</v>
      </c>
      <c r="P5" s="17">
        <f>B46*B47*B48/1000-B46*B47*B48/1000/B49</f>
        <v>893.16535121041511</v>
      </c>
      <c r="R5" s="32"/>
    </row>
    <row r="6" spans="1:18">
      <c r="A6" s="32" t="s">
        <v>53</v>
      </c>
      <c r="B6" s="37">
        <f>B26</f>
        <v>109235.4924</v>
      </c>
      <c r="C6" s="33"/>
      <c r="D6" s="37">
        <f>IF(ISERROR(TER_kantoor_gas_kWh/1000),0,TER_kantoor_gas_kWh/1000)*0.902</f>
        <v>23434.946706819999</v>
      </c>
      <c r="E6" s="33">
        <f>$C$26*'E Balans VL '!I12/100/3.6*1000000</f>
        <v>878.98298368468875</v>
      </c>
      <c r="F6" s="33">
        <f>$C$26*('E Balans VL '!L12+'E Balans VL '!N12)/100/3.6*1000000</f>
        <v>13355.188066490196</v>
      </c>
      <c r="G6" s="34"/>
      <c r="H6" s="33"/>
      <c r="I6" s="33"/>
      <c r="J6" s="33">
        <f>$C$26*('E Balans VL '!D12+'E Balans VL '!E12)/100/3.6*1000000</f>
        <v>0</v>
      </c>
      <c r="K6" s="33"/>
      <c r="L6" s="33"/>
      <c r="M6" s="33"/>
      <c r="N6" s="33">
        <f>$C$26*'E Balans VL '!Y12/100/3.6*1000000</f>
        <v>58.708697899221427</v>
      </c>
      <c r="O6" s="33"/>
      <c r="P6" s="33"/>
      <c r="R6" s="32"/>
    </row>
    <row r="7" spans="1:18">
      <c r="A7" s="32" t="s">
        <v>52</v>
      </c>
      <c r="B7" s="37">
        <f t="shared" ref="B7:B12" si="0">B27</f>
        <v>3876.7576079999999</v>
      </c>
      <c r="C7" s="33"/>
      <c r="D7" s="37">
        <f>IF(ISERROR(TER_horeca_gas_kWh/1000),0,TER_horeca_gas_kWh/1000)*0.902</f>
        <v>4406.3337127700006</v>
      </c>
      <c r="E7" s="33">
        <f>$C$27*'E Balans VL '!I9/100/3.6*1000000</f>
        <v>41.626857057539091</v>
      </c>
      <c r="F7" s="33">
        <f>$C$27*('E Balans VL '!L9+'E Balans VL '!N9)/100/3.6*1000000</f>
        <v>466.27993393847015</v>
      </c>
      <c r="G7" s="34"/>
      <c r="H7" s="33"/>
      <c r="I7" s="33"/>
      <c r="J7" s="33">
        <f>$C$27*('E Balans VL '!D9+'E Balans VL '!E9)/100/3.6*1000000</f>
        <v>0</v>
      </c>
      <c r="K7" s="33"/>
      <c r="L7" s="33"/>
      <c r="M7" s="33"/>
      <c r="N7" s="33">
        <f>$C$27*'E Balans VL '!Y9/100/3.6*1000000</f>
        <v>0.58120453819373263</v>
      </c>
      <c r="O7" s="33"/>
      <c r="P7" s="33"/>
      <c r="R7" s="32"/>
    </row>
    <row r="8" spans="1:18">
      <c r="A8" s="6" t="s">
        <v>51</v>
      </c>
      <c r="B8" s="37">
        <f t="shared" si="0"/>
        <v>21278.242249999999</v>
      </c>
      <c r="C8" s="33"/>
      <c r="D8" s="37">
        <f>IF(ISERROR(TER_handel_gas_kWh/1000),0,TER_handel_gas_kWh/1000)*0.902</f>
        <v>8503.8824660240007</v>
      </c>
      <c r="E8" s="33">
        <f>$C$28*'E Balans VL '!I13/100/3.6*1000000</f>
        <v>571.04287928328745</v>
      </c>
      <c r="F8" s="33">
        <f>$C$28*('E Balans VL '!L13+'E Balans VL '!N13)/100/3.6*1000000</f>
        <v>2030.600122986104</v>
      </c>
      <c r="G8" s="34"/>
      <c r="H8" s="33"/>
      <c r="I8" s="33"/>
      <c r="J8" s="33">
        <f>$C$28*('E Balans VL '!D13+'E Balans VL '!E13)/100/3.6*1000000</f>
        <v>0</v>
      </c>
      <c r="K8" s="33"/>
      <c r="L8" s="33"/>
      <c r="M8" s="33"/>
      <c r="N8" s="33">
        <f>$C$28*'E Balans VL '!Y13/100/3.6*1000000</f>
        <v>8.434937169716731</v>
      </c>
      <c r="O8" s="33"/>
      <c r="P8" s="33"/>
      <c r="R8" s="32"/>
    </row>
    <row r="9" spans="1:18">
      <c r="A9" s="32" t="s">
        <v>50</v>
      </c>
      <c r="B9" s="37">
        <f t="shared" si="0"/>
        <v>2943.9788509999998</v>
      </c>
      <c r="C9" s="33"/>
      <c r="D9" s="37">
        <f>IF(ISERROR(TER_gezond_gas_kWh/1000),0,TER_gezond_gas_kWh/1000)*0.902</f>
        <v>3255.1017004</v>
      </c>
      <c r="E9" s="33">
        <f>$C$29*'E Balans VL '!I10/100/3.6*1000000</f>
        <v>5.5179749679139887</v>
      </c>
      <c r="F9" s="33">
        <f>$C$29*('E Balans VL '!L10+'E Balans VL '!N10)/100/3.6*1000000</f>
        <v>242.02192328942954</v>
      </c>
      <c r="G9" s="34"/>
      <c r="H9" s="33"/>
      <c r="I9" s="33"/>
      <c r="J9" s="33">
        <f>$C$29*('E Balans VL '!D10+'E Balans VL '!E10)/100/3.6*1000000</f>
        <v>0</v>
      </c>
      <c r="K9" s="33"/>
      <c r="L9" s="33"/>
      <c r="M9" s="33"/>
      <c r="N9" s="33">
        <f>$C$29*'E Balans VL '!Y10/100/3.6*1000000</f>
        <v>22.906351984614666</v>
      </c>
      <c r="O9" s="33"/>
      <c r="P9" s="33"/>
      <c r="R9" s="32"/>
    </row>
    <row r="10" spans="1:18">
      <c r="A10" s="32" t="s">
        <v>49</v>
      </c>
      <c r="B10" s="37">
        <f t="shared" si="0"/>
        <v>8001.5643799999998</v>
      </c>
      <c r="C10" s="33"/>
      <c r="D10" s="37">
        <f>IF(ISERROR(TER_ander_gas_kWh/1000),0,TER_ander_gas_kWh/1000)*0.902</f>
        <v>9867.2624907999998</v>
      </c>
      <c r="E10" s="33">
        <f>$C$30*'E Balans VL '!I14/100/3.6*1000000</f>
        <v>12.33449257036909</v>
      </c>
      <c r="F10" s="33">
        <f>$C$30*('E Balans VL '!L14+'E Balans VL '!N14)/100/3.6*1000000</f>
        <v>1242.2450789482925</v>
      </c>
      <c r="G10" s="34"/>
      <c r="H10" s="33"/>
      <c r="I10" s="33"/>
      <c r="J10" s="33">
        <f>$C$30*('E Balans VL '!D14+'E Balans VL '!E14)/100/3.6*1000000</f>
        <v>0.13583499399873258</v>
      </c>
      <c r="K10" s="33"/>
      <c r="L10" s="33"/>
      <c r="M10" s="33"/>
      <c r="N10" s="33">
        <f>$C$30*'E Balans VL '!Y14/100/3.6*1000000</f>
        <v>5293.5785455946161</v>
      </c>
      <c r="O10" s="33"/>
      <c r="P10" s="33"/>
      <c r="R10" s="32"/>
    </row>
    <row r="11" spans="1:18">
      <c r="A11" s="32" t="s">
        <v>54</v>
      </c>
      <c r="B11" s="37">
        <f t="shared" si="0"/>
        <v>876.82541700000002</v>
      </c>
      <c r="C11" s="33"/>
      <c r="D11" s="37">
        <f>IF(ISERROR(TER_onderwijs_gas_kWh/1000),0,TER_onderwijs_gas_kWh/1000)*0.902</f>
        <v>2749.2747750380004</v>
      </c>
      <c r="E11" s="33">
        <f>$C$31*'E Balans VL '!I11/100/3.6*1000000</f>
        <v>22.365036900580307</v>
      </c>
      <c r="F11" s="33">
        <f>$C$31*('E Balans VL '!L11+'E Balans VL '!N11)/100/3.6*1000000</f>
        <v>105.44650938935986</v>
      </c>
      <c r="G11" s="34"/>
      <c r="H11" s="33"/>
      <c r="I11" s="33"/>
      <c r="J11" s="33">
        <f>$C$31*('E Balans VL '!D11+'E Balans VL '!E11)/100/3.6*1000000</f>
        <v>0</v>
      </c>
      <c r="K11" s="33"/>
      <c r="L11" s="33"/>
      <c r="M11" s="33"/>
      <c r="N11" s="33">
        <f>$C$31*'E Balans VL '!Y11/100/3.6*1000000</f>
        <v>1.9500383326834736</v>
      </c>
      <c r="O11" s="33"/>
      <c r="P11" s="33"/>
      <c r="R11" s="32"/>
    </row>
    <row r="12" spans="1:18">
      <c r="A12" s="32" t="s">
        <v>259</v>
      </c>
      <c r="B12" s="37">
        <f t="shared" si="0"/>
        <v>16930.596859999998</v>
      </c>
      <c r="C12" s="33"/>
      <c r="D12" s="37">
        <f>IF(ISERROR(TER_rest_gas_kWh/1000),0,TER_rest_gas_kWh/1000)*0.902</f>
        <v>57081.9102986</v>
      </c>
      <c r="E12" s="33">
        <f>$C$32*'E Balans VL '!I8/100/3.6*1000000</f>
        <v>218.54670963078996</v>
      </c>
      <c r="F12" s="33">
        <f>$C$32*('E Balans VL '!L8+'E Balans VL '!N8)/100/3.6*1000000</f>
        <v>1945.0936147119396</v>
      </c>
      <c r="G12" s="34"/>
      <c r="H12" s="33"/>
      <c r="I12" s="33"/>
      <c r="J12" s="33">
        <f>$C$32*('E Balans VL '!D8+'E Balans VL '!E8)/100/3.6*1000000</f>
        <v>3.244659311097222E-2</v>
      </c>
      <c r="K12" s="33"/>
      <c r="L12" s="33"/>
      <c r="M12" s="33"/>
      <c r="N12" s="33">
        <f>$C$32*'E Balans VL '!Y8/100/3.6*1000000</f>
        <v>1281.9311740515702</v>
      </c>
      <c r="O12" s="33"/>
      <c r="P12" s="33"/>
      <c r="R12" s="32"/>
    </row>
    <row r="13" spans="1:18">
      <c r="A13" s="16" t="s">
        <v>482</v>
      </c>
      <c r="B13" s="247">
        <f ca="1">'lokale energieproductie'!N91+'lokale energieproductie'!N60</f>
        <v>24194.43</v>
      </c>
      <c r="C13" s="247">
        <f ca="1">'lokale energieproductie'!O91+'lokale energieproductie'!O60</f>
        <v>34563.471428571429</v>
      </c>
      <c r="D13" s="310">
        <f ca="1">('lokale energieproductie'!P60+'lokale energieproductie'!P91)*(-1)</f>
        <v>-30797.807142857149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-38237.142857142862</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187337.887766</v>
      </c>
      <c r="C16" s="21">
        <f t="shared" ca="1" si="1"/>
        <v>34563.471428571429</v>
      </c>
      <c r="D16" s="21">
        <f t="shared" ca="1" si="1"/>
        <v>78500.905007594847</v>
      </c>
      <c r="E16" s="21">
        <f t="shared" si="1"/>
        <v>1750.4169340951685</v>
      </c>
      <c r="F16" s="21">
        <f t="shared" ca="1" si="1"/>
        <v>19386.87524975379</v>
      </c>
      <c r="G16" s="21">
        <f t="shared" si="1"/>
        <v>0</v>
      </c>
      <c r="H16" s="21">
        <f t="shared" si="1"/>
        <v>0</v>
      </c>
      <c r="I16" s="21">
        <f t="shared" si="1"/>
        <v>0</v>
      </c>
      <c r="J16" s="21">
        <f t="shared" si="1"/>
        <v>0.16828158710970481</v>
      </c>
      <c r="K16" s="21">
        <f t="shared" si="1"/>
        <v>0</v>
      </c>
      <c r="L16" s="21">
        <f t="shared" ca="1" si="1"/>
        <v>0</v>
      </c>
      <c r="M16" s="21">
        <f t="shared" si="1"/>
        <v>0</v>
      </c>
      <c r="N16" s="21">
        <f t="shared" ca="1" si="1"/>
        <v>0</v>
      </c>
      <c r="O16" s="21">
        <f>O5</f>
        <v>44.075346892570387</v>
      </c>
      <c r="P16" s="21">
        <f>P5</f>
        <v>893.16535121041511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7.3816945948325857E-2</v>
      </c>
      <c r="C18" s="25">
        <f ca="1">'EF ele_warmte'!B22</f>
        <v>0.14009378426533947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13828.710735296358</v>
      </c>
      <c r="C20" s="23">
        <f t="shared" ref="C20:P20" ca="1" si="2">C16*C18</f>
        <v>4842.1275097755106</v>
      </c>
      <c r="D20" s="23">
        <f t="shared" ca="1" si="2"/>
        <v>15857.18281153416</v>
      </c>
      <c r="E20" s="23">
        <f t="shared" si="2"/>
        <v>397.34464403960328</v>
      </c>
      <c r="F20" s="23">
        <f t="shared" ca="1" si="2"/>
        <v>5176.2956916842622</v>
      </c>
      <c r="G20" s="23">
        <f t="shared" si="2"/>
        <v>0</v>
      </c>
      <c r="H20" s="23">
        <f t="shared" si="2"/>
        <v>0</v>
      </c>
      <c r="I20" s="23">
        <f t="shared" si="2"/>
        <v>0</v>
      </c>
      <c r="J20" s="23">
        <f t="shared" si="2"/>
        <v>5.9571681836835498E-2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109235.4924</v>
      </c>
      <c r="C26" s="39">
        <f>IF(ISERROR(B26*3.6/1000000/'E Balans VL '!Z12*100),0,B26*3.6/1000000/'E Balans VL '!Z12*100)</f>
        <v>2.3173310322668157</v>
      </c>
      <c r="D26" s="237" t="s">
        <v>716</v>
      </c>
      <c r="F26" s="6"/>
    </row>
    <row r="27" spans="1:18">
      <c r="A27" s="231" t="s">
        <v>52</v>
      </c>
      <c r="B27" s="33">
        <f>IF(ISERROR(TER_horeca_ele_kWh/1000),0,TER_horeca_ele_kWh/1000)</f>
        <v>3876.7576079999999</v>
      </c>
      <c r="C27" s="39">
        <f>IF(ISERROR(B27*3.6/1000000/'E Balans VL '!Z9*100),0,B27*3.6/1000000/'E Balans VL '!Z9*100)</f>
        <v>0.29195419016509266</v>
      </c>
      <c r="D27" s="237" t="s">
        <v>716</v>
      </c>
      <c r="F27" s="6"/>
    </row>
    <row r="28" spans="1:18">
      <c r="A28" s="171" t="s">
        <v>51</v>
      </c>
      <c r="B28" s="33">
        <f>IF(ISERROR(TER_handel_ele_kWh/1000),0,TER_handel_ele_kWh/1000)</f>
        <v>21278.242249999999</v>
      </c>
      <c r="C28" s="39">
        <f>IF(ISERROR(B28*3.6/1000000/'E Balans VL '!Z13*100),0,B28*3.6/1000000/'E Balans VL '!Z13*100)</f>
        <v>0.61763197782277812</v>
      </c>
      <c r="D28" s="237" t="s">
        <v>716</v>
      </c>
      <c r="F28" s="6"/>
    </row>
    <row r="29" spans="1:18">
      <c r="A29" s="231" t="s">
        <v>50</v>
      </c>
      <c r="B29" s="33">
        <f>IF(ISERROR(TER_gezond_ele_kWh/1000),0,TER_gezond_ele_kWh/1000)</f>
        <v>2943.9788509999998</v>
      </c>
      <c r="C29" s="39">
        <f>IF(ISERROR(B29*3.6/1000000/'E Balans VL '!Z10*100),0,B29*3.6/1000000/'E Balans VL '!Z10*100)</f>
        <v>0.29690377796112316</v>
      </c>
      <c r="D29" s="237" t="s">
        <v>716</v>
      </c>
      <c r="F29" s="6"/>
    </row>
    <row r="30" spans="1:18">
      <c r="A30" s="231" t="s">
        <v>49</v>
      </c>
      <c r="B30" s="33">
        <f>IF(ISERROR(TER_ander_ele_kWh/1000),0,TER_ander_ele_kWh/1000)</f>
        <v>8001.5643799999998</v>
      </c>
      <c r="C30" s="39">
        <f>IF(ISERROR(B30*3.6/1000000/'E Balans VL '!Z14*100),0,B30*3.6/1000000/'E Balans VL '!Z14*100)</f>
        <v>0.58062265712243222</v>
      </c>
      <c r="D30" s="237" t="s">
        <v>716</v>
      </c>
      <c r="F30" s="6"/>
    </row>
    <row r="31" spans="1:18">
      <c r="A31" s="231" t="s">
        <v>54</v>
      </c>
      <c r="B31" s="33">
        <f>IF(ISERROR(TER_onderwijs_ele_kWh/1000),0,TER_onderwijs_ele_kWh/1000)</f>
        <v>876.82541700000002</v>
      </c>
      <c r="C31" s="39">
        <f>IF(ISERROR(B31*3.6/1000000/'E Balans VL '!Z11*100),0,B31*3.6/1000000/'E Balans VL '!Z11*100)</f>
        <v>0.24993094983858077</v>
      </c>
      <c r="D31" s="237" t="s">
        <v>716</v>
      </c>
    </row>
    <row r="32" spans="1:18">
      <c r="A32" s="231" t="s">
        <v>259</v>
      </c>
      <c r="B32" s="33">
        <f>IF(ISERROR(TER_rest_ele_kWh/1000),0,TER_rest_ele_kWh/1000)</f>
        <v>16930.596859999998</v>
      </c>
      <c r="C32" s="39">
        <f>IF(ISERROR(B32*3.6/1000000/'E Balans VL '!Z8*100),0,B32*3.6/1000000/'E Balans VL '!Z8*100)</f>
        <v>0.13869200087599573</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9</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17</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81842.460735000001</v>
      </c>
      <c r="C5" s="17">
        <f>IF(ISERROR('Eigen informatie GS &amp; warmtenet'!B61),0,'Eigen informatie GS &amp; warmtenet'!B61)</f>
        <v>0</v>
      </c>
      <c r="D5" s="30">
        <f>SUM(D6:D15)</f>
        <v>49855.184535420005</v>
      </c>
      <c r="E5" s="17">
        <f>SUM(E6:E15)</f>
        <v>4341.5433820371663</v>
      </c>
      <c r="F5" s="17">
        <f>SUM(F6:F15)</f>
        <v>15263.417372446933</v>
      </c>
      <c r="G5" s="18"/>
      <c r="H5" s="17"/>
      <c r="I5" s="17"/>
      <c r="J5" s="17">
        <f>SUM(J6:J15)</f>
        <v>436.27697307244466</v>
      </c>
      <c r="K5" s="17"/>
      <c r="L5" s="17"/>
      <c r="M5" s="17"/>
      <c r="N5" s="17">
        <f>SUM(N6:N15)</f>
        <v>2590.2303738555788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4174.8933630000001</v>
      </c>
      <c r="C8" s="33"/>
      <c r="D8" s="37">
        <f>IF( ISERROR(IND_metaal_Gas_kWH/1000),0,IND_metaal_Gas_kWH/1000)*0.902</f>
        <v>42.731157677999995</v>
      </c>
      <c r="E8" s="33">
        <f>C30*'E Balans VL '!I18/100/3.6*1000000</f>
        <v>30.11892540002632</v>
      </c>
      <c r="F8" s="33">
        <f>C30*'E Balans VL '!L18/100/3.6*1000000+C30*'E Balans VL '!N18/100/3.6*1000000</f>
        <v>394.86793249862649</v>
      </c>
      <c r="G8" s="34"/>
      <c r="H8" s="33"/>
      <c r="I8" s="33"/>
      <c r="J8" s="40">
        <f>C30*'E Balans VL '!D18/100/3.6*1000000+C30*'E Balans VL '!E18/100/3.6*1000000</f>
        <v>4.1991320056378489</v>
      </c>
      <c r="K8" s="33"/>
      <c r="L8" s="33"/>
      <c r="M8" s="33"/>
      <c r="N8" s="33">
        <f>C30*'E Balans VL '!Y18/100/3.6*1000000</f>
        <v>52.781697785657968</v>
      </c>
      <c r="O8" s="33"/>
      <c r="P8" s="33"/>
      <c r="R8" s="32"/>
    </row>
    <row r="9" spans="1:18">
      <c r="A9" s="6" t="s">
        <v>32</v>
      </c>
      <c r="B9" s="37">
        <f t="shared" si="0"/>
        <v>7096.7940209999997</v>
      </c>
      <c r="C9" s="33"/>
      <c r="D9" s="37">
        <f>IF( ISERROR(IND_andere_gas_kWh/1000),0,IND_andere_gas_kWh/1000)*0.902</f>
        <v>23287.960340700003</v>
      </c>
      <c r="E9" s="33">
        <f>C31*'E Balans VL '!I19/100/3.6*1000000</f>
        <v>1966.6165192439464</v>
      </c>
      <c r="F9" s="33">
        <f>C31*'E Balans VL '!L19/100/3.6*1000000+C31*'E Balans VL '!N19/100/3.6*1000000</f>
        <v>5881.8382208948751</v>
      </c>
      <c r="G9" s="34"/>
      <c r="H9" s="33"/>
      <c r="I9" s="33"/>
      <c r="J9" s="40">
        <f>C31*'E Balans VL '!D19/100/3.6*1000000+C31*'E Balans VL '!E19/100/3.6*1000000</f>
        <v>0</v>
      </c>
      <c r="K9" s="33"/>
      <c r="L9" s="33"/>
      <c r="M9" s="33"/>
      <c r="N9" s="33">
        <f>C31*'E Balans VL '!Y19/100/3.6*1000000</f>
        <v>515.14044273656077</v>
      </c>
      <c r="O9" s="33"/>
      <c r="P9" s="33"/>
      <c r="R9" s="32"/>
    </row>
    <row r="10" spans="1:18">
      <c r="A10" s="6" t="s">
        <v>40</v>
      </c>
      <c r="B10" s="37">
        <f t="shared" si="0"/>
        <v>2097.5124519999999</v>
      </c>
      <c r="C10" s="33"/>
      <c r="D10" s="37">
        <f>IF( ISERROR(IND_voed_gas_kWh/1000),0,IND_voed_gas_kWh/1000)*0.902</f>
        <v>1563.0138560519999</v>
      </c>
      <c r="E10" s="33">
        <f>C32*'E Balans VL '!I20/100/3.6*1000000</f>
        <v>3.713307513057952</v>
      </c>
      <c r="F10" s="33">
        <f>C32*'E Balans VL '!L20/100/3.6*1000000+C32*'E Balans VL '!N20/100/3.6*1000000</f>
        <v>113.28426249410624</v>
      </c>
      <c r="G10" s="34"/>
      <c r="H10" s="33"/>
      <c r="I10" s="33"/>
      <c r="J10" s="40">
        <f>C32*'E Balans VL '!D20/100/3.6*1000000+C32*'E Balans VL '!E20/100/3.6*1000000</f>
        <v>0</v>
      </c>
      <c r="K10" s="33"/>
      <c r="L10" s="33"/>
      <c r="M10" s="33"/>
      <c r="N10" s="33">
        <f>C32*'E Balans VL '!Y20/100/3.6*1000000</f>
        <v>121.8814923634057</v>
      </c>
      <c r="O10" s="33"/>
      <c r="P10" s="33"/>
      <c r="R10" s="32"/>
    </row>
    <row r="11" spans="1:18">
      <c r="A11" s="6" t="s">
        <v>39</v>
      </c>
      <c r="B11" s="37">
        <f t="shared" si="0"/>
        <v>27.655860000000001</v>
      </c>
      <c r="C11" s="33"/>
      <c r="D11" s="37">
        <f>IF( ISERROR(IND_textiel_gas_kWh/1000),0,IND_textiel_gas_kWh/1000)*0.902</f>
        <v>27.08340239</v>
      </c>
      <c r="E11" s="33">
        <f>C33*'E Balans VL '!I21/100/3.6*1000000</f>
        <v>9.7489777039161701E-2</v>
      </c>
      <c r="F11" s="33">
        <f>C33*'E Balans VL '!L21/100/3.6*1000000+C33*'E Balans VL '!N21/100/3.6*1000000</f>
        <v>0.81174084650388922</v>
      </c>
      <c r="G11" s="34"/>
      <c r="H11" s="33"/>
      <c r="I11" s="33"/>
      <c r="J11" s="40">
        <f>C33*'E Balans VL '!D21/100/3.6*1000000+C33*'E Balans VL '!E21/100/3.6*1000000</f>
        <v>0</v>
      </c>
      <c r="K11" s="33"/>
      <c r="L11" s="33"/>
      <c r="M11" s="33"/>
      <c r="N11" s="33">
        <f>C33*'E Balans VL '!Y21/100/3.6*1000000</f>
        <v>1.2185132327666166</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280.429529</v>
      </c>
      <c r="C13" s="33"/>
      <c r="D13" s="37">
        <f>IF( ISERROR(IND_papier_gas_kWh/1000),0,IND_papier_gas_kWh/1000)*0.902</f>
        <v>76.940031739999995</v>
      </c>
      <c r="E13" s="33">
        <f>C35*'E Balans VL '!I23/100/3.6*1000000</f>
        <v>0.41260813110004729</v>
      </c>
      <c r="F13" s="33">
        <f>C35*'E Balans VL '!L23/100/3.6*1000000+C35*'E Balans VL '!N23/100/3.6*1000000</f>
        <v>3.0026449263802517</v>
      </c>
      <c r="G13" s="34"/>
      <c r="H13" s="33"/>
      <c r="I13" s="33"/>
      <c r="J13" s="40">
        <f>C35*'E Balans VL '!D23/100/3.6*1000000+C35*'E Balans VL '!E23/100/3.6*1000000</f>
        <v>30.68056303910755</v>
      </c>
      <c r="K13" s="33"/>
      <c r="L13" s="33"/>
      <c r="M13" s="33"/>
      <c r="N13" s="33">
        <f>C35*'E Balans VL '!Y23/100/3.6*1000000</f>
        <v>-2.540451241739647</v>
      </c>
      <c r="O13" s="33"/>
      <c r="P13" s="33"/>
      <c r="R13" s="32"/>
    </row>
    <row r="14" spans="1:18">
      <c r="A14" s="6" t="s">
        <v>33</v>
      </c>
      <c r="B14" s="37">
        <f t="shared" si="0"/>
        <v>19577.001649999998</v>
      </c>
      <c r="C14" s="33"/>
      <c r="D14" s="37">
        <f>IF( ISERROR(IND_chemie_gas_kWh/1000),0,IND_chemie_gas_kWh/1000)*0.902</f>
        <v>0</v>
      </c>
      <c r="E14" s="33">
        <f>C36*'E Balans VL '!I24/100/3.6*1000000</f>
        <v>44.279234551209854</v>
      </c>
      <c r="F14" s="33">
        <f>C36*'E Balans VL '!L24/100/3.6*1000000+C36*'E Balans VL '!N24/100/3.6*1000000</f>
        <v>231.14509479640364</v>
      </c>
      <c r="G14" s="34"/>
      <c r="H14" s="33"/>
      <c r="I14" s="33"/>
      <c r="J14" s="40">
        <f>C36*'E Balans VL '!D24/100/3.6*1000000+C36*'E Balans VL '!E24/100/3.6*1000000</f>
        <v>0</v>
      </c>
      <c r="K14" s="33"/>
      <c r="L14" s="33"/>
      <c r="M14" s="33"/>
      <c r="N14" s="33">
        <f>C36*'E Balans VL '!Y24/100/3.6*1000000</f>
        <v>10.753353984321015</v>
      </c>
      <c r="O14" s="33"/>
      <c r="P14" s="33"/>
      <c r="R14" s="32"/>
    </row>
    <row r="15" spans="1:18">
      <c r="A15" s="6" t="s">
        <v>269</v>
      </c>
      <c r="B15" s="37">
        <f t="shared" si="0"/>
        <v>48588.173860000003</v>
      </c>
      <c r="C15" s="33"/>
      <c r="D15" s="37">
        <f>IF( ISERROR(IND_rest_gas_kWh/1000),0,IND_rest_gas_kWh/1000)*0.902</f>
        <v>24857.45574686</v>
      </c>
      <c r="E15" s="33">
        <f>C37*'E Balans VL '!I15/100/3.6*1000000</f>
        <v>2296.3052974207867</v>
      </c>
      <c r="F15" s="33">
        <f>C37*'E Balans VL '!L15/100/3.6*1000000+C37*'E Balans VL '!N15/100/3.6*1000000</f>
        <v>8638.4674759900372</v>
      </c>
      <c r="G15" s="34"/>
      <c r="H15" s="33"/>
      <c r="I15" s="33"/>
      <c r="J15" s="40">
        <f>C37*'E Balans VL '!D15/100/3.6*1000000+C37*'E Balans VL '!E15/100/3.6*1000000</f>
        <v>401.39727802769926</v>
      </c>
      <c r="K15" s="33"/>
      <c r="L15" s="33"/>
      <c r="M15" s="33"/>
      <c r="N15" s="33">
        <f>C37*'E Balans VL '!Y15/100/3.6*1000000</f>
        <v>1890.9953249946063</v>
      </c>
      <c r="O15" s="33"/>
      <c r="P15" s="33"/>
      <c r="R15" s="32"/>
    </row>
    <row r="16" spans="1:18">
      <c r="A16" s="16" t="s">
        <v>482</v>
      </c>
      <c r="B16" s="247">
        <f>'lokale energieproductie'!N90+'lokale energieproductie'!N59</f>
        <v>27810</v>
      </c>
      <c r="C16" s="247">
        <f>'lokale energieproductie'!O90+'lokale energieproductie'!O59</f>
        <v>39728.571428571435</v>
      </c>
      <c r="D16" s="310">
        <f>('lokale energieproductie'!P59+'lokale energieproductie'!P90)*(-1)</f>
        <v>-35366.785714285717</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-15287.142857142859</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109652.460735</v>
      </c>
      <c r="C18" s="21">
        <f>C5+C16</f>
        <v>39728.571428571435</v>
      </c>
      <c r="D18" s="21">
        <f>MAX((D5+D16),0)</f>
        <v>14488.398821134288</v>
      </c>
      <c r="E18" s="21">
        <f>MAX((E5+E16),0)</f>
        <v>4341.5433820371663</v>
      </c>
      <c r="F18" s="21">
        <f>MAX((F5+F16),0)</f>
        <v>15263.417372446933</v>
      </c>
      <c r="G18" s="21"/>
      <c r="H18" s="21"/>
      <c r="I18" s="21"/>
      <c r="J18" s="21">
        <f>MAX((J5+J16),0)</f>
        <v>436.27697307244466</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7.3816945948325857E-2</v>
      </c>
      <c r="C20" s="25">
        <f ca="1">'EF ele_warmte'!B22</f>
        <v>0.14009378426533947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8094.2097671764186</v>
      </c>
      <c r="C22" s="23">
        <f ca="1">C18*C20</f>
        <v>5565.7259148844159</v>
      </c>
      <c r="D22" s="23">
        <f>D18*D20</f>
        <v>2926.6565618691261</v>
      </c>
      <c r="E22" s="23">
        <f>E18*E20</f>
        <v>985.53034772243677</v>
      </c>
      <c r="F22" s="23">
        <f>F18*F20</f>
        <v>4075.3324384433313</v>
      </c>
      <c r="G22" s="23"/>
      <c r="H22" s="23"/>
      <c r="I22" s="23"/>
      <c r="J22" s="23">
        <f>J18*J20</f>
        <v>154.44204846764541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4174.8933630000001</v>
      </c>
      <c r="C30" s="39">
        <f>IF(ISERROR(B30*3.6/1000000/'E Balans VL '!Z18*100),0,B30*3.6/1000000/'E Balans VL '!Z18*100)</f>
        <v>0.2410100795608677</v>
      </c>
      <c r="D30" s="237" t="s">
        <v>716</v>
      </c>
    </row>
    <row r="31" spans="1:18">
      <c r="A31" s="6" t="s">
        <v>32</v>
      </c>
      <c r="B31" s="37">
        <f>IF( ISERROR(IND_ander_ele_kWh/1000),0,IND_ander_ele_kWh/1000)</f>
        <v>7096.7940209999997</v>
      </c>
      <c r="C31" s="39">
        <f>IF(ISERROR(B31*3.6/1000000/'E Balans VL '!Z19*100),0,B31*3.6/1000000/'E Balans VL '!Z19*100)</f>
        <v>0.3569457358891937</v>
      </c>
      <c r="D31" s="237" t="s">
        <v>716</v>
      </c>
    </row>
    <row r="32" spans="1:18">
      <c r="A32" s="171" t="s">
        <v>40</v>
      </c>
      <c r="B32" s="37">
        <f>IF( ISERROR(IND_voed_ele_kWh/1000),0,IND_voed_ele_kWh/1000)</f>
        <v>2097.5124519999999</v>
      </c>
      <c r="C32" s="39">
        <f>IF(ISERROR(B32*3.6/1000000/'E Balans VL '!Z20*100),0,B32*3.6/1000000/'E Balans VL '!Z20*100)</f>
        <v>6.9859620200902126E-2</v>
      </c>
      <c r="D32" s="237" t="s">
        <v>716</v>
      </c>
    </row>
    <row r="33" spans="1:5">
      <c r="A33" s="171" t="s">
        <v>39</v>
      </c>
      <c r="B33" s="37">
        <f>IF( ISERROR(IND_textiel_ele_kWh/1000),0,IND_textiel_ele_kWh/1000)</f>
        <v>27.655860000000001</v>
      </c>
      <c r="C33" s="39">
        <f>IF(ISERROR(B33*3.6/1000000/'E Balans VL '!Z21*100),0,B33*3.6/1000000/'E Balans VL '!Z21*100)</f>
        <v>4.3119005620644137E-3</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280.429529</v>
      </c>
      <c r="C35" s="39">
        <f>IF(ISERROR(B35*3.6/1000000/'E Balans VL '!Z22*100),0,B35*3.6/1000000/'E Balans VL '!Z22*100)</f>
        <v>5.2309579046741828E-2</v>
      </c>
      <c r="D35" s="237" t="s">
        <v>716</v>
      </c>
    </row>
    <row r="36" spans="1:5">
      <c r="A36" s="171" t="s">
        <v>33</v>
      </c>
      <c r="B36" s="37">
        <f>IF( ISERROR(IND_chemie_ele_kWh/1000),0,IND_chemie_ele_kWh/1000)</f>
        <v>19577.001649999998</v>
      </c>
      <c r="C36" s="39">
        <f>IF(ISERROR(B36*3.6/1000000/'E Balans VL '!Z24*100),0,B36*3.6/1000000/'E Balans VL '!Z24*100)</f>
        <v>0.51636753826271353</v>
      </c>
      <c r="D36" s="237" t="s">
        <v>716</v>
      </c>
    </row>
    <row r="37" spans="1:5">
      <c r="A37" s="171" t="s">
        <v>269</v>
      </c>
      <c r="B37" s="37">
        <f>IF( ISERROR(IND_rest_ele_kWh/1000),0,IND_rest_ele_kWh/1000)</f>
        <v>48588.173860000003</v>
      </c>
      <c r="C37" s="39">
        <f>IF(ISERROR(B37*3.6/1000000/'E Balans VL '!Z15*100),0,B37*3.6/1000000/'E Balans VL '!Z15*100)</f>
        <v>0.37912062684385384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10506.020553000002</v>
      </c>
      <c r="C5" s="17">
        <f>'Eigen informatie GS &amp; warmtenet'!B62</f>
        <v>0</v>
      </c>
      <c r="D5" s="30">
        <f>IF(ISERROR(SUM(LB_lb_gas_kWh,LB_rest_gas_kWh)/1000),0,SUM(LB_lb_gas_kWh,LB_rest_gas_kWh)/1000)*0.902</f>
        <v>131684.830363702</v>
      </c>
      <c r="E5" s="17">
        <f>B17*'E Balans VL '!I25/3.6*1000000/100</f>
        <v>327.88943700095462</v>
      </c>
      <c r="F5" s="17">
        <f>B17*('E Balans VL '!L25/3.6*1000000+'E Balans VL '!N25/3.6*1000000)/100</f>
        <v>37129.440459863516</v>
      </c>
      <c r="G5" s="18"/>
      <c r="H5" s="17"/>
      <c r="I5" s="17"/>
      <c r="J5" s="17">
        <f>('E Balans VL '!D25+'E Balans VL '!E25)/3.6*1000000*landbouw!B17/100</f>
        <v>2894.4815209655076</v>
      </c>
      <c r="K5" s="17"/>
      <c r="L5" s="17">
        <f>L6*(-1)</f>
        <v>0</v>
      </c>
      <c r="M5" s="17"/>
      <c r="N5" s="17">
        <f>N6*(-1)</f>
        <v>67123.285714285725</v>
      </c>
      <c r="O5" s="17"/>
      <c r="P5" s="17"/>
      <c r="R5" s="32"/>
    </row>
    <row r="6" spans="1:18">
      <c r="A6" s="16" t="s">
        <v>482</v>
      </c>
      <c r="B6" s="17" t="s">
        <v>210</v>
      </c>
      <c r="C6" s="17">
        <f>'lokale energieproductie'!O92+'lokale energieproductie'!O61</f>
        <v>107856.64285714288</v>
      </c>
      <c r="D6" s="310">
        <f>('lokale energieproductie'!P61+'lokale energieproductie'!P92)*(-1)</f>
        <v>-148590.00000000003</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-67123.285714285725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10506.020553000002</v>
      </c>
      <c r="C8" s="21">
        <f>C5+C6</f>
        <v>107856.64285714288</v>
      </c>
      <c r="D8" s="21">
        <f>MAX((D5+D6),0)</f>
        <v>0</v>
      </c>
      <c r="E8" s="21">
        <f>MAX((E5+E6),0)</f>
        <v>327.88943700095462</v>
      </c>
      <c r="F8" s="21">
        <f>MAX((F5+F6),0)</f>
        <v>37129.440459863516</v>
      </c>
      <c r="G8" s="21"/>
      <c r="H8" s="21"/>
      <c r="I8" s="21"/>
      <c r="J8" s="21">
        <f>MAX((J5+J6),0)</f>
        <v>2894.4815209655076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7.3816945948325857E-2</v>
      </c>
      <c r="C10" s="31">
        <f ca="1">'EF ele_warmte'!B22</f>
        <v>0.14009378426533947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775.52235129280166</v>
      </c>
      <c r="C12" s="23">
        <f ca="1">C8*C10</f>
        <v>15110.045256012343</v>
      </c>
      <c r="D12" s="23">
        <f>D8*D10</f>
        <v>0</v>
      </c>
      <c r="E12" s="23">
        <f>E8*E10</f>
        <v>74.430902199216703</v>
      </c>
      <c r="F12" s="23">
        <f>F8*F10</f>
        <v>9913.5606027835584</v>
      </c>
      <c r="G12" s="23"/>
      <c r="H12" s="23"/>
      <c r="I12" s="23"/>
      <c r="J12" s="23">
        <f>J8*J10</f>
        <v>1024.6464584217897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1.5617952694927077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943.74755973437391</v>
      </c>
      <c r="C26" s="247">
        <f>B26*'GWP N2O_CH4'!B5</f>
        <v>19818.698754421854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422.98396164578145</v>
      </c>
      <c r="C27" s="247">
        <f>B27*'GWP N2O_CH4'!B5</f>
        <v>8882.6631945614099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13.55604977390542</v>
      </c>
      <c r="C28" s="247">
        <f>B28*'GWP N2O_CH4'!B4</f>
        <v>4202.3754299106804</v>
      </c>
      <c r="D28" s="50"/>
    </row>
    <row r="29" spans="1:4">
      <c r="A29" s="41" t="s">
        <v>276</v>
      </c>
      <c r="B29" s="247">
        <f>B34*'ha_N2O bodem landbouw'!B4</f>
        <v>46.112021071216816</v>
      </c>
      <c r="C29" s="247">
        <f>B29*'GWP N2O_CH4'!B4</f>
        <v>14294.726532077213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1.0111535992645991E-2</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1.5340231756299999E-3</v>
      </c>
      <c r="C5" s="463" t="s">
        <v>210</v>
      </c>
      <c r="D5" s="448">
        <f>SUM(D6:D11)</f>
        <v>6.3782585055167998E-3</v>
      </c>
      <c r="E5" s="448">
        <f>SUM(E6:E11)</f>
        <v>5.3377885563895998E-3</v>
      </c>
      <c r="F5" s="461" t="s">
        <v>210</v>
      </c>
      <c r="G5" s="448">
        <f>SUM(G6:G11)</f>
        <v>3.1146138850478833</v>
      </c>
      <c r="H5" s="448">
        <f>SUM(H6:H11)</f>
        <v>0.48204874001231562</v>
      </c>
      <c r="I5" s="463" t="s">
        <v>210</v>
      </c>
      <c r="J5" s="463" t="s">
        <v>210</v>
      </c>
      <c r="K5" s="463" t="s">
        <v>210</v>
      </c>
      <c r="L5" s="463" t="s">
        <v>210</v>
      </c>
      <c r="M5" s="448">
        <f>SUM(M6:M11)</f>
        <v>0.21125844076764971</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5.5535331927000005E-4</v>
      </c>
      <c r="C6" s="449"/>
      <c r="D6" s="917">
        <f>vkm_2011_GW_PW*SUMIFS(TableVerdeelsleutelVkm[CNG],TableVerdeelsleutelVkm[Voertuigtype],"Lichte voertuigen")*SUMIFS(TableECFTransport[EnergieConsumptieFactor (PJ per km)],TableECFTransport[Index],CONCATENATE($A6,"_CNG_CNG"))</f>
        <v>1.931058085810392E-3</v>
      </c>
      <c r="E6" s="917">
        <f>vkm_2011_GW_PW*SUMIFS(TableVerdeelsleutelVkm[LPG],TableVerdeelsleutelVkm[Voertuigtype],"Lichte voertuigen")*SUMIFS(TableECFTransport[EnergieConsumptieFactor (PJ per km)],TableECFTransport[Index],CONCATENATE($A6,"_LPG_LPG"))</f>
        <v>1.5213556197863998E-3</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0.41413068917823492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0.14491823529844086</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3.3406687054579644E-2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0.51042389151706669</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1.2859222661057131E-4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2.9432636260160974E-2</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3.5381314344999995E-4</v>
      </c>
      <c r="C8" s="449"/>
      <c r="D8" s="451">
        <f>vkm_2011_NGW_PW*SUMIFS(TableVerdeelsleutelVkm[CNG],TableVerdeelsleutelVkm[Voertuigtype],"Lichte voertuigen")*SUMIFS(TableECFTransport[EnergieConsumptieFactor (PJ per km)],TableECFTransport[Index],CONCATENATE($A8,"_CNG_CNG"))</f>
        <v>2.1772593074232001E-3</v>
      </c>
      <c r="E8" s="451">
        <f>vkm_2011_NGW_PW*SUMIFS(TableVerdeelsleutelVkm[LPG],TableVerdeelsleutelVkm[Voertuigtype],"Lichte voertuigen")*SUMIFS(TableECFTransport[EnergieConsumptieFactor (PJ per km)],TableECFTransport[Index],CONCATENATE($A8,"_LPG_LPG"))</f>
        <v>1.5902091012177501E-3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0.40169332804596058</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0.15921304717063808</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3.3630103749153796E-2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0.42747533890809836</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1.0161594910589832E-4</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2.4649163667854423E-2</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6.2485671290999994E-4</v>
      </c>
      <c r="C10" s="449"/>
      <c r="D10" s="451">
        <f>vkm_2011_SW_PW*SUMIFS(TableVerdeelsleutelVkm[CNG],TableVerdeelsleutelVkm[Voertuigtype],"Lichte voertuigen")*SUMIFS(TableECFTransport[EnergieConsumptieFactor (PJ per km)],TableECFTransport[Index],CONCATENATE($A10,"_CNG_CNG"))</f>
        <v>2.2699411122832081E-3</v>
      </c>
      <c r="E10" s="451">
        <f>vkm_2011_SW_PW*SUMIFS(TableVerdeelsleutelVkm[LPG],TableVerdeelsleutelVkm[Voertuigtype],"Lichte voertuigen")*SUMIFS(TableECFTransport[EnergieConsumptieFactor (PJ per km)],TableECFTransport[Index],CONCATENATE($A10,"_LPG_LPG"))</f>
        <v>2.2262238353854499E-3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0.53831280514524571</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0.17746279860699629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4.2706309698314057E-2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0.82257783225327674</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2.244507605239445E-4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4.743354033758683E-2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426.11754878611112</v>
      </c>
      <c r="C14" s="21"/>
      <c r="D14" s="21">
        <f t="shared" ref="D14:M14" si="0">((D5)*10^9/3600)+D12</f>
        <v>1771.7384737546668</v>
      </c>
      <c r="E14" s="21">
        <f t="shared" si="0"/>
        <v>1482.7190434415556</v>
      </c>
      <c r="F14" s="21"/>
      <c r="G14" s="21">
        <f t="shared" si="0"/>
        <v>865170.52362441213</v>
      </c>
      <c r="H14" s="21">
        <f t="shared" si="0"/>
        <v>133902.42778119878</v>
      </c>
      <c r="I14" s="21"/>
      <c r="J14" s="21"/>
      <c r="K14" s="21"/>
      <c r="L14" s="21"/>
      <c r="M14" s="21">
        <f t="shared" si="0"/>
        <v>58682.900213236033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7.3816945948325857E-2</v>
      </c>
      <c r="C16" s="56">
        <f ca="1">'EF ele_warmte'!B22</f>
        <v>0.14009378426533947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31.454696066377469</v>
      </c>
      <c r="C18" s="23"/>
      <c r="D18" s="23">
        <f t="shared" ref="D18:M18" si="1">D14*D16</f>
        <v>357.89117169844269</v>
      </c>
      <c r="E18" s="23">
        <f t="shared" si="1"/>
        <v>336.57722286123317</v>
      </c>
      <c r="F18" s="23"/>
      <c r="G18" s="23">
        <f t="shared" si="1"/>
        <v>231000.52980771806</v>
      </c>
      <c r="H18" s="23">
        <f t="shared" si="1"/>
        <v>33341.704517518498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1.2862686263651375E-2</v>
      </c>
      <c r="H50" s="321">
        <f t="shared" si="2"/>
        <v>0</v>
      </c>
      <c r="I50" s="321">
        <f t="shared" si="2"/>
        <v>0</v>
      </c>
      <c r="J50" s="321">
        <f t="shared" si="2"/>
        <v>0</v>
      </c>
      <c r="K50" s="321">
        <f t="shared" si="2"/>
        <v>0</v>
      </c>
      <c r="L50" s="321">
        <f t="shared" si="2"/>
        <v>0</v>
      </c>
      <c r="M50" s="321">
        <f t="shared" si="2"/>
        <v>7.1490952571179615E-4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1.2862686263651375E-2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7.1490952571179615E-4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3572.9684065698261</v>
      </c>
      <c r="H54" s="21">
        <f t="shared" si="3"/>
        <v>0</v>
      </c>
      <c r="I54" s="21">
        <f t="shared" si="3"/>
        <v>0</v>
      </c>
      <c r="J54" s="21">
        <f t="shared" si="3"/>
        <v>0</v>
      </c>
      <c r="K54" s="21">
        <f t="shared" si="3"/>
        <v>0</v>
      </c>
      <c r="L54" s="21">
        <f t="shared" si="3"/>
        <v>0</v>
      </c>
      <c r="M54" s="21">
        <f t="shared" si="3"/>
        <v>198.58597936438781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7.3816945948325857E-2</v>
      </c>
      <c r="C56" s="56">
        <f ca="1">'EF ele_warmte'!B22</f>
        <v>0.14009378426533947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953.98256455414366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190153.97576599999</v>
      </c>
      <c r="D10" s="712">
        <f ca="1">tertiair!C16</f>
        <v>34563.471428571429</v>
      </c>
      <c r="E10" s="712">
        <f ca="1">tertiair!D16</f>
        <v>78500.905007594847</v>
      </c>
      <c r="F10" s="712">
        <f>tertiair!E16</f>
        <v>1750.4169340951685</v>
      </c>
      <c r="G10" s="712">
        <f ca="1">tertiair!F16</f>
        <v>19386.87524975379</v>
      </c>
      <c r="H10" s="712">
        <f>tertiair!G16</f>
        <v>0</v>
      </c>
      <c r="I10" s="712">
        <f>tertiair!H16</f>
        <v>0</v>
      </c>
      <c r="J10" s="712">
        <f>tertiair!I16</f>
        <v>0</v>
      </c>
      <c r="K10" s="712">
        <f>tertiair!J16</f>
        <v>0.16828158710970481</v>
      </c>
      <c r="L10" s="712">
        <f>tertiair!K16</f>
        <v>0</v>
      </c>
      <c r="M10" s="712">
        <f ca="1">tertiair!L16</f>
        <v>0</v>
      </c>
      <c r="N10" s="712">
        <f>tertiair!M16</f>
        <v>0</v>
      </c>
      <c r="O10" s="712">
        <f ca="1">tertiair!N16</f>
        <v>0</v>
      </c>
      <c r="P10" s="712">
        <f>tertiair!O16</f>
        <v>44.075346892570387</v>
      </c>
      <c r="Q10" s="713">
        <f>tertiair!P16</f>
        <v>893.16535121041511</v>
      </c>
      <c r="R10" s="715">
        <f ca="1">SUM(C10:Q10)</f>
        <v>325293.0533657053</v>
      </c>
      <c r="S10" s="67"/>
    </row>
    <row r="11" spans="1:19" s="474" customFormat="1">
      <c r="A11" s="834" t="s">
        <v>224</v>
      </c>
      <c r="B11" s="839"/>
      <c r="C11" s="712">
        <f>huishoudens!B8</f>
        <v>94396.891859979223</v>
      </c>
      <c r="D11" s="712">
        <f>huishoudens!C8</f>
        <v>0</v>
      </c>
      <c r="E11" s="712">
        <f>huishoudens!D8</f>
        <v>192833.29256619999</v>
      </c>
      <c r="F11" s="712">
        <f>huishoudens!E8</f>
        <v>7603.4566038800876</v>
      </c>
      <c r="G11" s="712">
        <f>huishoudens!F8</f>
        <v>0</v>
      </c>
      <c r="H11" s="712">
        <f>huishoudens!G8</f>
        <v>0</v>
      </c>
      <c r="I11" s="712">
        <f>huishoudens!H8</f>
        <v>0</v>
      </c>
      <c r="J11" s="712">
        <f>huishoudens!I8</f>
        <v>0</v>
      </c>
      <c r="K11" s="712">
        <f>huishoudens!J8</f>
        <v>3275.8257955828658</v>
      </c>
      <c r="L11" s="712">
        <f>huishoudens!K8</f>
        <v>0</v>
      </c>
      <c r="M11" s="712">
        <f>huishoudens!L8</f>
        <v>0</v>
      </c>
      <c r="N11" s="712">
        <f>huishoudens!M8</f>
        <v>0</v>
      </c>
      <c r="O11" s="712">
        <f>huishoudens!N8</f>
        <v>31262.743326783981</v>
      </c>
      <c r="P11" s="712">
        <f>huishoudens!O8</f>
        <v>1626.8457398973662</v>
      </c>
      <c r="Q11" s="713">
        <f>huishoudens!P8</f>
        <v>1422.0845065374783</v>
      </c>
      <c r="R11" s="715">
        <f>SUM(C11:Q11)</f>
        <v>332421.14039886097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109652.460735</v>
      </c>
      <c r="D13" s="712">
        <f>industrie!C18</f>
        <v>39728.571428571435</v>
      </c>
      <c r="E13" s="712">
        <f>industrie!D18</f>
        <v>14488.398821134288</v>
      </c>
      <c r="F13" s="712">
        <f>industrie!E18</f>
        <v>4341.5433820371663</v>
      </c>
      <c r="G13" s="712">
        <f>industrie!F18</f>
        <v>15263.417372446933</v>
      </c>
      <c r="H13" s="712">
        <f>industrie!G18</f>
        <v>0</v>
      </c>
      <c r="I13" s="712">
        <f>industrie!H18</f>
        <v>0</v>
      </c>
      <c r="J13" s="712">
        <f>industrie!I18</f>
        <v>0</v>
      </c>
      <c r="K13" s="712">
        <f>industrie!J18</f>
        <v>436.27697307244466</v>
      </c>
      <c r="L13" s="712">
        <f>industrie!K18</f>
        <v>0</v>
      </c>
      <c r="M13" s="712">
        <f>industrie!L18</f>
        <v>0</v>
      </c>
      <c r="N13" s="712">
        <f>industrie!M18</f>
        <v>0</v>
      </c>
      <c r="O13" s="712">
        <f>industrie!N18</f>
        <v>0</v>
      </c>
      <c r="P13" s="712">
        <f>industrie!O18</f>
        <v>0</v>
      </c>
      <c r="Q13" s="713">
        <f>industrie!P18</f>
        <v>0</v>
      </c>
      <c r="R13" s="715">
        <f>SUM(C13:Q13)</f>
        <v>183910.6687122623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394203.32836097921</v>
      </c>
      <c r="D16" s="748">
        <f t="shared" ref="D16:R16" ca="1" si="0">SUM(D9:D15)</f>
        <v>74292.042857142864</v>
      </c>
      <c r="E16" s="748">
        <f t="shared" ca="1" si="0"/>
        <v>285822.59639492916</v>
      </c>
      <c r="F16" s="748">
        <f t="shared" si="0"/>
        <v>13695.416920012423</v>
      </c>
      <c r="G16" s="748">
        <f t="shared" ca="1" si="0"/>
        <v>34650.292622200723</v>
      </c>
      <c r="H16" s="748">
        <f t="shared" si="0"/>
        <v>0</v>
      </c>
      <c r="I16" s="748">
        <f t="shared" si="0"/>
        <v>0</v>
      </c>
      <c r="J16" s="748">
        <f t="shared" si="0"/>
        <v>0</v>
      </c>
      <c r="K16" s="748">
        <f t="shared" si="0"/>
        <v>3712.2710502424197</v>
      </c>
      <c r="L16" s="748">
        <f t="shared" si="0"/>
        <v>0</v>
      </c>
      <c r="M16" s="748">
        <f t="shared" ca="1" si="0"/>
        <v>0</v>
      </c>
      <c r="N16" s="748">
        <f t="shared" si="0"/>
        <v>0</v>
      </c>
      <c r="O16" s="748">
        <f t="shared" ca="1" si="0"/>
        <v>31262.743326783981</v>
      </c>
      <c r="P16" s="748">
        <f t="shared" si="0"/>
        <v>1670.9210867899367</v>
      </c>
      <c r="Q16" s="748">
        <f t="shared" si="0"/>
        <v>2315.2498577478937</v>
      </c>
      <c r="R16" s="748">
        <f t="shared" ca="1" si="0"/>
        <v>841624.86247682851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3572.9684065698261</v>
      </c>
      <c r="I19" s="712">
        <f>transport!H54</f>
        <v>0</v>
      </c>
      <c r="J19" s="712">
        <f>transport!I54</f>
        <v>0</v>
      </c>
      <c r="K19" s="712">
        <f>transport!J54</f>
        <v>0</v>
      </c>
      <c r="L19" s="712">
        <f>transport!K54</f>
        <v>0</v>
      </c>
      <c r="M19" s="712">
        <f>transport!L54</f>
        <v>0</v>
      </c>
      <c r="N19" s="712">
        <f>transport!M54</f>
        <v>198.58597936438781</v>
      </c>
      <c r="O19" s="712">
        <f>transport!N54</f>
        <v>0</v>
      </c>
      <c r="P19" s="712">
        <f>transport!O54</f>
        <v>0</v>
      </c>
      <c r="Q19" s="713">
        <f>transport!P54</f>
        <v>0</v>
      </c>
      <c r="R19" s="715">
        <f>SUM(C19:Q19)</f>
        <v>3771.5543859342138</v>
      </c>
      <c r="S19" s="67"/>
    </row>
    <row r="20" spans="1:19" s="474" customFormat="1">
      <c r="A20" s="834" t="s">
        <v>306</v>
      </c>
      <c r="B20" s="839"/>
      <c r="C20" s="712">
        <f>transport!B14</f>
        <v>426.11754878611112</v>
      </c>
      <c r="D20" s="712">
        <f>transport!C14</f>
        <v>0</v>
      </c>
      <c r="E20" s="712">
        <f>transport!D14</f>
        <v>1771.7384737546668</v>
      </c>
      <c r="F20" s="712">
        <f>transport!E14</f>
        <v>1482.7190434415556</v>
      </c>
      <c r="G20" s="712">
        <f>transport!F14</f>
        <v>0</v>
      </c>
      <c r="H20" s="712">
        <f>transport!G14</f>
        <v>865170.52362441213</v>
      </c>
      <c r="I20" s="712">
        <f>transport!H14</f>
        <v>133902.42778119878</v>
      </c>
      <c r="J20" s="712">
        <f>transport!I14</f>
        <v>0</v>
      </c>
      <c r="K20" s="712">
        <f>transport!J14</f>
        <v>0</v>
      </c>
      <c r="L20" s="712">
        <f>transport!K14</f>
        <v>0</v>
      </c>
      <c r="M20" s="712">
        <f>transport!L14</f>
        <v>0</v>
      </c>
      <c r="N20" s="712">
        <f>transport!M14</f>
        <v>58682.900213236033</v>
      </c>
      <c r="O20" s="712">
        <f>transport!N14</f>
        <v>0</v>
      </c>
      <c r="P20" s="712">
        <f>transport!O14</f>
        <v>0</v>
      </c>
      <c r="Q20" s="713">
        <f>transport!P14</f>
        <v>0</v>
      </c>
      <c r="R20" s="715">
        <f>SUM(C20:Q20)</f>
        <v>1061436.4266848292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426.11754878611112</v>
      </c>
      <c r="D22" s="837">
        <f t="shared" ref="D22:R22" si="1">SUM(D18:D21)</f>
        <v>0</v>
      </c>
      <c r="E22" s="837">
        <f t="shared" si="1"/>
        <v>1771.7384737546668</v>
      </c>
      <c r="F22" s="837">
        <f t="shared" si="1"/>
        <v>1482.7190434415556</v>
      </c>
      <c r="G22" s="837">
        <f t="shared" si="1"/>
        <v>0</v>
      </c>
      <c r="H22" s="837">
        <f t="shared" si="1"/>
        <v>868743.49203098193</v>
      </c>
      <c r="I22" s="837">
        <f t="shared" si="1"/>
        <v>133902.42778119878</v>
      </c>
      <c r="J22" s="837">
        <f t="shared" si="1"/>
        <v>0</v>
      </c>
      <c r="K22" s="837">
        <f t="shared" si="1"/>
        <v>0</v>
      </c>
      <c r="L22" s="837">
        <f t="shared" si="1"/>
        <v>0</v>
      </c>
      <c r="M22" s="837">
        <f t="shared" si="1"/>
        <v>0</v>
      </c>
      <c r="N22" s="837">
        <f t="shared" si="1"/>
        <v>58881.486192600423</v>
      </c>
      <c r="O22" s="837">
        <f t="shared" si="1"/>
        <v>0</v>
      </c>
      <c r="P22" s="837">
        <f t="shared" si="1"/>
        <v>0</v>
      </c>
      <c r="Q22" s="837">
        <f t="shared" si="1"/>
        <v>0</v>
      </c>
      <c r="R22" s="837">
        <f t="shared" si="1"/>
        <v>1065207.9810707634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10506.020553000002</v>
      </c>
      <c r="D24" s="712">
        <f>+landbouw!C8</f>
        <v>107856.64285714288</v>
      </c>
      <c r="E24" s="712">
        <f>+landbouw!D8</f>
        <v>0</v>
      </c>
      <c r="F24" s="712">
        <f>+landbouw!E8</f>
        <v>327.88943700095462</v>
      </c>
      <c r="G24" s="712">
        <f>+landbouw!F8</f>
        <v>37129.440459863516</v>
      </c>
      <c r="H24" s="712">
        <f>+landbouw!G8</f>
        <v>0</v>
      </c>
      <c r="I24" s="712">
        <f>+landbouw!H8</f>
        <v>0</v>
      </c>
      <c r="J24" s="712">
        <f>+landbouw!I8</f>
        <v>0</v>
      </c>
      <c r="K24" s="712">
        <f>+landbouw!J8</f>
        <v>2894.4815209655076</v>
      </c>
      <c r="L24" s="712">
        <f>+landbouw!K8</f>
        <v>0</v>
      </c>
      <c r="M24" s="712">
        <f>+landbouw!L8</f>
        <v>0</v>
      </c>
      <c r="N24" s="712">
        <f>+landbouw!M8</f>
        <v>0</v>
      </c>
      <c r="O24" s="712">
        <f>+landbouw!N8</f>
        <v>0</v>
      </c>
      <c r="P24" s="712">
        <f>+landbouw!O8</f>
        <v>0</v>
      </c>
      <c r="Q24" s="713">
        <f>+landbouw!P8</f>
        <v>0</v>
      </c>
      <c r="R24" s="715">
        <f>SUM(C24:Q24)</f>
        <v>158714.47482797288</v>
      </c>
      <c r="S24" s="67"/>
    </row>
    <row r="25" spans="1:19" s="474" customFormat="1" ht="15" thickBot="1">
      <c r="A25" s="856" t="s">
        <v>734</v>
      </c>
      <c r="B25" s="982"/>
      <c r="C25" s="983">
        <f>IF(Onbekend_ele_kWh="---",0,Onbekend_ele_kWh)/1000+IF(REST_rest_ele_kWh="---",0,REST_rest_ele_kWh)/1000</f>
        <v>7540.5833510000002</v>
      </c>
      <c r="D25" s="983"/>
      <c r="E25" s="983">
        <f>IF(onbekend_gas_kWh="---",0,onbekend_gas_kWh)/1000+IF(REST_rest_gas_kWh="---",0,REST_rest_gas_kWh)/1000</f>
        <v>5378.9731190000002</v>
      </c>
      <c r="F25" s="983"/>
      <c r="G25" s="983"/>
      <c r="H25" s="983"/>
      <c r="I25" s="983"/>
      <c r="J25" s="983"/>
      <c r="K25" s="983"/>
      <c r="L25" s="983"/>
      <c r="M25" s="983"/>
      <c r="N25" s="983"/>
      <c r="O25" s="983"/>
      <c r="P25" s="983"/>
      <c r="Q25" s="984"/>
      <c r="R25" s="715">
        <f>SUM(C25:Q25)</f>
        <v>12919.55647</v>
      </c>
      <c r="S25" s="67"/>
    </row>
    <row r="26" spans="1:19" s="474" customFormat="1" ht="15.75" thickBot="1">
      <c r="A26" s="720" t="s">
        <v>735</v>
      </c>
      <c r="B26" s="842"/>
      <c r="C26" s="837">
        <f>SUM(C24:C25)</f>
        <v>18046.603904000003</v>
      </c>
      <c r="D26" s="837">
        <f t="shared" ref="D26:R26" si="2">SUM(D24:D25)</f>
        <v>107856.64285714288</v>
      </c>
      <c r="E26" s="837">
        <f t="shared" si="2"/>
        <v>5378.9731190000002</v>
      </c>
      <c r="F26" s="837">
        <f t="shared" si="2"/>
        <v>327.88943700095462</v>
      </c>
      <c r="G26" s="837">
        <f t="shared" si="2"/>
        <v>37129.440459863516</v>
      </c>
      <c r="H26" s="837">
        <f t="shared" si="2"/>
        <v>0</v>
      </c>
      <c r="I26" s="837">
        <f t="shared" si="2"/>
        <v>0</v>
      </c>
      <c r="J26" s="837">
        <f t="shared" si="2"/>
        <v>0</v>
      </c>
      <c r="K26" s="837">
        <f t="shared" si="2"/>
        <v>2894.4815209655076</v>
      </c>
      <c r="L26" s="837">
        <f t="shared" si="2"/>
        <v>0</v>
      </c>
      <c r="M26" s="837">
        <f t="shared" si="2"/>
        <v>0</v>
      </c>
      <c r="N26" s="837">
        <f t="shared" si="2"/>
        <v>0</v>
      </c>
      <c r="O26" s="837">
        <f t="shared" si="2"/>
        <v>0</v>
      </c>
      <c r="P26" s="837">
        <f t="shared" si="2"/>
        <v>0</v>
      </c>
      <c r="Q26" s="837">
        <f t="shared" si="2"/>
        <v>0</v>
      </c>
      <c r="R26" s="837">
        <f t="shared" si="2"/>
        <v>171634.03129797289</v>
      </c>
      <c r="S26" s="67"/>
    </row>
    <row r="27" spans="1:19" s="474" customFormat="1" ht="17.25" thickTop="1" thickBot="1">
      <c r="A27" s="721" t="s">
        <v>115</v>
      </c>
      <c r="B27" s="829"/>
      <c r="C27" s="722">
        <f ca="1">C22+C16+C26</f>
        <v>412676.04981376533</v>
      </c>
      <c r="D27" s="722">
        <f t="shared" ref="D27:R27" ca="1" si="3">D22+D16+D26</f>
        <v>182148.68571428576</v>
      </c>
      <c r="E27" s="722">
        <f t="shared" ca="1" si="3"/>
        <v>292973.3079876838</v>
      </c>
      <c r="F27" s="722">
        <f t="shared" si="3"/>
        <v>15506.025400454933</v>
      </c>
      <c r="G27" s="722">
        <f t="shared" ca="1" si="3"/>
        <v>71779.733082064238</v>
      </c>
      <c r="H27" s="722">
        <f t="shared" si="3"/>
        <v>868743.49203098193</v>
      </c>
      <c r="I27" s="722">
        <f t="shared" si="3"/>
        <v>133902.42778119878</v>
      </c>
      <c r="J27" s="722">
        <f t="shared" si="3"/>
        <v>0</v>
      </c>
      <c r="K27" s="722">
        <f t="shared" si="3"/>
        <v>6606.7525712079278</v>
      </c>
      <c r="L27" s="722">
        <f t="shared" si="3"/>
        <v>0</v>
      </c>
      <c r="M27" s="722">
        <f t="shared" ca="1" si="3"/>
        <v>0</v>
      </c>
      <c r="N27" s="722">
        <f t="shared" si="3"/>
        <v>58881.486192600423</v>
      </c>
      <c r="O27" s="722">
        <f t="shared" ca="1" si="3"/>
        <v>31262.743326783981</v>
      </c>
      <c r="P27" s="722">
        <f t="shared" si="3"/>
        <v>1670.9210867899367</v>
      </c>
      <c r="Q27" s="722">
        <f t="shared" si="3"/>
        <v>2315.2498577478937</v>
      </c>
      <c r="R27" s="722">
        <f t="shared" ca="1" si="3"/>
        <v>2078466.8748455648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14036.585750978087</v>
      </c>
      <c r="D40" s="712">
        <f ca="1">tertiair!C20</f>
        <v>4842.1275097755106</v>
      </c>
      <c r="E40" s="712">
        <f ca="1">tertiair!D20</f>
        <v>15857.18281153416</v>
      </c>
      <c r="F40" s="712">
        <f>tertiair!E20</f>
        <v>397.34464403960328</v>
      </c>
      <c r="G40" s="712">
        <f ca="1">tertiair!F20</f>
        <v>5176.2956916842622</v>
      </c>
      <c r="H40" s="712">
        <f>tertiair!G20</f>
        <v>0</v>
      </c>
      <c r="I40" s="712">
        <f>tertiair!H20</f>
        <v>0</v>
      </c>
      <c r="J40" s="712">
        <f>tertiair!I20</f>
        <v>0</v>
      </c>
      <c r="K40" s="712">
        <f>tertiair!J20</f>
        <v>5.9571681836835498E-2</v>
      </c>
      <c r="L40" s="712">
        <f>tertiair!K20</f>
        <v>0</v>
      </c>
      <c r="M40" s="712">
        <f ca="1">tertiair!L20</f>
        <v>0</v>
      </c>
      <c r="N40" s="712">
        <f>tertiair!M20</f>
        <v>0</v>
      </c>
      <c r="O40" s="712">
        <f ca="1">tertiair!N20</f>
        <v>0</v>
      </c>
      <c r="P40" s="712">
        <f>tertiair!O20</f>
        <v>0</v>
      </c>
      <c r="Q40" s="795">
        <f>tertiair!P20</f>
        <v>0</v>
      </c>
      <c r="R40" s="875">
        <f t="shared" ca="1" si="4"/>
        <v>40309.595979693448</v>
      </c>
    </row>
    <row r="41" spans="1:18">
      <c r="A41" s="847" t="s">
        <v>224</v>
      </c>
      <c r="B41" s="854"/>
      <c r="C41" s="712">
        <f ca="1">huishoudens!B12</f>
        <v>6968.0902641180473</v>
      </c>
      <c r="D41" s="712">
        <f ca="1">huishoudens!C12</f>
        <v>0</v>
      </c>
      <c r="E41" s="712">
        <f>huishoudens!D12</f>
        <v>38952.325098372399</v>
      </c>
      <c r="F41" s="712">
        <f>huishoudens!E12</f>
        <v>1725.9846490807799</v>
      </c>
      <c r="G41" s="712">
        <f>huishoudens!F12</f>
        <v>0</v>
      </c>
      <c r="H41" s="712">
        <f>huishoudens!G12</f>
        <v>0</v>
      </c>
      <c r="I41" s="712">
        <f>huishoudens!H12</f>
        <v>0</v>
      </c>
      <c r="J41" s="712">
        <f>huishoudens!I12</f>
        <v>0</v>
      </c>
      <c r="K41" s="712">
        <f>huishoudens!J12</f>
        <v>1159.6423316363343</v>
      </c>
      <c r="L41" s="712">
        <f>huishoudens!K12</f>
        <v>0</v>
      </c>
      <c r="M41" s="712">
        <f>huishoudens!L12</f>
        <v>0</v>
      </c>
      <c r="N41" s="712">
        <f>huishoudens!M12</f>
        <v>0</v>
      </c>
      <c r="O41" s="712">
        <f>huishoudens!N12</f>
        <v>0</v>
      </c>
      <c r="P41" s="712">
        <f>huishoudens!O12</f>
        <v>0</v>
      </c>
      <c r="Q41" s="795">
        <f>huishoudens!P12</f>
        <v>0</v>
      </c>
      <c r="R41" s="875">
        <f t="shared" ca="1" si="4"/>
        <v>48806.042343207562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8094.2097671764186</v>
      </c>
      <c r="D43" s="712">
        <f ca="1">industrie!C22</f>
        <v>5565.7259148844159</v>
      </c>
      <c r="E43" s="712">
        <f>industrie!D22</f>
        <v>2926.6565618691261</v>
      </c>
      <c r="F43" s="712">
        <f>industrie!E22</f>
        <v>985.53034772243677</v>
      </c>
      <c r="G43" s="712">
        <f>industrie!F22</f>
        <v>4075.3324384433313</v>
      </c>
      <c r="H43" s="712">
        <f>industrie!G22</f>
        <v>0</v>
      </c>
      <c r="I43" s="712">
        <f>industrie!H22</f>
        <v>0</v>
      </c>
      <c r="J43" s="712">
        <f>industrie!I22</f>
        <v>0</v>
      </c>
      <c r="K43" s="712">
        <f>industrie!J22</f>
        <v>154.44204846764541</v>
      </c>
      <c r="L43" s="712">
        <f>industrie!K22</f>
        <v>0</v>
      </c>
      <c r="M43" s="712">
        <f>industrie!L22</f>
        <v>0</v>
      </c>
      <c r="N43" s="712">
        <f>industrie!M22</f>
        <v>0</v>
      </c>
      <c r="O43" s="712">
        <f>industrie!N22</f>
        <v>0</v>
      </c>
      <c r="P43" s="712">
        <f>industrie!O22</f>
        <v>0</v>
      </c>
      <c r="Q43" s="795">
        <f>industrie!P22</f>
        <v>0</v>
      </c>
      <c r="R43" s="874">
        <f t="shared" ca="1" si="4"/>
        <v>21801.897078563376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29098.885782272555</v>
      </c>
      <c r="D46" s="748">
        <f t="shared" ref="D46:Q46" ca="1" si="5">SUM(D39:D45)</f>
        <v>10407.853424659927</v>
      </c>
      <c r="E46" s="748">
        <f t="shared" ca="1" si="5"/>
        <v>57736.164471775686</v>
      </c>
      <c r="F46" s="748">
        <f t="shared" si="5"/>
        <v>3108.8596408428202</v>
      </c>
      <c r="G46" s="748">
        <f t="shared" ca="1" si="5"/>
        <v>9251.628130127594</v>
      </c>
      <c r="H46" s="748">
        <f t="shared" si="5"/>
        <v>0</v>
      </c>
      <c r="I46" s="748">
        <f t="shared" si="5"/>
        <v>0</v>
      </c>
      <c r="J46" s="748">
        <f t="shared" si="5"/>
        <v>0</v>
      </c>
      <c r="K46" s="748">
        <f t="shared" si="5"/>
        <v>1314.1439517858166</v>
      </c>
      <c r="L46" s="748">
        <f t="shared" si="5"/>
        <v>0</v>
      </c>
      <c r="M46" s="748">
        <f t="shared" ca="1" si="5"/>
        <v>0</v>
      </c>
      <c r="N46" s="748">
        <f t="shared" si="5"/>
        <v>0</v>
      </c>
      <c r="O46" s="748">
        <f t="shared" ca="1" si="5"/>
        <v>0</v>
      </c>
      <c r="P46" s="748">
        <f t="shared" si="5"/>
        <v>0</v>
      </c>
      <c r="Q46" s="748">
        <f t="shared" si="5"/>
        <v>0</v>
      </c>
      <c r="R46" s="748">
        <f ca="1">SUM(R39:R45)</f>
        <v>110917.53540146438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953.98256455414366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953.98256455414366</v>
      </c>
    </row>
    <row r="50" spans="1:18">
      <c r="A50" s="850" t="s">
        <v>306</v>
      </c>
      <c r="B50" s="860"/>
      <c r="C50" s="718">
        <f ca="1">transport!B18</f>
        <v>31.454696066377469</v>
      </c>
      <c r="D50" s="718">
        <f>transport!C18</f>
        <v>0</v>
      </c>
      <c r="E50" s="718">
        <f>transport!D18</f>
        <v>357.89117169844269</v>
      </c>
      <c r="F50" s="718">
        <f>transport!E18</f>
        <v>336.57722286123317</v>
      </c>
      <c r="G50" s="718">
        <f>transport!F18</f>
        <v>0</v>
      </c>
      <c r="H50" s="718">
        <f>transport!G18</f>
        <v>231000.52980771806</v>
      </c>
      <c r="I50" s="718">
        <f>transport!H18</f>
        <v>33341.704517518498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265068.1574158626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31.454696066377469</v>
      </c>
      <c r="D52" s="748">
        <f t="shared" ref="D52:Q52" ca="1" si="6">SUM(D48:D51)</f>
        <v>0</v>
      </c>
      <c r="E52" s="748">
        <f t="shared" si="6"/>
        <v>357.89117169844269</v>
      </c>
      <c r="F52" s="748">
        <f t="shared" si="6"/>
        <v>336.57722286123317</v>
      </c>
      <c r="G52" s="748">
        <f t="shared" si="6"/>
        <v>0</v>
      </c>
      <c r="H52" s="748">
        <f t="shared" si="6"/>
        <v>231954.51237227221</v>
      </c>
      <c r="I52" s="748">
        <f t="shared" si="6"/>
        <v>33341.704517518498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266022.13998041674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775.52235129280166</v>
      </c>
      <c r="D54" s="718">
        <f ca="1">+landbouw!C12</f>
        <v>15110.045256012343</v>
      </c>
      <c r="E54" s="718">
        <f>+landbouw!D12</f>
        <v>0</v>
      </c>
      <c r="F54" s="718">
        <f>+landbouw!E12</f>
        <v>74.430902199216703</v>
      </c>
      <c r="G54" s="718">
        <f>+landbouw!F12</f>
        <v>9913.5606027835584</v>
      </c>
      <c r="H54" s="718">
        <f>+landbouw!G12</f>
        <v>0</v>
      </c>
      <c r="I54" s="718">
        <f>+landbouw!H12</f>
        <v>0</v>
      </c>
      <c r="J54" s="718">
        <f>+landbouw!I12</f>
        <v>0</v>
      </c>
      <c r="K54" s="718">
        <f>+landbouw!J12</f>
        <v>1024.6464584217897</v>
      </c>
      <c r="L54" s="718">
        <f>+landbouw!K12</f>
        <v>0</v>
      </c>
      <c r="M54" s="718">
        <f>+landbouw!L12</f>
        <v>0</v>
      </c>
      <c r="N54" s="718">
        <f>+landbouw!M12</f>
        <v>0</v>
      </c>
      <c r="O54" s="718">
        <f>+landbouw!N12</f>
        <v>0</v>
      </c>
      <c r="P54" s="718">
        <f>+landbouw!O12</f>
        <v>0</v>
      </c>
      <c r="Q54" s="719">
        <f>+landbouw!P12</f>
        <v>0</v>
      </c>
      <c r="R54" s="747">
        <f ca="1">SUM(C54:Q54)</f>
        <v>26898.20557070971</v>
      </c>
    </row>
    <row r="55" spans="1:18" ht="15" thickBot="1">
      <c r="A55" s="850" t="s">
        <v>734</v>
      </c>
      <c r="B55" s="860"/>
      <c r="C55" s="718">
        <f ca="1">C25*'EF ele_warmte'!B12</f>
        <v>556.62283363961285</v>
      </c>
      <c r="D55" s="718"/>
      <c r="E55" s="718">
        <f>E25*EF_CO2_aardgas</f>
        <v>1086.5525700380001</v>
      </c>
      <c r="F55" s="718"/>
      <c r="G55" s="718"/>
      <c r="H55" s="718"/>
      <c r="I55" s="718"/>
      <c r="J55" s="718"/>
      <c r="K55" s="718"/>
      <c r="L55" s="718"/>
      <c r="M55" s="718"/>
      <c r="N55" s="718"/>
      <c r="O55" s="718"/>
      <c r="P55" s="718"/>
      <c r="Q55" s="719"/>
      <c r="R55" s="747">
        <f ca="1">SUM(C55:Q55)</f>
        <v>1643.1754036776128</v>
      </c>
    </row>
    <row r="56" spans="1:18" ht="15.75" thickBot="1">
      <c r="A56" s="848" t="s">
        <v>735</v>
      </c>
      <c r="B56" s="861"/>
      <c r="C56" s="748">
        <f ca="1">SUM(C54:C55)</f>
        <v>1332.1451849324144</v>
      </c>
      <c r="D56" s="748">
        <f t="shared" ref="D56:Q56" ca="1" si="7">SUM(D54:D55)</f>
        <v>15110.045256012343</v>
      </c>
      <c r="E56" s="748">
        <f t="shared" si="7"/>
        <v>1086.5525700380001</v>
      </c>
      <c r="F56" s="748">
        <f t="shared" si="7"/>
        <v>74.430902199216703</v>
      </c>
      <c r="G56" s="748">
        <f t="shared" si="7"/>
        <v>9913.5606027835584</v>
      </c>
      <c r="H56" s="748">
        <f t="shared" si="7"/>
        <v>0</v>
      </c>
      <c r="I56" s="748">
        <f t="shared" si="7"/>
        <v>0</v>
      </c>
      <c r="J56" s="748">
        <f t="shared" si="7"/>
        <v>0</v>
      </c>
      <c r="K56" s="748">
        <f t="shared" si="7"/>
        <v>1024.6464584217897</v>
      </c>
      <c r="L56" s="748">
        <f t="shared" si="7"/>
        <v>0</v>
      </c>
      <c r="M56" s="748">
        <f t="shared" si="7"/>
        <v>0</v>
      </c>
      <c r="N56" s="748">
        <f t="shared" si="7"/>
        <v>0</v>
      </c>
      <c r="O56" s="748">
        <f t="shared" si="7"/>
        <v>0</v>
      </c>
      <c r="P56" s="748">
        <f t="shared" si="7"/>
        <v>0</v>
      </c>
      <c r="Q56" s="749">
        <f t="shared" si="7"/>
        <v>0</v>
      </c>
      <c r="R56" s="750">
        <f ca="1">SUM(R54:R55)</f>
        <v>28541.380974387321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30462.485663271349</v>
      </c>
      <c r="D61" s="756">
        <f t="shared" ref="D61:Q61" ca="1" si="8">D46+D52+D56</f>
        <v>25517.898680672268</v>
      </c>
      <c r="E61" s="756">
        <f t="shared" ca="1" si="8"/>
        <v>59180.608213512132</v>
      </c>
      <c r="F61" s="756">
        <f t="shared" si="8"/>
        <v>3519.8677659032701</v>
      </c>
      <c r="G61" s="756">
        <f t="shared" ca="1" si="8"/>
        <v>19165.188732911152</v>
      </c>
      <c r="H61" s="756">
        <f t="shared" si="8"/>
        <v>231954.51237227221</v>
      </c>
      <c r="I61" s="756">
        <f t="shared" si="8"/>
        <v>33341.704517518498</v>
      </c>
      <c r="J61" s="756">
        <f t="shared" si="8"/>
        <v>0</v>
      </c>
      <c r="K61" s="756">
        <f t="shared" si="8"/>
        <v>2338.7904102076063</v>
      </c>
      <c r="L61" s="756">
        <f t="shared" si="8"/>
        <v>0</v>
      </c>
      <c r="M61" s="756">
        <f t="shared" ca="1" si="8"/>
        <v>0</v>
      </c>
      <c r="N61" s="756">
        <f t="shared" si="8"/>
        <v>0</v>
      </c>
      <c r="O61" s="756">
        <f t="shared" ca="1" si="8"/>
        <v>0</v>
      </c>
      <c r="P61" s="756">
        <f t="shared" si="8"/>
        <v>0</v>
      </c>
      <c r="Q61" s="756">
        <f t="shared" si="8"/>
        <v>0</v>
      </c>
      <c r="R61" s="756">
        <f ca="1">R46+R52+R56</f>
        <v>405481.05635626847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7.3816945948325871E-2</v>
      </c>
      <c r="D63" s="802">
        <f t="shared" ca="1" si="9"/>
        <v>0.14009378426533944</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182065.59810098994</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46092.993491957524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45864.515012879099</v>
      </c>
      <c r="C76" s="769">
        <f>'lokale energieproductie'!B8*IFERROR(SUM(D76:H76)/SUM(D76:O76),0)</f>
        <v>81639.564987120888</v>
      </c>
      <c r="D76" s="991">
        <f>'lokale energieproductie'!C8</f>
        <v>88428.361764705871</v>
      </c>
      <c r="E76" s="992">
        <f>'lokale energieproductie'!D8</f>
        <v>0</v>
      </c>
      <c r="F76" s="992">
        <f>'lokale energieproductie'!E8</f>
        <v>0</v>
      </c>
      <c r="G76" s="992">
        <f>'lokale energieproductie'!F8</f>
        <v>0</v>
      </c>
      <c r="H76" s="992">
        <f>'lokale energieproductie'!G8</f>
        <v>0</v>
      </c>
      <c r="I76" s="992">
        <f>'lokale energieproductie'!I8</f>
        <v>0</v>
      </c>
      <c r="J76" s="992">
        <f>'lokale energieproductie'!J8</f>
        <v>49678.411764705881</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17862.529076470586</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274023.10660582653</v>
      </c>
      <c r="C78" s="774">
        <f>SUM(C72:C77)</f>
        <v>81639.564987120888</v>
      </c>
      <c r="D78" s="775">
        <f t="shared" ref="D78:H78" si="10">SUM(D76:D77)</f>
        <v>88428.361764705871</v>
      </c>
      <c r="E78" s="775">
        <f t="shared" si="10"/>
        <v>0</v>
      </c>
      <c r="F78" s="775">
        <f t="shared" si="10"/>
        <v>0</v>
      </c>
      <c r="G78" s="775">
        <f t="shared" si="10"/>
        <v>0</v>
      </c>
      <c r="H78" s="775">
        <f t="shared" si="10"/>
        <v>0</v>
      </c>
      <c r="I78" s="775">
        <f>SUM(I76:I77)</f>
        <v>0</v>
      </c>
      <c r="J78" s="775">
        <f>SUM(J76:J77)</f>
        <v>49678.411764705881</v>
      </c>
      <c r="K78" s="775">
        <f t="shared" ref="K78:L78" si="11">SUM(K76:K77)</f>
        <v>0</v>
      </c>
      <c r="L78" s="775">
        <f t="shared" si="11"/>
        <v>0</v>
      </c>
      <c r="M78" s="775">
        <f>SUM(M76:M77)</f>
        <v>0</v>
      </c>
      <c r="N78" s="775">
        <f>SUM(N76:N77)</f>
        <v>0</v>
      </c>
      <c r="O78" s="885">
        <f>SUM(O76:O77)</f>
        <v>0</v>
      </c>
      <c r="P78" s="776">
        <v>0</v>
      </c>
      <c r="Q78" s="776">
        <f>SUM(Q76:Q77)</f>
        <v>17862.529076470586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65520.735732684443</v>
      </c>
      <c r="C87" s="787">
        <f>'lokale energieproductie'!B17*IFERROR(SUM(D87:H87)/SUM(D87:O87),0)</f>
        <v>116627.9499816013</v>
      </c>
      <c r="D87" s="798">
        <f>'lokale energieproductie'!C17</f>
        <v>126326.23109243698</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70969.159663865561</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25517.898680672271</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65520.735732684443</v>
      </c>
      <c r="C90" s="774">
        <f>SUM(C87:C89)</f>
        <v>116627.9499816013</v>
      </c>
      <c r="D90" s="774">
        <f t="shared" ref="D90:H90" si="12">SUM(D87:D89)</f>
        <v>126326.23109243698</v>
      </c>
      <c r="E90" s="774">
        <f t="shared" si="12"/>
        <v>0</v>
      </c>
      <c r="F90" s="774">
        <f t="shared" si="12"/>
        <v>0</v>
      </c>
      <c r="G90" s="774">
        <f t="shared" si="12"/>
        <v>0</v>
      </c>
      <c r="H90" s="774">
        <f t="shared" si="12"/>
        <v>0</v>
      </c>
      <c r="I90" s="774">
        <f>SUM(I87:I89)</f>
        <v>0</v>
      </c>
      <c r="J90" s="774">
        <f>SUM(J87:J89)</f>
        <v>70969.159663865561</v>
      </c>
      <c r="K90" s="774">
        <f t="shared" ref="K90:L90" si="13">SUM(K87:K89)</f>
        <v>0</v>
      </c>
      <c r="L90" s="774">
        <f t="shared" si="13"/>
        <v>0</v>
      </c>
      <c r="M90" s="774">
        <f>SUM(M87:M89)</f>
        <v>0</v>
      </c>
      <c r="N90" s="774">
        <f>SUM(N87:N89)</f>
        <v>0</v>
      </c>
      <c r="O90" s="774">
        <f>SUM(O87:O89)</f>
        <v>0</v>
      </c>
      <c r="P90" s="774">
        <v>0</v>
      </c>
      <c r="Q90" s="774">
        <f>SUM(Q87:Q89)</f>
        <v>25517.898680672271</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182065.59810098994</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46092.993491957524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127504.07999999999</v>
      </c>
      <c r="C8" s="574">
        <f>B101</f>
        <v>88428.361764705871</v>
      </c>
      <c r="D8" s="575"/>
      <c r="E8" s="575">
        <f>E101</f>
        <v>0</v>
      </c>
      <c r="F8" s="576"/>
      <c r="G8" s="577"/>
      <c r="H8" s="575">
        <f>I101</f>
        <v>0</v>
      </c>
      <c r="I8" s="575">
        <f>G101+F101</f>
        <v>0</v>
      </c>
      <c r="J8" s="575">
        <f>H101+D101+C101</f>
        <v>49678.411764705881</v>
      </c>
      <c r="K8" s="575"/>
      <c r="L8" s="575"/>
      <c r="M8" s="575"/>
      <c r="N8" s="578"/>
      <c r="O8" s="579">
        <f>C8*$C$12+D8*$D$12+E8*$E$12+F8*$F$12+G8*$G$12+H8*$H$12+I8*$I$12+J8*$J$12</f>
        <v>17862.529076470586</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355662.67159294744</v>
      </c>
      <c r="C10" s="589">
        <f t="shared" ref="C10:L10" si="0">SUM(C8:C9)</f>
        <v>88428.361764705871</v>
      </c>
      <c r="D10" s="589">
        <f t="shared" si="0"/>
        <v>0</v>
      </c>
      <c r="E10" s="589">
        <f t="shared" si="0"/>
        <v>0</v>
      </c>
      <c r="F10" s="589">
        <f t="shared" si="0"/>
        <v>0</v>
      </c>
      <c r="G10" s="589">
        <f t="shared" si="0"/>
        <v>0</v>
      </c>
      <c r="H10" s="589">
        <f t="shared" si="0"/>
        <v>0</v>
      </c>
      <c r="I10" s="589">
        <f t="shared" si="0"/>
        <v>0</v>
      </c>
      <c r="J10" s="589">
        <f t="shared" si="0"/>
        <v>49678.411764705881</v>
      </c>
      <c r="K10" s="589">
        <f t="shared" si="0"/>
        <v>0</v>
      </c>
      <c r="L10" s="589">
        <f t="shared" si="0"/>
        <v>0</v>
      </c>
      <c r="M10" s="1004"/>
      <c r="N10" s="1004"/>
      <c r="O10" s="590">
        <f>SUM(O4:O9)</f>
        <v>17862.529076470586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182148.68571428573</v>
      </c>
      <c r="C17" s="605">
        <f>B102</f>
        <v>126326.23109243698</v>
      </c>
      <c r="D17" s="606"/>
      <c r="E17" s="606">
        <f>E102</f>
        <v>0</v>
      </c>
      <c r="F17" s="607"/>
      <c r="G17" s="608"/>
      <c r="H17" s="605">
        <f>I102</f>
        <v>0</v>
      </c>
      <c r="I17" s="606">
        <f>G102+F102</f>
        <v>0</v>
      </c>
      <c r="J17" s="606">
        <f>H102+D102+C102</f>
        <v>70969.159663865561</v>
      </c>
      <c r="K17" s="606"/>
      <c r="L17" s="606"/>
      <c r="M17" s="606"/>
      <c r="N17" s="1005"/>
      <c r="O17" s="609">
        <f>C17*$C$22+E17*$E$22+H17*$H$22+I17*$I$22+J17*$J$22+D17*$D$22+F17*$F$22+G17*$G$22+K17*$K$22+L17*$L$22</f>
        <v>25517.898680672271</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182148.68571428573</v>
      </c>
      <c r="C20" s="588">
        <f>SUM(C17:C19)</f>
        <v>126326.23109243698</v>
      </c>
      <c r="D20" s="588">
        <f t="shared" ref="D20:L20" si="1">SUM(D17:D19)</f>
        <v>0</v>
      </c>
      <c r="E20" s="588">
        <f t="shared" si="1"/>
        <v>0</v>
      </c>
      <c r="F20" s="588">
        <f t="shared" si="1"/>
        <v>0</v>
      </c>
      <c r="G20" s="588">
        <f t="shared" si="1"/>
        <v>0</v>
      </c>
      <c r="H20" s="588">
        <f t="shared" si="1"/>
        <v>0</v>
      </c>
      <c r="I20" s="588">
        <f t="shared" si="1"/>
        <v>0</v>
      </c>
      <c r="J20" s="588">
        <f t="shared" si="1"/>
        <v>70969.159663865561</v>
      </c>
      <c r="K20" s="588">
        <f t="shared" si="1"/>
        <v>0</v>
      </c>
      <c r="L20" s="588">
        <f t="shared" si="1"/>
        <v>0</v>
      </c>
      <c r="M20" s="588"/>
      <c r="N20" s="588"/>
      <c r="O20" s="614">
        <f>SUM(O17:O19)</f>
        <v>25517.898680672271</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46003</v>
      </c>
      <c r="C28" s="817">
        <v>9120</v>
      </c>
      <c r="D28" s="666" t="s">
        <v>886</v>
      </c>
      <c r="E28" s="665" t="s">
        <v>887</v>
      </c>
      <c r="F28" s="665" t="s">
        <v>888</v>
      </c>
      <c r="G28" s="665" t="s">
        <v>889</v>
      </c>
      <c r="H28" s="665" t="s">
        <v>890</v>
      </c>
      <c r="I28" s="665" t="s">
        <v>887</v>
      </c>
      <c r="J28" s="816">
        <v>39377</v>
      </c>
      <c r="K28" s="816">
        <v>39380</v>
      </c>
      <c r="L28" s="665" t="s">
        <v>891</v>
      </c>
      <c r="M28" s="665">
        <v>1372</v>
      </c>
      <c r="N28" s="665">
        <v>6174.0000000000009</v>
      </c>
      <c r="O28" s="665">
        <v>8820.0000000000018</v>
      </c>
      <c r="P28" s="665">
        <v>17640.000000000004</v>
      </c>
      <c r="Q28" s="665">
        <v>0</v>
      </c>
      <c r="R28" s="665">
        <v>0</v>
      </c>
      <c r="S28" s="665">
        <v>0</v>
      </c>
      <c r="T28" s="665">
        <v>0</v>
      </c>
      <c r="U28" s="665">
        <v>0</v>
      </c>
      <c r="V28" s="665">
        <v>0</v>
      </c>
      <c r="W28" s="665">
        <v>0</v>
      </c>
      <c r="X28" s="665">
        <v>10</v>
      </c>
      <c r="Y28" s="665" t="s">
        <v>111</v>
      </c>
      <c r="Z28" s="667" t="s">
        <v>111</v>
      </c>
    </row>
    <row r="29" spans="1:26" s="619" customFormat="1" ht="25.5">
      <c r="A29" s="618"/>
      <c r="B29" s="817">
        <v>46003</v>
      </c>
      <c r="C29" s="817">
        <v>9120</v>
      </c>
      <c r="D29" s="666" t="s">
        <v>892</v>
      </c>
      <c r="E29" s="665" t="s">
        <v>893</v>
      </c>
      <c r="F29" s="665" t="s">
        <v>894</v>
      </c>
      <c r="G29" s="665" t="s">
        <v>889</v>
      </c>
      <c r="H29" s="665" t="s">
        <v>890</v>
      </c>
      <c r="I29" s="665" t="s">
        <v>893</v>
      </c>
      <c r="J29" s="816">
        <v>39568</v>
      </c>
      <c r="K29" s="816">
        <v>39568</v>
      </c>
      <c r="L29" s="665" t="s">
        <v>891</v>
      </c>
      <c r="M29" s="665">
        <v>2731</v>
      </c>
      <c r="N29" s="665">
        <v>12289.5</v>
      </c>
      <c r="O29" s="665">
        <v>17556.428571428572</v>
      </c>
      <c r="P29" s="665">
        <v>35112.857142857145</v>
      </c>
      <c r="Q29" s="665">
        <v>0</v>
      </c>
      <c r="R29" s="665">
        <v>0</v>
      </c>
      <c r="S29" s="665">
        <v>0</v>
      </c>
      <c r="T29" s="665">
        <v>0</v>
      </c>
      <c r="U29" s="665">
        <v>0</v>
      </c>
      <c r="V29" s="665">
        <v>0</v>
      </c>
      <c r="W29" s="665">
        <v>0</v>
      </c>
      <c r="X29" s="665">
        <v>10</v>
      </c>
      <c r="Y29" s="665" t="s">
        <v>111</v>
      </c>
      <c r="Z29" s="667" t="s">
        <v>111</v>
      </c>
    </row>
    <row r="30" spans="1:26" s="619" customFormat="1" ht="25.5">
      <c r="A30" s="618"/>
      <c r="B30" s="817">
        <v>46003</v>
      </c>
      <c r="C30" s="817">
        <v>9120</v>
      </c>
      <c r="D30" s="666" t="s">
        <v>895</v>
      </c>
      <c r="E30" s="665" t="s">
        <v>896</v>
      </c>
      <c r="F30" s="665" t="s">
        <v>897</v>
      </c>
      <c r="G30" s="665" t="s">
        <v>889</v>
      </c>
      <c r="H30" s="665" t="s">
        <v>890</v>
      </c>
      <c r="I30" s="665" t="s">
        <v>896</v>
      </c>
      <c r="J30" s="816">
        <v>39737</v>
      </c>
      <c r="K30" s="816">
        <v>39737</v>
      </c>
      <c r="L30" s="665" t="s">
        <v>891</v>
      </c>
      <c r="M30" s="665">
        <v>1562</v>
      </c>
      <c r="N30" s="665">
        <v>7029</v>
      </c>
      <c r="O30" s="665">
        <v>10041.428571428572</v>
      </c>
      <c r="P30" s="665">
        <v>20082.857142857145</v>
      </c>
      <c r="Q30" s="665">
        <v>0</v>
      </c>
      <c r="R30" s="665">
        <v>0</v>
      </c>
      <c r="S30" s="665">
        <v>0</v>
      </c>
      <c r="T30" s="665">
        <v>0</v>
      </c>
      <c r="U30" s="665">
        <v>0</v>
      </c>
      <c r="V30" s="665">
        <v>0</v>
      </c>
      <c r="W30" s="665">
        <v>0</v>
      </c>
      <c r="X30" s="665">
        <v>10</v>
      </c>
      <c r="Y30" s="665" t="s">
        <v>111</v>
      </c>
      <c r="Z30" s="667" t="s">
        <v>111</v>
      </c>
    </row>
    <row r="31" spans="1:26" s="619" customFormat="1" ht="25.5">
      <c r="A31" s="618"/>
      <c r="B31" s="817">
        <v>46003</v>
      </c>
      <c r="C31" s="817">
        <v>9120</v>
      </c>
      <c r="D31" s="666" t="s">
        <v>898</v>
      </c>
      <c r="E31" s="665" t="s">
        <v>899</v>
      </c>
      <c r="F31" s="665" t="s">
        <v>900</v>
      </c>
      <c r="G31" s="665" t="s">
        <v>889</v>
      </c>
      <c r="H31" s="665" t="s">
        <v>890</v>
      </c>
      <c r="I31" s="665" t="s">
        <v>899</v>
      </c>
      <c r="J31" s="816">
        <v>40927</v>
      </c>
      <c r="K31" s="816">
        <v>39841</v>
      </c>
      <c r="L31" s="665" t="s">
        <v>891</v>
      </c>
      <c r="M31" s="665">
        <v>2233</v>
      </c>
      <c r="N31" s="665">
        <v>10048.5</v>
      </c>
      <c r="O31" s="665">
        <v>14355</v>
      </c>
      <c r="P31" s="665">
        <v>0</v>
      </c>
      <c r="Q31" s="665">
        <v>28710.000000000004</v>
      </c>
      <c r="R31" s="665">
        <v>0</v>
      </c>
      <c r="S31" s="665">
        <v>0</v>
      </c>
      <c r="T31" s="665">
        <v>0</v>
      </c>
      <c r="U31" s="665">
        <v>0</v>
      </c>
      <c r="V31" s="665">
        <v>0</v>
      </c>
      <c r="W31" s="665">
        <v>0</v>
      </c>
      <c r="X31" s="665">
        <v>10</v>
      </c>
      <c r="Y31" s="665" t="s">
        <v>111</v>
      </c>
      <c r="Z31" s="667" t="s">
        <v>111</v>
      </c>
    </row>
    <row r="32" spans="1:26" s="619" customFormat="1" ht="25.5">
      <c r="A32" s="618"/>
      <c r="B32" s="817">
        <v>46003</v>
      </c>
      <c r="C32" s="817">
        <v>9120</v>
      </c>
      <c r="D32" s="666" t="s">
        <v>901</v>
      </c>
      <c r="E32" s="665" t="s">
        <v>902</v>
      </c>
      <c r="F32" s="665" t="s">
        <v>903</v>
      </c>
      <c r="G32" s="665" t="s">
        <v>889</v>
      </c>
      <c r="H32" s="665" t="s">
        <v>890</v>
      </c>
      <c r="I32" s="665" t="s">
        <v>902</v>
      </c>
      <c r="J32" s="816">
        <v>40954</v>
      </c>
      <c r="K32" s="816">
        <v>39990</v>
      </c>
      <c r="L32" s="665" t="s">
        <v>891</v>
      </c>
      <c r="M32" s="665">
        <v>3898</v>
      </c>
      <c r="N32" s="665">
        <v>17541</v>
      </c>
      <c r="O32" s="665">
        <v>25058.571428571428</v>
      </c>
      <c r="P32" s="665">
        <v>50117.142857142862</v>
      </c>
      <c r="Q32" s="665">
        <v>0</v>
      </c>
      <c r="R32" s="665">
        <v>0</v>
      </c>
      <c r="S32" s="665">
        <v>0</v>
      </c>
      <c r="T32" s="665">
        <v>0</v>
      </c>
      <c r="U32" s="665">
        <v>0</v>
      </c>
      <c r="V32" s="665">
        <v>0</v>
      </c>
      <c r="W32" s="665">
        <v>0</v>
      </c>
      <c r="X32" s="665">
        <v>10</v>
      </c>
      <c r="Y32" s="665" t="s">
        <v>111</v>
      </c>
      <c r="Z32" s="667" t="s">
        <v>111</v>
      </c>
    </row>
    <row r="33" spans="1:26" s="619" customFormat="1" ht="25.5">
      <c r="A33" s="618"/>
      <c r="B33" s="817">
        <v>46003</v>
      </c>
      <c r="C33" s="817">
        <v>9120</v>
      </c>
      <c r="D33" s="666" t="s">
        <v>904</v>
      </c>
      <c r="E33" s="665" t="s">
        <v>905</v>
      </c>
      <c r="F33" s="665" t="s">
        <v>906</v>
      </c>
      <c r="G33" s="665" t="s">
        <v>889</v>
      </c>
      <c r="H33" s="665" t="s">
        <v>890</v>
      </c>
      <c r="I33" s="665" t="s">
        <v>907</v>
      </c>
      <c r="J33" s="816">
        <v>40333</v>
      </c>
      <c r="K33" s="816">
        <v>40345</v>
      </c>
      <c r="L33" s="665" t="s">
        <v>891</v>
      </c>
      <c r="M33" s="665">
        <v>1994</v>
      </c>
      <c r="N33" s="665">
        <v>8973</v>
      </c>
      <c r="O33" s="665">
        <v>12818.571428571429</v>
      </c>
      <c r="P33" s="665">
        <v>25637.142857142859</v>
      </c>
      <c r="Q33" s="665">
        <v>0</v>
      </c>
      <c r="R33" s="665">
        <v>0</v>
      </c>
      <c r="S33" s="665">
        <v>0</v>
      </c>
      <c r="T33" s="665">
        <v>0</v>
      </c>
      <c r="U33" s="665">
        <v>0</v>
      </c>
      <c r="V33" s="665">
        <v>0</v>
      </c>
      <c r="W33" s="665">
        <v>0</v>
      </c>
      <c r="X33" s="665">
        <v>10</v>
      </c>
      <c r="Y33" s="665" t="s">
        <v>111</v>
      </c>
      <c r="Z33" s="667" t="s">
        <v>111</v>
      </c>
    </row>
    <row r="34" spans="1:26" s="619" customFormat="1" ht="25.5">
      <c r="A34" s="618"/>
      <c r="B34" s="817">
        <v>46003</v>
      </c>
      <c r="C34" s="817">
        <v>9120</v>
      </c>
      <c r="D34" s="666" t="s">
        <v>908</v>
      </c>
      <c r="E34" s="665" t="s">
        <v>909</v>
      </c>
      <c r="F34" s="665" t="s">
        <v>910</v>
      </c>
      <c r="G34" s="665" t="s">
        <v>889</v>
      </c>
      <c r="H34" s="665" t="s">
        <v>890</v>
      </c>
      <c r="I34" s="665" t="s">
        <v>909</v>
      </c>
      <c r="J34" s="816">
        <v>40819</v>
      </c>
      <c r="K34" s="816">
        <v>40834</v>
      </c>
      <c r="L34" s="665" t="s">
        <v>891</v>
      </c>
      <c r="M34" s="665">
        <v>197</v>
      </c>
      <c r="N34" s="665">
        <v>886.5</v>
      </c>
      <c r="O34" s="665">
        <v>1266.4285714285716</v>
      </c>
      <c r="P34" s="665">
        <v>2532.8571428571431</v>
      </c>
      <c r="Q34" s="665">
        <v>0</v>
      </c>
      <c r="R34" s="665">
        <v>0</v>
      </c>
      <c r="S34" s="665">
        <v>0</v>
      </c>
      <c r="T34" s="665">
        <v>0</v>
      </c>
      <c r="U34" s="665">
        <v>0</v>
      </c>
      <c r="V34" s="665">
        <v>0</v>
      </c>
      <c r="W34" s="665">
        <v>0</v>
      </c>
      <c r="X34" s="665">
        <v>1200</v>
      </c>
      <c r="Y34" s="665" t="s">
        <v>52</v>
      </c>
      <c r="Z34" s="667" t="s">
        <v>155</v>
      </c>
    </row>
    <row r="35" spans="1:26" s="619" customFormat="1" ht="25.5">
      <c r="A35" s="618"/>
      <c r="B35" s="817">
        <v>46003</v>
      </c>
      <c r="C35" s="817">
        <v>9120</v>
      </c>
      <c r="D35" s="666" t="s">
        <v>911</v>
      </c>
      <c r="E35" s="665" t="s">
        <v>912</v>
      </c>
      <c r="F35" s="665" t="s">
        <v>913</v>
      </c>
      <c r="G35" s="665" t="s">
        <v>889</v>
      </c>
      <c r="H35" s="665" t="s">
        <v>890</v>
      </c>
      <c r="I35" s="665" t="s">
        <v>912</v>
      </c>
      <c r="J35" s="816">
        <v>41184</v>
      </c>
      <c r="K35" s="816">
        <v>41184</v>
      </c>
      <c r="L35" s="665" t="s">
        <v>891</v>
      </c>
      <c r="M35" s="665">
        <v>2978</v>
      </c>
      <c r="N35" s="665">
        <v>13401.000000000002</v>
      </c>
      <c r="O35" s="665">
        <v>19144.285714285717</v>
      </c>
      <c r="P35" s="665">
        <v>0</v>
      </c>
      <c r="Q35" s="665">
        <v>38288.571428571435</v>
      </c>
      <c r="R35" s="665">
        <v>0</v>
      </c>
      <c r="S35" s="665">
        <v>0</v>
      </c>
      <c r="T35" s="665">
        <v>0</v>
      </c>
      <c r="U35" s="665">
        <v>0</v>
      </c>
      <c r="V35" s="665">
        <v>0</v>
      </c>
      <c r="W35" s="665">
        <v>0</v>
      </c>
      <c r="X35" s="665">
        <v>10</v>
      </c>
      <c r="Y35" s="665" t="s">
        <v>111</v>
      </c>
      <c r="Z35" s="667" t="s">
        <v>111</v>
      </c>
    </row>
    <row r="36" spans="1:26" s="619" customFormat="1" ht="63.75">
      <c r="A36" s="618"/>
      <c r="B36" s="817">
        <v>46003</v>
      </c>
      <c r="C36" s="817">
        <v>9120</v>
      </c>
      <c r="D36" s="666" t="s">
        <v>914</v>
      </c>
      <c r="E36" s="665" t="s">
        <v>915</v>
      </c>
      <c r="F36" s="665" t="s">
        <v>916</v>
      </c>
      <c r="G36" s="665" t="s">
        <v>889</v>
      </c>
      <c r="H36" s="665" t="s">
        <v>890</v>
      </c>
      <c r="I36" s="665" t="s">
        <v>917</v>
      </c>
      <c r="J36" s="816">
        <v>41450</v>
      </c>
      <c r="K36" s="816">
        <v>41361</v>
      </c>
      <c r="L36" s="665" t="s">
        <v>891</v>
      </c>
      <c r="M36" s="665">
        <v>70</v>
      </c>
      <c r="N36" s="665">
        <v>315.00000000000006</v>
      </c>
      <c r="O36" s="665">
        <v>450.00000000000011</v>
      </c>
      <c r="P36" s="665">
        <v>900.00000000000023</v>
      </c>
      <c r="Q36" s="665">
        <v>0</v>
      </c>
      <c r="R36" s="665">
        <v>0</v>
      </c>
      <c r="S36" s="665">
        <v>0</v>
      </c>
      <c r="T36" s="665">
        <v>0</v>
      </c>
      <c r="U36" s="665">
        <v>0</v>
      </c>
      <c r="V36" s="665">
        <v>0</v>
      </c>
      <c r="W36" s="665">
        <v>0</v>
      </c>
      <c r="X36" s="665">
        <v>1600</v>
      </c>
      <c r="Y36" s="665" t="s">
        <v>49</v>
      </c>
      <c r="Z36" s="667" t="s">
        <v>155</v>
      </c>
    </row>
    <row r="37" spans="1:26" s="619" customFormat="1" ht="25.5">
      <c r="A37" s="618"/>
      <c r="B37" s="817">
        <v>46003</v>
      </c>
      <c r="C37" s="817">
        <v>9120</v>
      </c>
      <c r="D37" s="666" t="s">
        <v>918</v>
      </c>
      <c r="E37" s="665" t="s">
        <v>919</v>
      </c>
      <c r="F37" s="665" t="s">
        <v>920</v>
      </c>
      <c r="G37" s="665" t="s">
        <v>889</v>
      </c>
      <c r="H37" s="665" t="s">
        <v>890</v>
      </c>
      <c r="I37" s="665" t="s">
        <v>919</v>
      </c>
      <c r="J37" s="816">
        <v>41373</v>
      </c>
      <c r="K37" s="816">
        <v>41373</v>
      </c>
      <c r="L37" s="665" t="s">
        <v>891</v>
      </c>
      <c r="M37" s="665">
        <v>9.6999999999999993</v>
      </c>
      <c r="N37" s="665">
        <v>43.649999999999991</v>
      </c>
      <c r="O37" s="665">
        <v>62.357142857142847</v>
      </c>
      <c r="P37" s="665">
        <v>0</v>
      </c>
      <c r="Q37" s="665">
        <v>124.71428571428569</v>
      </c>
      <c r="R37" s="665">
        <v>0</v>
      </c>
      <c r="S37" s="665">
        <v>0</v>
      </c>
      <c r="T37" s="665">
        <v>0</v>
      </c>
      <c r="U37" s="665">
        <v>0</v>
      </c>
      <c r="V37" s="665">
        <v>0</v>
      </c>
      <c r="W37" s="665">
        <v>0</v>
      </c>
      <c r="X37" s="665">
        <v>10</v>
      </c>
      <c r="Y37" s="665" t="s">
        <v>111</v>
      </c>
      <c r="Z37" s="667" t="s">
        <v>111</v>
      </c>
    </row>
    <row r="38" spans="1:26" s="619" customFormat="1" ht="25.5">
      <c r="A38" s="618"/>
      <c r="B38" s="817">
        <v>46003</v>
      </c>
      <c r="C38" s="817">
        <v>9130</v>
      </c>
      <c r="D38" s="666" t="s">
        <v>921</v>
      </c>
      <c r="E38" s="665" t="s">
        <v>922</v>
      </c>
      <c r="F38" s="665" t="s">
        <v>923</v>
      </c>
      <c r="G38" s="665" t="s">
        <v>889</v>
      </c>
      <c r="H38" s="665" t="s">
        <v>890</v>
      </c>
      <c r="I38" s="665" t="s">
        <v>922</v>
      </c>
      <c r="J38" s="816">
        <v>41814</v>
      </c>
      <c r="K38" s="816">
        <v>41814</v>
      </c>
      <c r="L38" s="665" t="s">
        <v>891</v>
      </c>
      <c r="M38" s="665">
        <v>1189</v>
      </c>
      <c r="N38" s="665">
        <v>5350.5</v>
      </c>
      <c r="O38" s="665">
        <v>7643.5714285714284</v>
      </c>
      <c r="P38" s="665">
        <v>0</v>
      </c>
      <c r="Q38" s="665">
        <v>15287.142857142859</v>
      </c>
      <c r="R38" s="665">
        <v>0</v>
      </c>
      <c r="S38" s="665">
        <v>0</v>
      </c>
      <c r="T38" s="665">
        <v>0</v>
      </c>
      <c r="U38" s="665">
        <v>0</v>
      </c>
      <c r="V38" s="665">
        <v>0</v>
      </c>
      <c r="W38" s="665">
        <v>0</v>
      </c>
      <c r="X38" s="665">
        <v>500</v>
      </c>
      <c r="Y38" s="665" t="s">
        <v>40</v>
      </c>
      <c r="Z38" s="667" t="s">
        <v>388</v>
      </c>
    </row>
    <row r="39" spans="1:26" s="619" customFormat="1" ht="63.75">
      <c r="A39" s="618"/>
      <c r="B39" s="817">
        <v>46003</v>
      </c>
      <c r="C39" s="817">
        <v>9120</v>
      </c>
      <c r="D39" s="666" t="s">
        <v>924</v>
      </c>
      <c r="E39" s="665" t="s">
        <v>925</v>
      </c>
      <c r="F39" s="665" t="s">
        <v>926</v>
      </c>
      <c r="G39" s="665" t="s">
        <v>889</v>
      </c>
      <c r="H39" s="665" t="s">
        <v>890</v>
      </c>
      <c r="I39" s="665" t="s">
        <v>927</v>
      </c>
      <c r="J39" s="816">
        <v>41936</v>
      </c>
      <c r="K39" s="816">
        <v>41936</v>
      </c>
      <c r="L39" s="665" t="s">
        <v>928</v>
      </c>
      <c r="M39" s="665">
        <v>2974</v>
      </c>
      <c r="N39" s="665">
        <v>13383</v>
      </c>
      <c r="O39" s="665">
        <v>19118.571428571428</v>
      </c>
      <c r="P39" s="665">
        <v>0</v>
      </c>
      <c r="Q39" s="665">
        <v>38237.142857142862</v>
      </c>
      <c r="R39" s="665">
        <v>0</v>
      </c>
      <c r="S39" s="665">
        <v>0</v>
      </c>
      <c r="T39" s="665">
        <v>0</v>
      </c>
      <c r="U39" s="665">
        <v>0</v>
      </c>
      <c r="V39" s="665">
        <v>0</v>
      </c>
      <c r="W39" s="665">
        <v>0</v>
      </c>
      <c r="X39" s="665">
        <v>1600</v>
      </c>
      <c r="Y39" s="665" t="s">
        <v>49</v>
      </c>
      <c r="Z39" s="667" t="s">
        <v>155</v>
      </c>
    </row>
    <row r="40" spans="1:26" s="619" customFormat="1" ht="63.75">
      <c r="A40" s="618"/>
      <c r="B40" s="817">
        <v>46003</v>
      </c>
      <c r="C40" s="817">
        <v>9120</v>
      </c>
      <c r="D40" s="666" t="s">
        <v>929</v>
      </c>
      <c r="E40" s="665" t="s">
        <v>930</v>
      </c>
      <c r="F40" s="665" t="s">
        <v>931</v>
      </c>
      <c r="G40" s="665" t="s">
        <v>889</v>
      </c>
      <c r="H40" s="665" t="s">
        <v>890</v>
      </c>
      <c r="I40" s="665" t="s">
        <v>930</v>
      </c>
      <c r="J40" s="816">
        <v>42039</v>
      </c>
      <c r="K40" s="816">
        <v>42039</v>
      </c>
      <c r="L40" s="665" t="s">
        <v>891</v>
      </c>
      <c r="M40" s="665">
        <v>2126</v>
      </c>
      <c r="N40" s="665">
        <v>9567</v>
      </c>
      <c r="O40" s="665">
        <v>13667.142857142857</v>
      </c>
      <c r="P40" s="665">
        <v>27334.285714285717</v>
      </c>
      <c r="Q40" s="665">
        <v>0</v>
      </c>
      <c r="R40" s="665">
        <v>0</v>
      </c>
      <c r="S40" s="665">
        <v>0</v>
      </c>
      <c r="T40" s="665">
        <v>0</v>
      </c>
      <c r="U40" s="665">
        <v>0</v>
      </c>
      <c r="V40" s="665">
        <v>0</v>
      </c>
      <c r="W40" s="665">
        <v>0</v>
      </c>
      <c r="X40" s="665">
        <v>1600</v>
      </c>
      <c r="Y40" s="665" t="s">
        <v>49</v>
      </c>
      <c r="Z40" s="667" t="s">
        <v>155</v>
      </c>
    </row>
    <row r="41" spans="1:26" s="619" customFormat="1" ht="25.5">
      <c r="A41" s="618"/>
      <c r="B41" s="817">
        <v>46003</v>
      </c>
      <c r="C41" s="817">
        <v>9120</v>
      </c>
      <c r="D41" s="666" t="s">
        <v>932</v>
      </c>
      <c r="E41" s="665"/>
      <c r="F41" s="665" t="s">
        <v>933</v>
      </c>
      <c r="G41" s="665" t="s">
        <v>889</v>
      </c>
      <c r="H41" s="665" t="s">
        <v>890</v>
      </c>
      <c r="I41" s="665" t="s">
        <v>934</v>
      </c>
      <c r="J41" s="816">
        <v>42361</v>
      </c>
      <c r="K41" s="816">
        <v>42377</v>
      </c>
      <c r="L41" s="665" t="s">
        <v>935</v>
      </c>
      <c r="M41" s="665">
        <v>2004</v>
      </c>
      <c r="N41" s="665">
        <v>9018</v>
      </c>
      <c r="O41" s="665">
        <v>12882.857142857143</v>
      </c>
      <c r="P41" s="665">
        <v>25765.714285714286</v>
      </c>
      <c r="Q41" s="665">
        <v>0</v>
      </c>
      <c r="R41" s="665">
        <v>0</v>
      </c>
      <c r="S41" s="665">
        <v>0</v>
      </c>
      <c r="T41" s="665">
        <v>0</v>
      </c>
      <c r="U41" s="665">
        <v>0</v>
      </c>
      <c r="V41" s="665">
        <v>0</v>
      </c>
      <c r="W41" s="665">
        <v>0</v>
      </c>
      <c r="X41" s="665">
        <v>400</v>
      </c>
      <c r="Y41" s="665" t="s">
        <v>36</v>
      </c>
      <c r="Z41" s="667" t="s">
        <v>388</v>
      </c>
    </row>
    <row r="42" spans="1:26" s="619" customFormat="1" ht="25.5">
      <c r="A42" s="618"/>
      <c r="B42" s="817">
        <v>46003</v>
      </c>
      <c r="C42" s="817">
        <v>9120</v>
      </c>
      <c r="D42" s="666" t="s">
        <v>936</v>
      </c>
      <c r="E42" s="665"/>
      <c r="F42" s="665" t="s">
        <v>937</v>
      </c>
      <c r="G42" s="665" t="s">
        <v>938</v>
      </c>
      <c r="H42" s="665" t="s">
        <v>890</v>
      </c>
      <c r="I42" s="665" t="s">
        <v>939</v>
      </c>
      <c r="J42" s="816">
        <v>42277</v>
      </c>
      <c r="K42" s="816">
        <v>42277</v>
      </c>
      <c r="L42" s="665" t="s">
        <v>935</v>
      </c>
      <c r="M42" s="665">
        <v>2987</v>
      </c>
      <c r="N42" s="665">
        <v>13441.5</v>
      </c>
      <c r="O42" s="665">
        <v>19202.142857142859</v>
      </c>
      <c r="P42" s="665">
        <v>9601.0714285714294</v>
      </c>
      <c r="Q42" s="665">
        <v>0</v>
      </c>
      <c r="R42" s="665">
        <v>0</v>
      </c>
      <c r="S42" s="665">
        <v>0</v>
      </c>
      <c r="T42" s="665">
        <v>0</v>
      </c>
      <c r="U42" s="665">
        <v>0</v>
      </c>
      <c r="V42" s="665">
        <v>0</v>
      </c>
      <c r="W42" s="665">
        <v>0</v>
      </c>
      <c r="X42" s="665">
        <v>1600</v>
      </c>
      <c r="Y42" s="665" t="s">
        <v>32</v>
      </c>
      <c r="Z42" s="667" t="s">
        <v>388</v>
      </c>
    </row>
    <row r="43" spans="1:26" s="619" customFormat="1" ht="25.5">
      <c r="A43" s="618"/>
      <c r="B43" s="817">
        <v>46003</v>
      </c>
      <c r="C43" s="817">
        <v>9120</v>
      </c>
      <c r="D43" s="666" t="s">
        <v>940</v>
      </c>
      <c r="E43" s="665"/>
      <c r="F43" s="665" t="s">
        <v>941</v>
      </c>
      <c r="G43" s="665" t="s">
        <v>938</v>
      </c>
      <c r="H43" s="665" t="s">
        <v>890</v>
      </c>
      <c r="I43" s="665" t="s">
        <v>942</v>
      </c>
      <c r="J43" s="816">
        <v>42401</v>
      </c>
      <c r="K43" s="816">
        <v>42401</v>
      </c>
      <c r="L43" s="665" t="s">
        <v>935</v>
      </c>
      <c r="M43" s="665">
        <v>9.5399999999999991</v>
      </c>
      <c r="N43" s="665">
        <v>42.93</v>
      </c>
      <c r="O43" s="665">
        <v>61.328571428571429</v>
      </c>
      <c r="P43" s="665">
        <v>30.664285714285715</v>
      </c>
      <c r="Q43" s="665">
        <v>0</v>
      </c>
      <c r="R43" s="665">
        <v>0</v>
      </c>
      <c r="S43" s="665">
        <v>0</v>
      </c>
      <c r="T43" s="665">
        <v>0</v>
      </c>
      <c r="U43" s="665">
        <v>0</v>
      </c>
      <c r="V43" s="665">
        <v>0</v>
      </c>
      <c r="W43" s="665">
        <v>0</v>
      </c>
      <c r="X43" s="665">
        <v>1100</v>
      </c>
      <c r="Y43" s="665" t="s">
        <v>160</v>
      </c>
      <c r="Z43" s="667" t="s">
        <v>155</v>
      </c>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28334.240000000002</v>
      </c>
      <c r="N58" s="623">
        <f>SUM(N28:N57)</f>
        <v>127504.07999999999</v>
      </c>
      <c r="O58" s="623">
        <f t="shared" ref="O58:W58" si="2">SUM(O28:O57)</f>
        <v>182148.68571428573</v>
      </c>
      <c r="P58" s="623">
        <f t="shared" si="2"/>
        <v>214754.59285714285</v>
      </c>
      <c r="Q58" s="623">
        <f t="shared" si="2"/>
        <v>120647.57142857145</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6180</v>
      </c>
      <c r="N59" s="623">
        <f t="shared" si="3"/>
        <v>27810</v>
      </c>
      <c r="O59" s="623">
        <f t="shared" si="3"/>
        <v>39728.571428571435</v>
      </c>
      <c r="P59" s="623">
        <f t="shared" si="3"/>
        <v>35366.785714285717</v>
      </c>
      <c r="Q59" s="623">
        <f t="shared" si="3"/>
        <v>15287.142857142859</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5376.54</v>
      </c>
      <c r="N60" s="623">
        <f ca="1">SUMIF($Z$28:AD57,"tertiair",N28:N57)</f>
        <v>24194.43</v>
      </c>
      <c r="O60" s="623">
        <f ca="1">SUMIF($Z$28:AE57,"tertiair",O28:O57)</f>
        <v>34563.471428571429</v>
      </c>
      <c r="P60" s="623">
        <f ca="1">SUMIF($Z$28:AF57,"tertiair",P28:P57)</f>
        <v>30797.807142857149</v>
      </c>
      <c r="Q60" s="623">
        <f ca="1">SUMIF($Z$28:AG57,"tertiair",Q28:Q57)</f>
        <v>38237.142857142862</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16777.7</v>
      </c>
      <c r="N61" s="628">
        <f t="shared" si="4"/>
        <v>75499.649999999994</v>
      </c>
      <c r="O61" s="628">
        <f t="shared" si="4"/>
        <v>107856.64285714288</v>
      </c>
      <c r="P61" s="628">
        <f t="shared" si="4"/>
        <v>148590.00000000003</v>
      </c>
      <c r="Q61" s="628">
        <f t="shared" si="4"/>
        <v>67123.285714285725</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0.41176470588235287</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88428.361764705871</v>
      </c>
      <c r="C101" s="657">
        <f t="shared" si="9"/>
        <v>49678.411764705881</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126326.23109243698</v>
      </c>
      <c r="C102" s="660">
        <f t="shared" si="10"/>
        <v>70969.159663865561</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94396.891859979223</v>
      </c>
      <c r="C4" s="478">
        <f>huishoudens!C8</f>
        <v>0</v>
      </c>
      <c r="D4" s="478">
        <f>huishoudens!D8</f>
        <v>192833.29256619999</v>
      </c>
      <c r="E4" s="478">
        <f>huishoudens!E8</f>
        <v>7603.4566038800876</v>
      </c>
      <c r="F4" s="478">
        <f>huishoudens!F8</f>
        <v>0</v>
      </c>
      <c r="G4" s="478">
        <f>huishoudens!G8</f>
        <v>0</v>
      </c>
      <c r="H4" s="478">
        <f>huishoudens!H8</f>
        <v>0</v>
      </c>
      <c r="I4" s="478">
        <f>huishoudens!I8</f>
        <v>0</v>
      </c>
      <c r="J4" s="478">
        <f>huishoudens!J8</f>
        <v>3275.8257955828658</v>
      </c>
      <c r="K4" s="478">
        <f>huishoudens!K8</f>
        <v>0</v>
      </c>
      <c r="L4" s="478">
        <f>huishoudens!L8</f>
        <v>0</v>
      </c>
      <c r="M4" s="478">
        <f>huishoudens!M8</f>
        <v>0</v>
      </c>
      <c r="N4" s="478">
        <f>huishoudens!N8</f>
        <v>31262.743326783981</v>
      </c>
      <c r="O4" s="478">
        <f>huishoudens!O8</f>
        <v>1626.8457398973662</v>
      </c>
      <c r="P4" s="479">
        <f>huishoudens!P8</f>
        <v>1422.0845065374783</v>
      </c>
      <c r="Q4" s="480">
        <f>SUM(B4:P4)</f>
        <v>332421.14039886097</v>
      </c>
    </row>
    <row r="5" spans="1:17">
      <c r="A5" s="477" t="s">
        <v>155</v>
      </c>
      <c r="B5" s="478">
        <f ca="1">tertiair!B16</f>
        <v>187337.887766</v>
      </c>
      <c r="C5" s="478">
        <f ca="1">tertiair!C16</f>
        <v>34563.471428571429</v>
      </c>
      <c r="D5" s="478">
        <f ca="1">tertiair!D16</f>
        <v>78500.905007594847</v>
      </c>
      <c r="E5" s="478">
        <f>tertiair!E16</f>
        <v>1750.4169340951685</v>
      </c>
      <c r="F5" s="478">
        <f ca="1">tertiair!F16</f>
        <v>19386.87524975379</v>
      </c>
      <c r="G5" s="478">
        <f>tertiair!G16</f>
        <v>0</v>
      </c>
      <c r="H5" s="478">
        <f>tertiair!H16</f>
        <v>0</v>
      </c>
      <c r="I5" s="478">
        <f>tertiair!I16</f>
        <v>0</v>
      </c>
      <c r="J5" s="478">
        <f>tertiair!J16</f>
        <v>0.16828158710970481</v>
      </c>
      <c r="K5" s="478">
        <f>tertiair!K16</f>
        <v>0</v>
      </c>
      <c r="L5" s="478">
        <f ca="1">tertiair!L16</f>
        <v>0</v>
      </c>
      <c r="M5" s="478">
        <f>tertiair!M16</f>
        <v>0</v>
      </c>
      <c r="N5" s="478">
        <f ca="1">tertiair!N16</f>
        <v>0</v>
      </c>
      <c r="O5" s="478">
        <f>tertiair!O16</f>
        <v>44.075346892570387</v>
      </c>
      <c r="P5" s="479">
        <f>tertiair!P16</f>
        <v>893.16535121041511</v>
      </c>
      <c r="Q5" s="477">
        <f t="shared" ref="Q5:Q14" ca="1" si="0">SUM(B5:P5)</f>
        <v>322476.96536570531</v>
      </c>
    </row>
    <row r="6" spans="1:17">
      <c r="A6" s="477" t="s">
        <v>193</v>
      </c>
      <c r="B6" s="478">
        <f>'openbare verlichting'!B8</f>
        <v>2816.0880000000002</v>
      </c>
      <c r="C6" s="478"/>
      <c r="D6" s="478"/>
      <c r="E6" s="478"/>
      <c r="F6" s="478"/>
      <c r="G6" s="478"/>
      <c r="H6" s="478"/>
      <c r="I6" s="478"/>
      <c r="J6" s="478"/>
      <c r="K6" s="478"/>
      <c r="L6" s="478"/>
      <c r="M6" s="478"/>
      <c r="N6" s="478"/>
      <c r="O6" s="478"/>
      <c r="P6" s="479"/>
      <c r="Q6" s="477">
        <f t="shared" si="0"/>
        <v>2816.0880000000002</v>
      </c>
    </row>
    <row r="7" spans="1:17">
      <c r="A7" s="477" t="s">
        <v>111</v>
      </c>
      <c r="B7" s="478">
        <f>landbouw!B8</f>
        <v>10506.020553000002</v>
      </c>
      <c r="C7" s="478">
        <f>landbouw!C8</f>
        <v>107856.64285714288</v>
      </c>
      <c r="D7" s="478">
        <f>landbouw!D8</f>
        <v>0</v>
      </c>
      <c r="E7" s="478">
        <f>landbouw!E8</f>
        <v>327.88943700095462</v>
      </c>
      <c r="F7" s="478">
        <f>landbouw!F8</f>
        <v>37129.440459863516</v>
      </c>
      <c r="G7" s="478">
        <f>landbouw!G8</f>
        <v>0</v>
      </c>
      <c r="H7" s="478">
        <f>landbouw!H8</f>
        <v>0</v>
      </c>
      <c r="I7" s="478">
        <f>landbouw!I8</f>
        <v>0</v>
      </c>
      <c r="J7" s="478">
        <f>landbouw!J8</f>
        <v>2894.4815209655076</v>
      </c>
      <c r="K7" s="478">
        <f>landbouw!K8</f>
        <v>0</v>
      </c>
      <c r="L7" s="478">
        <f>landbouw!L8</f>
        <v>0</v>
      </c>
      <c r="M7" s="478">
        <f>landbouw!M8</f>
        <v>0</v>
      </c>
      <c r="N7" s="478">
        <f>landbouw!N8</f>
        <v>0</v>
      </c>
      <c r="O7" s="478">
        <f>landbouw!O8</f>
        <v>0</v>
      </c>
      <c r="P7" s="479">
        <f>landbouw!P8</f>
        <v>0</v>
      </c>
      <c r="Q7" s="477">
        <f t="shared" si="0"/>
        <v>158714.47482797288</v>
      </c>
    </row>
    <row r="8" spans="1:17">
      <c r="A8" s="477" t="s">
        <v>629</v>
      </c>
      <c r="B8" s="478">
        <f>industrie!B18</f>
        <v>109652.460735</v>
      </c>
      <c r="C8" s="478">
        <f>industrie!C18</f>
        <v>39728.571428571435</v>
      </c>
      <c r="D8" s="478">
        <f>industrie!D18</f>
        <v>14488.398821134288</v>
      </c>
      <c r="E8" s="478">
        <f>industrie!E18</f>
        <v>4341.5433820371663</v>
      </c>
      <c r="F8" s="478">
        <f>industrie!F18</f>
        <v>15263.417372446933</v>
      </c>
      <c r="G8" s="478">
        <f>industrie!G18</f>
        <v>0</v>
      </c>
      <c r="H8" s="478">
        <f>industrie!H18</f>
        <v>0</v>
      </c>
      <c r="I8" s="478">
        <f>industrie!I18</f>
        <v>0</v>
      </c>
      <c r="J8" s="478">
        <f>industrie!J18</f>
        <v>436.27697307244466</v>
      </c>
      <c r="K8" s="478">
        <f>industrie!K18</f>
        <v>0</v>
      </c>
      <c r="L8" s="478">
        <f>industrie!L18</f>
        <v>0</v>
      </c>
      <c r="M8" s="478">
        <f>industrie!M18</f>
        <v>0</v>
      </c>
      <c r="N8" s="478">
        <f>industrie!N18</f>
        <v>0</v>
      </c>
      <c r="O8" s="478">
        <f>industrie!O18</f>
        <v>0</v>
      </c>
      <c r="P8" s="479">
        <f>industrie!P18</f>
        <v>0</v>
      </c>
      <c r="Q8" s="477">
        <f t="shared" si="0"/>
        <v>183910.6687122623</v>
      </c>
    </row>
    <row r="9" spans="1:17" s="483" customFormat="1">
      <c r="A9" s="481" t="s">
        <v>555</v>
      </c>
      <c r="B9" s="482">
        <f>transport!B14</f>
        <v>426.11754878611112</v>
      </c>
      <c r="C9" s="482">
        <f>transport!C14</f>
        <v>0</v>
      </c>
      <c r="D9" s="482">
        <f>transport!D14</f>
        <v>1771.7384737546668</v>
      </c>
      <c r="E9" s="482">
        <f>transport!E14</f>
        <v>1482.7190434415556</v>
      </c>
      <c r="F9" s="482">
        <f>transport!F14</f>
        <v>0</v>
      </c>
      <c r="G9" s="482">
        <f>transport!G14</f>
        <v>865170.52362441213</v>
      </c>
      <c r="H9" s="482">
        <f>transport!H14</f>
        <v>133902.42778119878</v>
      </c>
      <c r="I9" s="482">
        <f>transport!I14</f>
        <v>0</v>
      </c>
      <c r="J9" s="482">
        <f>transport!J14</f>
        <v>0</v>
      </c>
      <c r="K9" s="482">
        <f>transport!K14</f>
        <v>0</v>
      </c>
      <c r="L9" s="482">
        <f>transport!L14</f>
        <v>0</v>
      </c>
      <c r="M9" s="482">
        <f>transport!M14</f>
        <v>58682.900213236033</v>
      </c>
      <c r="N9" s="482">
        <f>transport!N14</f>
        <v>0</v>
      </c>
      <c r="O9" s="482">
        <f>transport!O14</f>
        <v>0</v>
      </c>
      <c r="P9" s="482">
        <f>transport!P14</f>
        <v>0</v>
      </c>
      <c r="Q9" s="481">
        <f>SUM(B9:P9)</f>
        <v>1061436.4266848292</v>
      </c>
    </row>
    <row r="10" spans="1:17">
      <c r="A10" s="477" t="s">
        <v>545</v>
      </c>
      <c r="B10" s="478">
        <f>transport!B54</f>
        <v>0</v>
      </c>
      <c r="C10" s="478">
        <f>transport!C54</f>
        <v>0</v>
      </c>
      <c r="D10" s="478">
        <f>transport!D54</f>
        <v>0</v>
      </c>
      <c r="E10" s="478">
        <f>transport!E54</f>
        <v>0</v>
      </c>
      <c r="F10" s="478">
        <f>transport!F54</f>
        <v>0</v>
      </c>
      <c r="G10" s="478">
        <f>transport!G54</f>
        <v>3572.9684065698261</v>
      </c>
      <c r="H10" s="478">
        <f>transport!H54</f>
        <v>0</v>
      </c>
      <c r="I10" s="478">
        <f>transport!I54</f>
        <v>0</v>
      </c>
      <c r="J10" s="478">
        <f>transport!J54</f>
        <v>0</v>
      </c>
      <c r="K10" s="478">
        <f>transport!K54</f>
        <v>0</v>
      </c>
      <c r="L10" s="478">
        <f>transport!L54</f>
        <v>0</v>
      </c>
      <c r="M10" s="478">
        <f>transport!M54</f>
        <v>198.58597936438781</v>
      </c>
      <c r="N10" s="478">
        <f>transport!N54</f>
        <v>0</v>
      </c>
      <c r="O10" s="478">
        <f>transport!O54</f>
        <v>0</v>
      </c>
      <c r="P10" s="479">
        <f>transport!P54</f>
        <v>0</v>
      </c>
      <c r="Q10" s="477">
        <f t="shared" si="0"/>
        <v>3771.5543859342138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7540.5833510000002</v>
      </c>
      <c r="C14" s="485"/>
      <c r="D14" s="485">
        <f>'SEAP template'!E25</f>
        <v>5378.9731190000002</v>
      </c>
      <c r="E14" s="485"/>
      <c r="F14" s="485"/>
      <c r="G14" s="485"/>
      <c r="H14" s="485"/>
      <c r="I14" s="485"/>
      <c r="J14" s="485"/>
      <c r="K14" s="485"/>
      <c r="L14" s="485"/>
      <c r="M14" s="485"/>
      <c r="N14" s="485"/>
      <c r="O14" s="485"/>
      <c r="P14" s="486"/>
      <c r="Q14" s="477">
        <f t="shared" si="0"/>
        <v>12919.55647</v>
      </c>
    </row>
    <row r="15" spans="1:17" s="489" customFormat="1">
      <c r="A15" s="487" t="s">
        <v>549</v>
      </c>
      <c r="B15" s="488">
        <f ca="1">SUM(B4:B14)</f>
        <v>412676.04981376533</v>
      </c>
      <c r="C15" s="488">
        <f t="shared" ref="C15:Q15" ca="1" si="1">SUM(C4:C14)</f>
        <v>182148.68571428576</v>
      </c>
      <c r="D15" s="488">
        <f t="shared" ca="1" si="1"/>
        <v>292973.3079876838</v>
      </c>
      <c r="E15" s="488">
        <f t="shared" si="1"/>
        <v>15506.025400454933</v>
      </c>
      <c r="F15" s="488">
        <f t="shared" ca="1" si="1"/>
        <v>71779.733082064238</v>
      </c>
      <c r="G15" s="488">
        <f t="shared" si="1"/>
        <v>868743.49203098193</v>
      </c>
      <c r="H15" s="488">
        <f t="shared" si="1"/>
        <v>133902.42778119878</v>
      </c>
      <c r="I15" s="488">
        <f t="shared" si="1"/>
        <v>0</v>
      </c>
      <c r="J15" s="488">
        <f t="shared" si="1"/>
        <v>6606.7525712079278</v>
      </c>
      <c r="K15" s="488">
        <f t="shared" si="1"/>
        <v>0</v>
      </c>
      <c r="L15" s="488">
        <f t="shared" ca="1" si="1"/>
        <v>0</v>
      </c>
      <c r="M15" s="488">
        <f t="shared" si="1"/>
        <v>58881.486192600423</v>
      </c>
      <c r="N15" s="488">
        <f t="shared" ca="1" si="1"/>
        <v>31262.743326783981</v>
      </c>
      <c r="O15" s="488">
        <f t="shared" si="1"/>
        <v>1670.9210867899367</v>
      </c>
      <c r="P15" s="488">
        <f t="shared" si="1"/>
        <v>2315.2498577478937</v>
      </c>
      <c r="Q15" s="488">
        <f t="shared" ca="1" si="1"/>
        <v>2078466.8748455648</v>
      </c>
    </row>
    <row r="17" spans="1:17">
      <c r="A17" s="490" t="s">
        <v>550</v>
      </c>
      <c r="B17" s="807">
        <f ca="1">huishoudens!B10</f>
        <v>7.3816945948325857E-2</v>
      </c>
      <c r="C17" s="807">
        <f ca="1">huishoudens!C10</f>
        <v>0.14009378426533947</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6968.0902641180473</v>
      </c>
      <c r="C22" s="478">
        <f t="shared" ref="C22:C32" ca="1" si="3">C4*$C$17</f>
        <v>0</v>
      </c>
      <c r="D22" s="478">
        <f t="shared" ref="D22:D32" si="4">D4*$D$17</f>
        <v>38952.325098372399</v>
      </c>
      <c r="E22" s="478">
        <f t="shared" ref="E22:E32" si="5">E4*$E$17</f>
        <v>1725.9846490807799</v>
      </c>
      <c r="F22" s="478">
        <f t="shared" ref="F22:F32" si="6">F4*$F$17</f>
        <v>0</v>
      </c>
      <c r="G22" s="478">
        <f t="shared" ref="G22:G32" si="7">G4*$G$17</f>
        <v>0</v>
      </c>
      <c r="H22" s="478">
        <f t="shared" ref="H22:H32" si="8">H4*$H$17</f>
        <v>0</v>
      </c>
      <c r="I22" s="478">
        <f t="shared" ref="I22:I32" si="9">I4*$I$17</f>
        <v>0</v>
      </c>
      <c r="J22" s="478">
        <f t="shared" ref="J22:J32" si="10">J4*$J$17</f>
        <v>1159.6423316363343</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48806.042343207562</v>
      </c>
    </row>
    <row r="23" spans="1:17">
      <c r="A23" s="477" t="s">
        <v>155</v>
      </c>
      <c r="B23" s="478">
        <f t="shared" ca="1" si="2"/>
        <v>13828.710735296358</v>
      </c>
      <c r="C23" s="478">
        <f t="shared" ca="1" si="3"/>
        <v>4842.1275097755106</v>
      </c>
      <c r="D23" s="478">
        <f t="shared" ca="1" si="4"/>
        <v>15857.18281153416</v>
      </c>
      <c r="E23" s="478">
        <f t="shared" si="5"/>
        <v>397.34464403960328</v>
      </c>
      <c r="F23" s="478">
        <f t="shared" ca="1" si="6"/>
        <v>5176.2956916842622</v>
      </c>
      <c r="G23" s="478">
        <f t="shared" si="7"/>
        <v>0</v>
      </c>
      <c r="H23" s="478">
        <f t="shared" si="8"/>
        <v>0</v>
      </c>
      <c r="I23" s="478">
        <f t="shared" si="9"/>
        <v>0</v>
      </c>
      <c r="J23" s="478">
        <f t="shared" si="10"/>
        <v>5.9571681836835498E-2</v>
      </c>
      <c r="K23" s="478">
        <f t="shared" si="11"/>
        <v>0</v>
      </c>
      <c r="L23" s="478">
        <f t="shared" ca="1" si="12"/>
        <v>0</v>
      </c>
      <c r="M23" s="478">
        <f t="shared" si="13"/>
        <v>0</v>
      </c>
      <c r="N23" s="478">
        <f t="shared" ca="1" si="14"/>
        <v>0</v>
      </c>
      <c r="O23" s="478">
        <f t="shared" si="15"/>
        <v>0</v>
      </c>
      <c r="P23" s="479">
        <f t="shared" si="16"/>
        <v>0</v>
      </c>
      <c r="Q23" s="477">
        <f t="shared" ref="Q23:Q31" ca="1" si="17">SUM(B23:P23)</f>
        <v>40101.720964011722</v>
      </c>
    </row>
    <row r="24" spans="1:17">
      <c r="A24" s="477" t="s">
        <v>193</v>
      </c>
      <c r="B24" s="478">
        <f t="shared" ca="1" si="2"/>
        <v>207.87501568172908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207.87501568172908</v>
      </c>
    </row>
    <row r="25" spans="1:17">
      <c r="A25" s="477" t="s">
        <v>111</v>
      </c>
      <c r="B25" s="478">
        <f t="shared" ca="1" si="2"/>
        <v>775.52235129280166</v>
      </c>
      <c r="C25" s="478">
        <f t="shared" ca="1" si="3"/>
        <v>15110.045256012343</v>
      </c>
      <c r="D25" s="478">
        <f t="shared" si="4"/>
        <v>0</v>
      </c>
      <c r="E25" s="478">
        <f t="shared" si="5"/>
        <v>74.430902199216703</v>
      </c>
      <c r="F25" s="478">
        <f t="shared" si="6"/>
        <v>9913.5606027835584</v>
      </c>
      <c r="G25" s="478">
        <f t="shared" si="7"/>
        <v>0</v>
      </c>
      <c r="H25" s="478">
        <f t="shared" si="8"/>
        <v>0</v>
      </c>
      <c r="I25" s="478">
        <f t="shared" si="9"/>
        <v>0</v>
      </c>
      <c r="J25" s="478">
        <f t="shared" si="10"/>
        <v>1024.6464584217897</v>
      </c>
      <c r="K25" s="478">
        <f t="shared" si="11"/>
        <v>0</v>
      </c>
      <c r="L25" s="478">
        <f t="shared" si="12"/>
        <v>0</v>
      </c>
      <c r="M25" s="478">
        <f t="shared" si="13"/>
        <v>0</v>
      </c>
      <c r="N25" s="478">
        <f t="shared" si="14"/>
        <v>0</v>
      </c>
      <c r="O25" s="478">
        <f t="shared" si="15"/>
        <v>0</v>
      </c>
      <c r="P25" s="479">
        <f t="shared" si="16"/>
        <v>0</v>
      </c>
      <c r="Q25" s="477">
        <f t="shared" ca="1" si="17"/>
        <v>26898.20557070971</v>
      </c>
    </row>
    <row r="26" spans="1:17">
      <c r="A26" s="477" t="s">
        <v>629</v>
      </c>
      <c r="B26" s="478">
        <f t="shared" ca="1" si="2"/>
        <v>8094.2097671764186</v>
      </c>
      <c r="C26" s="478">
        <f t="shared" ca="1" si="3"/>
        <v>5565.7259148844159</v>
      </c>
      <c r="D26" s="478">
        <f t="shared" si="4"/>
        <v>2926.6565618691261</v>
      </c>
      <c r="E26" s="478">
        <f t="shared" si="5"/>
        <v>985.53034772243677</v>
      </c>
      <c r="F26" s="478">
        <f t="shared" si="6"/>
        <v>4075.3324384433313</v>
      </c>
      <c r="G26" s="478">
        <f t="shared" si="7"/>
        <v>0</v>
      </c>
      <c r="H26" s="478">
        <f t="shared" si="8"/>
        <v>0</v>
      </c>
      <c r="I26" s="478">
        <f t="shared" si="9"/>
        <v>0</v>
      </c>
      <c r="J26" s="478">
        <f t="shared" si="10"/>
        <v>154.44204846764541</v>
      </c>
      <c r="K26" s="478">
        <f t="shared" si="11"/>
        <v>0</v>
      </c>
      <c r="L26" s="478">
        <f t="shared" si="12"/>
        <v>0</v>
      </c>
      <c r="M26" s="478">
        <f t="shared" si="13"/>
        <v>0</v>
      </c>
      <c r="N26" s="478">
        <f t="shared" si="14"/>
        <v>0</v>
      </c>
      <c r="O26" s="478">
        <f t="shared" si="15"/>
        <v>0</v>
      </c>
      <c r="P26" s="479">
        <f t="shared" si="16"/>
        <v>0</v>
      </c>
      <c r="Q26" s="477">
        <f t="shared" ca="1" si="17"/>
        <v>21801.897078563376</v>
      </c>
    </row>
    <row r="27" spans="1:17" s="483" customFormat="1">
      <c r="A27" s="481" t="s">
        <v>555</v>
      </c>
      <c r="B27" s="801">
        <f t="shared" ca="1" si="2"/>
        <v>31.454696066377469</v>
      </c>
      <c r="C27" s="482">
        <f t="shared" ca="1" si="3"/>
        <v>0</v>
      </c>
      <c r="D27" s="482">
        <f t="shared" si="4"/>
        <v>357.89117169844269</v>
      </c>
      <c r="E27" s="482">
        <f t="shared" si="5"/>
        <v>336.57722286123317</v>
      </c>
      <c r="F27" s="482">
        <f t="shared" si="6"/>
        <v>0</v>
      </c>
      <c r="G27" s="482">
        <f t="shared" si="7"/>
        <v>231000.52980771806</v>
      </c>
      <c r="H27" s="482">
        <f t="shared" si="8"/>
        <v>33341.704517518498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265068.1574158626</v>
      </c>
    </row>
    <row r="28" spans="1:17" ht="16.5" customHeight="1">
      <c r="A28" s="477" t="s">
        <v>545</v>
      </c>
      <c r="B28" s="478">
        <f t="shared" ca="1" si="2"/>
        <v>0</v>
      </c>
      <c r="C28" s="478">
        <f t="shared" ca="1" si="3"/>
        <v>0</v>
      </c>
      <c r="D28" s="478">
        <f t="shared" si="4"/>
        <v>0</v>
      </c>
      <c r="E28" s="478">
        <f t="shared" si="5"/>
        <v>0</v>
      </c>
      <c r="F28" s="478">
        <f t="shared" si="6"/>
        <v>0</v>
      </c>
      <c r="G28" s="478">
        <f t="shared" si="7"/>
        <v>953.98256455414366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953.98256455414366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556.62283363961285</v>
      </c>
      <c r="C32" s="478">
        <f t="shared" ca="1" si="3"/>
        <v>0</v>
      </c>
      <c r="D32" s="478">
        <f t="shared" si="4"/>
        <v>1086.5525700380001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1643.1754036776128</v>
      </c>
    </row>
    <row r="33" spans="1:17" s="489" customFormat="1">
      <c r="A33" s="487" t="s">
        <v>549</v>
      </c>
      <c r="B33" s="488">
        <f ca="1">SUM(B22:B32)</f>
        <v>30462.485663271345</v>
      </c>
      <c r="C33" s="488">
        <f t="shared" ref="C33:Q33" ca="1" si="19">SUM(C22:C32)</f>
        <v>25517.898680672271</v>
      </c>
      <c r="D33" s="488">
        <f t="shared" ca="1" si="19"/>
        <v>59180.608213512132</v>
      </c>
      <c r="E33" s="488">
        <f t="shared" si="19"/>
        <v>3519.8677659032701</v>
      </c>
      <c r="F33" s="488">
        <f t="shared" ca="1" si="19"/>
        <v>19165.188732911152</v>
      </c>
      <c r="G33" s="488">
        <f t="shared" si="19"/>
        <v>231954.51237227221</v>
      </c>
      <c r="H33" s="488">
        <f t="shared" si="19"/>
        <v>33341.704517518498</v>
      </c>
      <c r="I33" s="488">
        <f t="shared" si="19"/>
        <v>0</v>
      </c>
      <c r="J33" s="488">
        <f t="shared" si="19"/>
        <v>2338.7904102076059</v>
      </c>
      <c r="K33" s="488">
        <f t="shared" si="19"/>
        <v>0</v>
      </c>
      <c r="L33" s="488">
        <f t="shared" ca="1" si="19"/>
        <v>0</v>
      </c>
      <c r="M33" s="488">
        <f t="shared" si="19"/>
        <v>0</v>
      </c>
      <c r="N33" s="488">
        <f t="shared" ca="1" si="19"/>
        <v>0</v>
      </c>
      <c r="O33" s="488">
        <f t="shared" si="19"/>
        <v>0</v>
      </c>
      <c r="P33" s="488">
        <f t="shared" si="19"/>
        <v>0</v>
      </c>
      <c r="Q33" s="488">
        <f t="shared" ca="1" si="19"/>
        <v>405481.05635626847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182065.59810098994</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46092.993491957524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45864.515012879099</v>
      </c>
      <c r="C8" s="1062">
        <f>'SEAP template'!C76</f>
        <v>81639.564987120888</v>
      </c>
      <c r="D8" s="1062">
        <f>'SEAP template'!D76</f>
        <v>88428.361764705871</v>
      </c>
      <c r="E8" s="1062">
        <f>'SEAP template'!E76</f>
        <v>0</v>
      </c>
      <c r="F8" s="1062">
        <f>'SEAP template'!F76</f>
        <v>0</v>
      </c>
      <c r="G8" s="1062">
        <f>'SEAP template'!G76</f>
        <v>0</v>
      </c>
      <c r="H8" s="1062">
        <f>'SEAP template'!H76</f>
        <v>0</v>
      </c>
      <c r="I8" s="1062">
        <f>'SEAP template'!I76</f>
        <v>0</v>
      </c>
      <c r="J8" s="1062">
        <f>'SEAP template'!J76</f>
        <v>49678.411764705881</v>
      </c>
      <c r="K8" s="1062">
        <f>'SEAP template'!K76</f>
        <v>0</v>
      </c>
      <c r="L8" s="1062">
        <f>'SEAP template'!L76</f>
        <v>0</v>
      </c>
      <c r="M8" s="1062">
        <f>'SEAP template'!M76</f>
        <v>0</v>
      </c>
      <c r="N8" s="1062">
        <f>'SEAP template'!N76</f>
        <v>0</v>
      </c>
      <c r="O8" s="1062">
        <f>'SEAP template'!O76</f>
        <v>0</v>
      </c>
      <c r="P8" s="1063">
        <f>'SEAP template'!Q76</f>
        <v>17862.529076470586</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274023.10660582653</v>
      </c>
      <c r="C10" s="1064">
        <f>SUM(C4:C9)</f>
        <v>81639.564987120888</v>
      </c>
      <c r="D10" s="1064">
        <f t="shared" ref="D10:H10" si="0">SUM(D8:D9)</f>
        <v>88428.361764705871</v>
      </c>
      <c r="E10" s="1064">
        <f t="shared" si="0"/>
        <v>0</v>
      </c>
      <c r="F10" s="1064">
        <f t="shared" si="0"/>
        <v>0</v>
      </c>
      <c r="G10" s="1064">
        <f t="shared" si="0"/>
        <v>0</v>
      </c>
      <c r="H10" s="1064">
        <f t="shared" si="0"/>
        <v>0</v>
      </c>
      <c r="I10" s="1064">
        <f>SUM(I8:I9)</f>
        <v>0</v>
      </c>
      <c r="J10" s="1064">
        <f>SUM(J8:J9)</f>
        <v>49678.411764705881</v>
      </c>
      <c r="K10" s="1064">
        <f t="shared" ref="K10:L10" si="1">SUM(K8:K9)</f>
        <v>0</v>
      </c>
      <c r="L10" s="1064">
        <f t="shared" si="1"/>
        <v>0</v>
      </c>
      <c r="M10" s="1064">
        <f>SUM(M8:M9)</f>
        <v>0</v>
      </c>
      <c r="N10" s="1064">
        <f>SUM(N8:N9)</f>
        <v>0</v>
      </c>
      <c r="O10" s="1064">
        <f>SUM(O8:O9)</f>
        <v>0</v>
      </c>
      <c r="P10" s="1064">
        <f>SUM(P8:P9)</f>
        <v>17862.529076470586</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7.3816945948325857E-2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65520.735732684443</v>
      </c>
      <c r="C17" s="1065">
        <f>'SEAP template'!C87</f>
        <v>116627.9499816013</v>
      </c>
      <c r="D17" s="1063">
        <f>'SEAP template'!D87</f>
        <v>126326.23109243698</v>
      </c>
      <c r="E17" s="1063">
        <f>'SEAP template'!E87</f>
        <v>0</v>
      </c>
      <c r="F17" s="1063">
        <f>'SEAP template'!F87</f>
        <v>0</v>
      </c>
      <c r="G17" s="1063">
        <f>'SEAP template'!G87</f>
        <v>0</v>
      </c>
      <c r="H17" s="1063">
        <f>'SEAP template'!H87</f>
        <v>0</v>
      </c>
      <c r="I17" s="1063">
        <f>'SEAP template'!I87</f>
        <v>0</v>
      </c>
      <c r="J17" s="1063">
        <f>'SEAP template'!J87</f>
        <v>70969.159663865561</v>
      </c>
      <c r="K17" s="1063">
        <f>'SEAP template'!K87</f>
        <v>0</v>
      </c>
      <c r="L17" s="1063">
        <f>'SEAP template'!L87</f>
        <v>0</v>
      </c>
      <c r="M17" s="1063">
        <f>'SEAP template'!M87</f>
        <v>0</v>
      </c>
      <c r="N17" s="1063">
        <f>'SEAP template'!N87</f>
        <v>0</v>
      </c>
      <c r="O17" s="1063">
        <f>'SEAP template'!O87</f>
        <v>0</v>
      </c>
      <c r="P17" s="1063">
        <f>'SEAP template'!Q87</f>
        <v>25517.898680672271</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65520.735732684443</v>
      </c>
      <c r="C20" s="1064">
        <f>SUM(C17:C19)</f>
        <v>116627.9499816013</v>
      </c>
      <c r="D20" s="1064">
        <f t="shared" ref="D20:H20" si="2">SUM(D17:D19)</f>
        <v>126326.23109243698</v>
      </c>
      <c r="E20" s="1064">
        <f t="shared" si="2"/>
        <v>0</v>
      </c>
      <c r="F20" s="1064">
        <f t="shared" si="2"/>
        <v>0</v>
      </c>
      <c r="G20" s="1064">
        <f t="shared" si="2"/>
        <v>0</v>
      </c>
      <c r="H20" s="1064">
        <f t="shared" si="2"/>
        <v>0</v>
      </c>
      <c r="I20" s="1064">
        <f>SUM(I17:I19)</f>
        <v>0</v>
      </c>
      <c r="J20" s="1064">
        <f>SUM(J17:J19)</f>
        <v>70969.159663865561</v>
      </c>
      <c r="K20" s="1064">
        <f t="shared" ref="K20:L20" si="3">SUM(K17:K19)</f>
        <v>0</v>
      </c>
      <c r="L20" s="1064">
        <f t="shared" si="3"/>
        <v>0</v>
      </c>
      <c r="M20" s="1064">
        <f>SUM(M17:M19)</f>
        <v>0</v>
      </c>
      <c r="N20" s="1064">
        <f>SUM(N17:N19)</f>
        <v>0</v>
      </c>
      <c r="O20" s="1064">
        <f>SUM(O17:O19)</f>
        <v>0</v>
      </c>
      <c r="P20" s="1064">
        <f>SUM(P17:P19)</f>
        <v>25517.898680672271</v>
      </c>
    </row>
    <row r="21" spans="1:16">
      <c r="B21" s="913"/>
    </row>
    <row r="22" spans="1:16">
      <c r="A22" s="490" t="s">
        <v>814</v>
      </c>
      <c r="B22" s="807" t="s">
        <v>812</v>
      </c>
      <c r="C22" s="807">
        <f ca="1">'EF ele_warmte'!B22</f>
        <v>0.14009378426533947</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7.3816945948325857E-2</v>
      </c>
      <c r="C17" s="527">
        <f ca="1">'EF ele_warmte'!B22</f>
        <v>0.14009378426533947</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2019-08-12T08:41:12Z</dcterms:modified>
</cp:coreProperties>
</file>