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I15"/>
  <c r="O20" i="59"/>
  <c r="F16" i="16"/>
  <c r="F30" i="48"/>
  <c r="F32"/>
  <c r="N30"/>
  <c r="N32"/>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I33" i="48"/>
  <c r="K15"/>
  <c r="K33"/>
  <c r="M24"/>
  <c r="M32"/>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P17" i="59"/>
  <c r="P20" s="1"/>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F26" i="48"/>
  <c r="F33"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<sst xmlns="http://schemas.openxmlformats.org/spreadsheetml/2006/main" count="2393" uniqueCount="893">
  <si>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</si>
  <si>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</si>
  <si>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</si>
  <si>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</si>
  <si>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</si>
  <si>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</si>
  <si>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</si>
  <si>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</si>
  <si>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</si>
  <si>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</si>
  <si>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</si>
  <si>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</si>
  <si>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</si>
  <si>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</si>
  <si>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</si>
  <si>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</si>
  <si>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</si>
  <si>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</si>
  <si>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</si>
  <si>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</si>
  <si>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</si>
  <si>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</si>
  <si>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</si>
  <si>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</si>
  <si>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</si>
  <si>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</si>
  <si>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</si>
  <si>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</si>
  <si>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</si>
  <si>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</si>
  <si>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</si>
  <si>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</si>
  <si>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</si>
  <si>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</si>
  <si>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</si>
  <si>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</si>
  <si>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</si>
  <si>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</si>
  <si>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</si>
  <si>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</si>
  <si>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</si>
  <si>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</si>
  <si>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</si>
  <si>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</si>
  <si>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</si>
  <si>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</si>
  <si>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</si>
  <si>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</si>
  <si>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</si>
  <si>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</si>
  <si>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</si>
  <si>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</si>
  <si>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</si>
  <si>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</si>
  <si>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</si>
  <si>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</si>
  <si>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</si>
  <si>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</si>
  <si>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</si>
  <si>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</si>
  <si>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</si>
  <si>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</si>
  <si>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</si>
  <si>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</si>
  <si>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</si>
  <si>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</si>
  <si>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</si>
  <si>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</si>
  <si>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</si>
  <si>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</si>
  <si>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</si>
  <si>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</si>
  <si>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</si>
  <si>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</si>
  <si>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</si>
  <si>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</si>
  <si>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</si>
  <si>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</si>
  <si>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</si>
  <si>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</si>
  <si>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</si>
  <si>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</si>
  <si>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</si>
  <si>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</si>
  <si>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</si>
  <si>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</si>
  <si>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</si>
  <si>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</si>
  <si>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</si>
  <si>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</si>
  <si>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</si>
  <si>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</si>
  <si>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</si>
  <si>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</si>
  <si>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</si>
  <si>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</si>
  <si>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</si>
  <si>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</si>
  <si>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</si>
  <si>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</si>
  <si>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</si>
  <si>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</si>
  <si>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</si>
  <si>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</si>
  <si>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</si>
  <si>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</si>
  <si>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</si>
  <si>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</si>
  <si>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</si>
  <si>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</si>
  <si>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</si>
  <si>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</si>
  <si>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</si>
  <si>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</si>
  <si>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</si>
  <si>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</si>
  <si>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</si>
  <si>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</si>
  <si>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</si>
  <si>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</si>
  <si>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</si>
  <si>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</si>
  <si>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</si>
  <si>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</si>
  <si>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</si>
  <si>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</si>
  <si>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</si>
  <si>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</si>
  <si>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</si>
  <si>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</si>
  <si>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</si>
  <si>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</si>
  <si>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</si>
  <si>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</si>
  <si>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</si>
  <si>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</si>
  <si>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</si>
  <si>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</si>
  <si>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</si>
  <si>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</si>
  <si>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</si>
  <si>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</si>
  <si>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</si>
  <si>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</si>
  <si>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</si>
  <si>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</si>
  <si>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</si>
  <si>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</si>
  <si>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</si>
  <si>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</si>
  <si>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</si>
  <si>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</si>
  <si>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</si>
  <si>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</si>
  <si>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</si>
  <si>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</si>
  <si>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</si>
  <si>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</si>
  <si>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</si>
  <si>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</si>
  <si>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</si>
  <si>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</si>
  <si>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</si>
  <si>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</si>
  <si>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</si>
  <si>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</si>
  <si>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</si>
  <si>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</si>
  <si>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</si>
  <si>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</si>
  <si>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</si>
  <si>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</si>
  <si>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</si>
  <si>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</si>
  <si>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</si>
  <si>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</si>
  <si>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</si>
  <si>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</si>
  <si>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</si>
  <si>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</si>
  <si>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</si>
  <si>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</si>
  <si>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</si>
  <si>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</si>
  <si>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</si>
  <si>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</si>
  <si>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</si>
  <si>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</si>
  <si>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</si>
  <si>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</si>
  <si>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</si>
  <si>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</si>
  <si>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</si>
  <si>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</si>
  <si>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</si>
  <si>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</si>
  <si>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</si>
  <si>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</si>
  <si>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</si>
  <si>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</si>
  <si>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</si>
  <si>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</si>
  <si>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</si>
  <si>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</si>
  <si>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</si>
  <si>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</si>
  <si>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</si>
  <si>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</si>
  <si>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</si>
  <si>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</si>
  <si>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</si>
  <si>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</si>
  <si>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</si>
  <si>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</si>
  <si>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</si>
  <si>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</si>
  <si>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</si>
  <si>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</si>
  <si>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</si>
  <si>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</si>
  <si>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</si>
  <si>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</si>
  <si>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</si>
  <si>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</si>
  <si>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</si>
  <si>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</si>
  <si>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</si>
  <si>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</si>
  <si>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</si>
  <si>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</si>
  <si>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</si>
  <si>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</si>
  <si>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</si>
  <si>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</si>
  <si>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</si>
  <si>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</si>
  <si>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</si>
  <si>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</si>
  <si>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</si>
  <si>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</si>
  <si>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</si>
  <si>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</si>
  <si>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</si>
  <si>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</si>
  <si>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</si>
  <si>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</si>
  <si>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</si>
  <si>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</si>
  <si>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</si>
  <si>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</si>
  <si>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</si>
  <si>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</si>
  <si>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</si>
  <si>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</si>
  <si>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</si>
  <si>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</si>
  <si>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</si>
  <si>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</si>
  <si>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</si>
  <si>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</si>
  <si>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</si>
  <si>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</si>
  <si>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</si>
  <si>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</si>
  <si>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</si>
  <si>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</si>
  <si>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</si>
  <si>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</si>
  <si>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</si>
  <si>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</si>
  <si>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</si>
  <si>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</si>
  <si>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</si>
  <si>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</si>
  <si>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</si>
  <si>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</si>
  <si>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</si>
  <si>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</si>
  <si>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</si>
  <si>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</si>
  <si>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</si>
  <si>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</si>
  <si>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</si>
  <si>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</si>
  <si>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</si>
  <si>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</si>
  <si>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</si>
  <si>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</si>
  <si>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</si>
  <si>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</si>
  <si>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</si>
  <si>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</si>
  <si>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</si>
  <si>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</si>
  <si>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</si>
  <si>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</si>
  <si>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</si>
  <si>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</si>
  <si>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</si>
  <si>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</si>
  <si>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</si>
  <si>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</si>
  <si>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</si>
  <si>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</si>
  <si>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</si>
  <si>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</si>
  <si>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</si>
  <si>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</si>
  <si>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</si>
  <si>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</si>
  <si>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</si>
  <si>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</si>
  <si>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</si>
  <si>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</si>
  <si>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</si>
  <si>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</si>
  <si>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</si>
  <si>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</si>
  <si>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</si>
  <si>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</si>
  <si>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</si>
  <si>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</si>
  <si>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</si>
  <si>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</si>
  <si>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</si>
  <si>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</si>
  <si>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</si>
  <si>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</si>
  <si>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</si>
  <si>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</si>
  <si>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</si>
  <si>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</si>
  <si>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</si>
  <si>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</si>
  <si>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</si>
  <si>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</si>
  <si>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</si>
  <si>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</si>
  <si>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</si>
  <si>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</si>
  <si>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</si>
  <si>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</si>
  <si>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</si>
  <si>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</si>
  <si>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</si>
  <si>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</si>
  <si>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</si>
  <si>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</si>
  <si>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</si>
  <si>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</si>
  <si>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</si>
  <si>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</si>
  <si>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</si>
  <si>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</si>
  <si>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</si>
  <si>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</si>
  <si>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</si>
  <si>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</si>
  <si>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</si>
  <si>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</si>
  <si>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</si>
  <si>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</si>
  <si>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</si>
  <si>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</si>
  <si>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</si>
  <si>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</si>
  <si>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</si>
  <si>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</si>
  <si>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</si>
  <si>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</si>
  <si>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</si>
  <si>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</si>
  <si>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</si>
  <si>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</si>
  <si>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</si>
  <si>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</si>
  <si>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</si>
  <si>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</si>
  <si>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</si>
  <si>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</si>
  <si>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</si>
  <si>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</si>
  <si>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</si>
  <si>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</si>
  <si>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</si>
  <si>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</si>
  <si>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</si>
  <si>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</si>
  <si>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</si>
  <si>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</si>
  <si>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</si>
  <si>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</si>
  <si>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</si>
  <si>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</si>
  <si>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</si>
  <si>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</si>
  <si>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</si>
  <si>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</si>
  <si>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</si>
  <si>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</si>
  <si>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</si>
  <si>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</si>
  <si>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</si>
  <si>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</si>
  <si>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</si>
  <si>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</si>
  <si>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</si>
  <si>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</si>
  <si>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</si>
  <si>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</si>
  <si>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</si>
  <si>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</si>
  <si>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</si>
  <si>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</si>
  <si>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</si>
  <si>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</si>
  <si>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</si>
  <si>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</si>
  <si>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</si>
  <si>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</si>
  <si>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</si>
  <si>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</si>
  <si>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</si>
  <si>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</si>
  <si>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</si>
  <si>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</si>
  <si>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</si>
  <si>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</si>
  <si>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</si>
  <si>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</si>
  <si>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</si>
  <si>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</si>
  <si>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</si>
  <si>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</si>
  <si>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</si>
  <si>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</si>
  <si>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</si>
  <si>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</si>
  <si>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</si>
  <si>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</si>
  <si>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</si>
  <si>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</si>
  <si>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</si>
  <si>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</si>
  <si>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</si>
  <si>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</si>
  <si>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</si>
  <si>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</si>
  <si>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</si>
  <si>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</si>
  <si>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</si>
  <si>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</si>
  <si>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</si>
  <si>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</si>
  <si>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</si>
  <si>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</si>
  <si>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</si>
  <si>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</si>
  <si>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</si>
  <si>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</si>
  <si>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</si>
  <si>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</si>
  <si>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</si>
  <si>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</si>
  <si>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</si>
  <si>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</si>
  <si>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</si>
  <si>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</si>
  <si>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</si>
  <si>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</si>
  <si>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</si>
  <si>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</si>
  <si>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</si>
  <si>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</si>
  <si>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</si>
  <si>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</si>
  <si>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</si>
  <si>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</si>
  <si>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</si>
  <si>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</si>
  <si>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</si>
  <si>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</si>
  <si>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</si>
  <si>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</si>
  <si>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</si>
  <si>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</si>
  <si>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</si>
  <si>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</si>
  <si>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</si>
  <si>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</si>
  <si>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</si>
  <si>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</si>
  <si>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</si>
  <si>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</si>
  <si>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</si>
  <si>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</si>
  <si>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</si>
  <si>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</si>
  <si>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</si>
  <si>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</si>
  <si>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</si>
  <si>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</si>
  <si>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</si>
  <si>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</si>
  <si>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</si>
  <si>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</si>
  <si>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</si>
  <si>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</si>
  <si>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</si>
  <si>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</si>
  <si>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</si>
  <si>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</si>
  <si>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</si>
  <si>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</si>
  <si>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</si>
  <si>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</si>
  <si>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</si>
  <si>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</si>
  <si>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</si>
  <si>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</si>
  <si>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</si>
  <si>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</si>
  <si>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</si>
  <si>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</si>
  <si>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</si>
  <si>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</si>
  <si>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</si>
  <si>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</si>
  <si>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</si>
  <si>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</si>
  <si>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</si>
  <si>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</si>
  <si>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</si>
  <si>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</si>
  <si>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</si>
  <si>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</si>
  <si>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</si>
  <si>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</si>
  <si>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</si>
  <si>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</si>
  <si>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</si>
  <si>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</si>
  <si>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</si>
  <si>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</si>
  <si>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</si>
  <si>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</si>
  <si>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</si>
  <si>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</si>
  <si>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</si>
  <si>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</si>
  <si>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</si>
  <si>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</si>
  <si>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</si>
  <si>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</si>
  <si>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</si>
  <si>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</si>
  <si>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</si>
  <si>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</si>
  <si>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</si>
  <si>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</si>
  <si>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</si>
  <si>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</si>
  <si>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</si>
  <si>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</si>
  <si>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</si>
  <si>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</si>
  <si>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</si>
  <si>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</si>
  <si>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</si>
  <si>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</si>
  <si>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</si>
  <si>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</si>
  <si>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</si>
  <si>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</si>
  <si>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</si>
  <si>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</si>
  <si>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</si>
  <si>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</si>
  <si>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</si>
  <si>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</si>
  <si>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</si>
  <si>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</si>
  <si>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</si>
  <si>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</si>
  <si>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</si>
  <si>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</si>
  <si>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</si>
  <si>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</si>
  <si>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</si>
  <si>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</si>
  <si>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</si>
  <si>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</si>
  <si>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</si>
  <si>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</si>
  <si>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</si>
  <si>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</si>
  <si>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</si>
  <si>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</si>
  <si>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</si>
  <si>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</si>
  <si>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</si>
  <si>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</si>
  <si>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</si>
  <si>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</si>
  <si>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</si>
  <si>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</si>
  <si>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</si>
  <si>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</si>
  <si>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</si>
  <si>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</si>
  <si>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</si>
  <si>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</si>
  <si>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</si>
  <si>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</si>
  <si>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</si>
  <si>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</si>
  <si>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</si>
  <si>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</si>
  <si>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</si>
  <si>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</si>
  <si>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</si>
  <si>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</si>
  <si>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</si>
  <si>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</si>
  <si>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</si>
  <si>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</si>
  <si>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</si>
  <si>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</si>
  <si>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</si>
  <si>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</si>
  <si>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</si>
  <si>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</si>
  <si>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</si>
  <si>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</si>
  <si>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</si>
  <si>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</si>
  <si>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</si>
  <si>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</si>
  <si>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</si>
  <si>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</si>
  <si>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</si>
  <si>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</si>
  <si>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</si>
  <si>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</si>
  <si>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</si>
  <si>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</si>
  <si>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</si>
  <si>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</si>
  <si>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</si>
  <si>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</si>
  <si>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</si>
  <si>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</si>
  <si>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</si>
  <si>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</si>
  <si>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</si>
  <si>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</si>
  <si>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</si>
  <si>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</si>
  <si>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</si>
  <si>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</si>
  <si>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</si>
  <si>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</si>
  <si>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</si>
  <si>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</si>
  <si>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</si>
  <si>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</si>
  <si>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</si>
  <si>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</si>
  <si>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</si>
  <si>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</si>
  <si>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</si>
  <si>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</si>
  <si>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</si>
  <si>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</si>
  <si>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</si>
  <si>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</si>
  <si>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</si>
  <si>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</si>
  <si>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</si>
  <si>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</si>
  <si>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</si>
  <si>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</si>
  <si>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</si>
  <si>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</si>
  <si>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</si>
  <si>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</si>
  <si>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</si>
  <si>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</si>
  <si>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</si>
  <si>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</si>
  <si>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</si>
  <si>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</si>
  <si>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</si>
  <si>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</si>
  <si>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</si>
  <si>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</si>
  <si>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</si>
  <si>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</si>
  <si>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</si>
  <si>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</si>
  <si>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</si>
  <si>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</si>
  <si>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</si>
  <si>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</si>
  <si>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</si>
  <si>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</si>
  <si>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</si>
  <si>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</si>
  <si>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</si>
  <si>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</si>
  <si>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</si>
  <si>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</si>
  <si>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</si>
  <si>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</si>
  <si>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</si>
  <si>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</si>
  <si>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</si>
  <si>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</si>
  <si>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</si>
  <si>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</si>
  <si>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</si>
  <si>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</si>
  <si>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</si>
  <si>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</si>
  <si>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</si>
  <si>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</si>
  <si>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</si>
  <si>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</si>
  <si>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</si>
  <si>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</si>
  <si>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</si>
  <si>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</si>
  <si>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</si>
  <si>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</si>
  <si>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</si>
  <si>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</si>
  <si>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</si>
  <si>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</si>
  <si>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</si>
  <si>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</si>
  <si>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</si>
  <si>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</si>
  <si>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</si>
  <si>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</si>
  <si>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</si>
  <si>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</si>
  <si>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</si>
  <si>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</si>
  <si>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</si>
  <si>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</si>
  <si>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</si>
  <si>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</si>
  <si>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</si>
  <si>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</si>
  <si>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</si>
  <si>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</si>
  <si>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</si>
  <si>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</si>
  <si>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</si>
  <si>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</si>
  <si>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</si>
  <si>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</si>
  <si>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</si>
  <si>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</si>
  <si>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</si>
  <si>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</si>
  <si>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</si>
  <si>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</si>
  <si>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</si>
  <si>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</si>
  <si>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</si>
  <si>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</si>
  <si>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</si>
  <si>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</si>
  <si>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</si>
  <si>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</si>
  <si>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</si>
  <si>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</si>
  <si>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</si>
  <si>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</si>
  <si>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</si>
  <si>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</si>
  <si>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</si>
  <si>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</si>
  <si>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</si>
  <si>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</si>
  <si>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</si>
  <si>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</si>
  <si>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</si>
  <si>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</si>
  <si>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</si>
  <si>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</si>
  <si>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</si>
  <si>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</si>
  <si>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</si>
  <si>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</si>
  <si>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</si>
  <si>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</si>
  <si>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</si>
  <si>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</si>
  <si>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</si>
  <si>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</si>
  <si>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</si>
  <si>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</si>
  <si>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</si>
  <si>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</si>
  <si>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</si>
  <si>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</si>
  <si>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</si>
  <si>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</si>
  <si>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</si>
  <si>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</si>
  <si>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</si>
  <si>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</si>
  <si>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</si>
  <si>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</si>
  <si>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</si>
  <si>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</si>
  <si>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</si>
  <si>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</si>
  <si>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</si>
  <si>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</si>
  <si>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</si>
  <si>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</si>
  <si>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</si>
  <si>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</si>
  <si>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</si>
  <si>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</si>
  <si>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</si>
  <si>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</si>
  <si>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</si>
  <si>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</si>
  <si>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</si>
  <si>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</si>
  <si>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</si>
  <si>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</si>
  <si>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</si>
  <si>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</si>
  <si>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</si>
  <si>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</si>
  <si>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</si>
  <si>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</si>
  <si>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</si>
  <si>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</si>
  <si>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</si>
  <si>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</si>
  <si>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</si>
  <si>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</si>
  <si>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</si>
  <si>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</si>
  <si>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</si>
  <si>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</si>
  <si>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</si>
  <si>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</si>
  <si>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</si>
  <si>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</si>
  <si>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</si>
  <si>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</si>
  <si>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</si>
  <si>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</si>
  <si>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</si>
  <si>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</si>
  <si>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</si>
  <si>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</si>
  <si>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</si>
  <si>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</si>
  <si>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</si>
  <si>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</si>
  <si>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</si>
  <si>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</si>
  <si>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</si>
  <si>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</si>
  <si>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</si>
  <si>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</si>
  <si>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</si>
  <si>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</si>
  <si>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</si>
  <si>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</si>
  <si>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45065</t>
  </si>
  <si>
    <t>ZWALM</t>
  </si>
  <si>
    <t>Mestbank (maart 2019)</t>
  </si>
  <si>
    <t>Fluvius (februari 2019)</t>
  </si>
  <si>
    <t>referentietaak LNE (2017); Jaarverslag De Lijn (2018)</t>
  </si>
  <si>
    <t>VEA (30 april 2019)</t>
  </si>
  <si>
    <t>VEA (mei 2018)</t>
  </si>
  <si>
    <t>VEA (mei 2019)</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</si>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</sst>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73625.292049470547</c:v>
                </c:pt>
                <c:pt idx="1">
                  <c:v>12568.481034660337</c:v>
                </c:pt>
                <c:pt idx="2">
                  <c:v>473.06</c:v>
                </c:pt>
                <c:pt idx="3">
                  <c:v>5031.954471503811</c:v>
                </c:pt>
                <c:pt idx="4">
                  <c:v>2582.267822335752</c:v>
                </c:pt>
                <c:pt idx="5">
                  <c:v>55572.710029158879</c:v>
                </c:pt>
                <c:pt idx="6">
                  <c:v>740.60668390870308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73625.292049470547</c:v>
                </c:pt>
                <c:pt idx="1">
                  <c:v>12568.481034660337</c:v>
                </c:pt>
                <c:pt idx="2">
                  <c:v>473.06</c:v>
                </c:pt>
                <c:pt idx="3">
                  <c:v>5031.954471503811</c:v>
                </c:pt>
                <c:pt idx="4">
                  <c:v>2582.267822335752</c:v>
                </c:pt>
                <c:pt idx="5">
                  <c:v>55572.710029158879</c:v>
                </c:pt>
                <c:pt idx="6">
                  <c:v>740.60668390870308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14822.449262558588</c:v>
                </c:pt>
                <c:pt idx="1">
                  <c:v>2498.6594557813232</c:v>
                </c:pt>
                <c:pt idx="2">
                  <c:v>92.518910451278359</c:v>
                </c:pt>
                <c:pt idx="3">
                  <c:v>1284.8117323587392</c:v>
                </c:pt>
                <c:pt idx="4">
                  <c:v>537.59648983696525</c:v>
                </c:pt>
                <c:pt idx="5">
                  <c:v>13803.111051386411</c:v>
                </c:pt>
                <c:pt idx="6">
                  <c:v>187.33015392171208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60288"/>
        <c:axId val="181261824"/>
      </c:barChart>
      <c:catAx>
        <c:axId val="181260288"/>
        <c:scaling>
          <c:orientation val="minMax"/>
        </c:scaling>
        <c:axPos val="b"/>
        <c:numFmt formatCode="General" sourceLinked="0"/>
        <c:tickLblPos val="nextTo"/>
        <c:crossAx val="181261824"/>
        <c:crosses val="autoZero"/>
        <c:auto val="1"/>
        <c:lblAlgn val="ctr"/>
        <c:lblOffset val="100"/>
      </c:catAx>
      <c:valAx>
        <c:axId val="181261824"/>
        <c:scaling>
          <c:orientation val="minMax"/>
        </c:scaling>
        <c:axPos val="l"/>
        <c:majorGridlines/>
        <c:numFmt formatCode="#,##0" sourceLinked="1"/>
        <c:tickLblPos val="nextTo"/>
        <c:crossAx val="1812602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14822.449262558588</c:v>
                </c:pt>
                <c:pt idx="1">
                  <c:v>2498.6594557813232</c:v>
                </c:pt>
                <c:pt idx="2">
                  <c:v>92.518910451278359</c:v>
                </c:pt>
                <c:pt idx="3">
                  <c:v>1284.8117323587392</c:v>
                </c:pt>
                <c:pt idx="4">
                  <c:v>537.59648983696525</c:v>
                </c:pt>
                <c:pt idx="5">
                  <c:v>13803.111051386411</c:v>
                </c:pt>
                <c:pt idx="6">
                  <c:v>187.33015392171208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45065</v>
      </c>
      <c r="B6" s="415"/>
      <c r="C6" s="416"/>
    </row>
    <row r="7" spans="1:7" s="413" customFormat="1" ht="15.75" customHeight="1">
      <c r="A7" s="417" t="str">
        <f>txtMunicipality</f>
        <v>ZWALM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0.19557542479025569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0.19557542479025569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3271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2069.46</v>
      </c>
    </row>
    <row r="15" spans="1:6">
      <c r="A15" s="348" t="s">
        <v>183</v>
      </c>
      <c r="B15" s="334">
        <v>13</v>
      </c>
    </row>
    <row r="16" spans="1:6">
      <c r="A16" s="348" t="s">
        <v>6</v>
      </c>
      <c r="B16" s="334">
        <v>565</v>
      </c>
    </row>
    <row r="17" spans="1:6">
      <c r="A17" s="348" t="s">
        <v>7</v>
      </c>
      <c r="B17" s="334">
        <v>325</v>
      </c>
    </row>
    <row r="18" spans="1:6">
      <c r="A18" s="348" t="s">
        <v>8</v>
      </c>
      <c r="B18" s="334">
        <v>546</v>
      </c>
    </row>
    <row r="19" spans="1:6">
      <c r="A19" s="348" t="s">
        <v>9</v>
      </c>
      <c r="B19" s="334">
        <v>515</v>
      </c>
    </row>
    <row r="20" spans="1:6">
      <c r="A20" s="348" t="s">
        <v>10</v>
      </c>
      <c r="B20" s="334">
        <v>360</v>
      </c>
    </row>
    <row r="21" spans="1:6">
      <c r="A21" s="348" t="s">
        <v>11</v>
      </c>
      <c r="B21" s="334">
        <v>1020</v>
      </c>
    </row>
    <row r="22" spans="1:6">
      <c r="A22" s="348" t="s">
        <v>12</v>
      </c>
      <c r="B22" s="334">
        <v>2880</v>
      </c>
    </row>
    <row r="23" spans="1:6">
      <c r="A23" s="348" t="s">
        <v>13</v>
      </c>
      <c r="B23" s="334">
        <v>90</v>
      </c>
    </row>
    <row r="24" spans="1:6">
      <c r="A24" s="348" t="s">
        <v>14</v>
      </c>
      <c r="B24" s="334">
        <v>4</v>
      </c>
    </row>
    <row r="25" spans="1:6">
      <c r="A25" s="348" t="s">
        <v>15</v>
      </c>
      <c r="B25" s="334">
        <v>323</v>
      </c>
    </row>
    <row r="26" spans="1:6">
      <c r="A26" s="348" t="s">
        <v>16</v>
      </c>
      <c r="B26" s="334">
        <v>157</v>
      </c>
    </row>
    <row r="27" spans="1:6">
      <c r="A27" s="348" t="s">
        <v>17</v>
      </c>
      <c r="B27" s="334">
        <v>0</v>
      </c>
    </row>
    <row r="28" spans="1:6" s="356" customFormat="1">
      <c r="A28" s="355" t="s">
        <v>18</v>
      </c>
      <c r="B28" s="355">
        <v>113942</v>
      </c>
    </row>
    <row r="29" spans="1:6">
      <c r="A29" s="355" t="s">
        <v>713</v>
      </c>
      <c r="B29" s="355">
        <v>47</v>
      </c>
      <c r="C29" s="356"/>
      <c r="D29" s="356"/>
      <c r="E29" s="356"/>
      <c r="F29" s="356"/>
    </row>
    <row r="30" spans="1:6">
      <c r="A30" s="341" t="s">
        <v>714</v>
      </c>
      <c r="B30" s="341">
        <v>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3118.223</v>
      </c>
    </row>
    <row r="39" spans="1:6">
      <c r="A39" s="348" t="s">
        <v>29</v>
      </c>
      <c r="B39" s="348" t="s">
        <v>30</v>
      </c>
      <c r="C39" s="334">
        <v>1219</v>
      </c>
      <c r="D39" s="334">
        <v>19045727.710000001</v>
      </c>
      <c r="E39" s="334">
        <v>3111</v>
      </c>
      <c r="F39" s="334">
        <v>12913144.369999999</v>
      </c>
    </row>
    <row r="40" spans="1:6">
      <c r="A40" s="348" t="s">
        <v>29</v>
      </c>
      <c r="B40" s="348" t="s">
        <v>28</v>
      </c>
      <c r="C40" s="334">
        <v>0</v>
      </c>
      <c r="D40" s="334">
        <v>0</v>
      </c>
      <c r="E40" s="334">
        <v>0</v>
      </c>
      <c r="F40" s="334">
        <v>0</v>
      </c>
    </row>
    <row r="41" spans="1:6">
      <c r="A41" s="348" t="s">
        <v>31</v>
      </c>
      <c r="B41" s="348" t="s">
        <v>32</v>
      </c>
      <c r="C41" s="334">
        <v>9</v>
      </c>
      <c r="D41" s="334">
        <v>163233.34400000001</v>
      </c>
      <c r="E41" s="334">
        <v>79</v>
      </c>
      <c r="F41" s="334">
        <v>449139.34499999997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16</v>
      </c>
      <c r="D48" s="334">
        <v>300638.71899999998</v>
      </c>
      <c r="E48" s="334">
        <v>30</v>
      </c>
      <c r="F48" s="334">
        <v>835027.05500000005</v>
      </c>
    </row>
    <row r="49" spans="1:6">
      <c r="A49" s="348" t="s">
        <v>31</v>
      </c>
      <c r="B49" s="348" t="s">
        <v>39</v>
      </c>
      <c r="C49" s="334">
        <v>0</v>
      </c>
      <c r="D49" s="334">
        <v>0</v>
      </c>
      <c r="E49" s="334">
        <v>0</v>
      </c>
      <c r="F49" s="334">
        <v>0</v>
      </c>
    </row>
    <row r="50" spans="1:6">
      <c r="A50" s="348" t="s">
        <v>31</v>
      </c>
      <c r="B50" s="348" t="s">
        <v>40</v>
      </c>
      <c r="C50" s="334">
        <v>0</v>
      </c>
      <c r="D50" s="334">
        <v>0</v>
      </c>
      <c r="E50" s="334">
        <v>3</v>
      </c>
      <c r="F50" s="334">
        <v>110475.395</v>
      </c>
    </row>
    <row r="51" spans="1:6">
      <c r="A51" s="348" t="s">
        <v>41</v>
      </c>
      <c r="B51" s="348" t="s">
        <v>42</v>
      </c>
      <c r="C51" s="334">
        <v>3</v>
      </c>
      <c r="D51" s="334">
        <v>87549.479000000007</v>
      </c>
      <c r="E51" s="334">
        <v>58</v>
      </c>
      <c r="F51" s="334">
        <v>833414.78099999996</v>
      </c>
    </row>
    <row r="52" spans="1:6">
      <c r="A52" s="348" t="s">
        <v>41</v>
      </c>
      <c r="B52" s="348" t="s">
        <v>28</v>
      </c>
      <c r="C52" s="334">
        <v>4</v>
      </c>
      <c r="D52" s="334">
        <v>75770.551999999996</v>
      </c>
      <c r="E52" s="334">
        <v>9</v>
      </c>
      <c r="F52" s="334">
        <v>175635.82500000001</v>
      </c>
    </row>
    <row r="53" spans="1:6">
      <c r="A53" s="348" t="s">
        <v>43</v>
      </c>
      <c r="B53" s="348" t="s">
        <v>44</v>
      </c>
      <c r="C53" s="334">
        <v>28</v>
      </c>
      <c r="D53" s="334">
        <v>353856.48200000002</v>
      </c>
      <c r="E53" s="334">
        <v>97</v>
      </c>
      <c r="F53" s="334">
        <v>286123.85800000001</v>
      </c>
    </row>
    <row r="54" spans="1:6">
      <c r="A54" s="348" t="s">
        <v>45</v>
      </c>
      <c r="B54" s="348" t="s">
        <v>46</v>
      </c>
      <c r="C54" s="334">
        <v>0</v>
      </c>
      <c r="D54" s="334">
        <v>0</v>
      </c>
      <c r="E54" s="334">
        <v>1</v>
      </c>
      <c r="F54" s="334">
        <v>473060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v>
      </c>
      <c r="D57" s="334">
        <v>114676.334</v>
      </c>
      <c r="E57" s="334">
        <v>39</v>
      </c>
      <c r="F57" s="334">
        <v>1234558.2209999999</v>
      </c>
    </row>
    <row r="58" spans="1:6">
      <c r="A58" s="348" t="s">
        <v>48</v>
      </c>
      <c r="B58" s="348" t="s">
        <v>50</v>
      </c>
      <c r="C58" s="334">
        <v>7</v>
      </c>
      <c r="D58" s="334">
        <v>242474.69699999999</v>
      </c>
      <c r="E58" s="334">
        <v>22</v>
      </c>
      <c r="F58" s="334">
        <v>142335.04999999999</v>
      </c>
    </row>
    <row r="59" spans="1:6">
      <c r="A59" s="348" t="s">
        <v>48</v>
      </c>
      <c r="B59" s="348" t="s">
        <v>51</v>
      </c>
      <c r="C59" s="334">
        <v>3</v>
      </c>
      <c r="D59" s="334">
        <v>113133.981</v>
      </c>
      <c r="E59" s="334">
        <v>54</v>
      </c>
      <c r="F59" s="334">
        <v>1196494.7690000001</v>
      </c>
    </row>
    <row r="60" spans="1:6">
      <c r="A60" s="348" t="s">
        <v>48</v>
      </c>
      <c r="B60" s="348" t="s">
        <v>52</v>
      </c>
      <c r="C60" s="334">
        <v>20</v>
      </c>
      <c r="D60" s="334">
        <v>537185.24399999995</v>
      </c>
      <c r="E60" s="334">
        <v>39</v>
      </c>
      <c r="F60" s="334">
        <v>673461.31799999997</v>
      </c>
    </row>
    <row r="61" spans="1:6">
      <c r="A61" s="348" t="s">
        <v>48</v>
      </c>
      <c r="B61" s="348" t="s">
        <v>53</v>
      </c>
      <c r="C61" s="334">
        <v>28</v>
      </c>
      <c r="D61" s="334">
        <v>911272.84299999999</v>
      </c>
      <c r="E61" s="334">
        <v>100</v>
      </c>
      <c r="F61" s="334">
        <v>792148.11899999995</v>
      </c>
    </row>
    <row r="62" spans="1:6">
      <c r="A62" s="348" t="s">
        <v>48</v>
      </c>
      <c r="B62" s="348" t="s">
        <v>54</v>
      </c>
      <c r="C62" s="334">
        <v>0</v>
      </c>
      <c r="D62" s="334">
        <v>0</v>
      </c>
      <c r="E62" s="334">
        <v>11</v>
      </c>
      <c r="F62" s="334">
        <v>99950.513999999996</v>
      </c>
    </row>
    <row r="63" spans="1:6">
      <c r="A63" s="348" t="s">
        <v>48</v>
      </c>
      <c r="B63" s="348" t="s">
        <v>28</v>
      </c>
      <c r="C63" s="334">
        <v>69</v>
      </c>
      <c r="D63" s="334">
        <v>3498455.2540000002</v>
      </c>
      <c r="E63" s="334">
        <v>116</v>
      </c>
      <c r="F63" s="334">
        <v>2192177.861</v>
      </c>
    </row>
    <row r="64" spans="1:6">
      <c r="A64" s="348" t="s">
        <v>55</v>
      </c>
      <c r="B64" s="348" t="s">
        <v>56</v>
      </c>
      <c r="C64" s="334">
        <v>0</v>
      </c>
      <c r="D64" s="334">
        <v>0</v>
      </c>
      <c r="E64" s="334">
        <v>0</v>
      </c>
      <c r="F64" s="334">
        <v>0</v>
      </c>
    </row>
    <row r="65" spans="1:6">
      <c r="A65" s="348" t="s">
        <v>55</v>
      </c>
      <c r="B65" s="348" t="s">
        <v>28</v>
      </c>
      <c r="C65" s="334">
        <v>1</v>
      </c>
      <c r="D65" s="334">
        <v>11497.77</v>
      </c>
      <c r="E65" s="334">
        <v>3</v>
      </c>
      <c r="F65" s="334">
        <v>10644.66</v>
      </c>
    </row>
    <row r="66" spans="1:6">
      <c r="A66" s="348" t="s">
        <v>55</v>
      </c>
      <c r="B66" s="348" t="s">
        <v>57</v>
      </c>
      <c r="C66" s="334">
        <v>0</v>
      </c>
      <c r="D66" s="334">
        <v>0</v>
      </c>
      <c r="E66" s="334">
        <v>8</v>
      </c>
      <c r="F66" s="334">
        <v>11886.924000000001</v>
      </c>
    </row>
    <row r="67" spans="1:6">
      <c r="A67" s="355" t="s">
        <v>55</v>
      </c>
      <c r="B67" s="355" t="s">
        <v>58</v>
      </c>
      <c r="C67" s="334">
        <v>0</v>
      </c>
      <c r="D67" s="334">
        <v>0</v>
      </c>
      <c r="E67" s="334">
        <v>0</v>
      </c>
      <c r="F67" s="334">
        <v>0</v>
      </c>
    </row>
    <row r="68" spans="1:6">
      <c r="A68" s="341" t="s">
        <v>55</v>
      </c>
      <c r="B68" s="341" t="s">
        <v>59</v>
      </c>
      <c r="C68" s="334">
        <v>0</v>
      </c>
      <c r="D68" s="334">
        <v>0</v>
      </c>
      <c r="E68" s="334">
        <v>3</v>
      </c>
      <c r="F68" s="334">
        <v>11907.397999999999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50944173</v>
      </c>
      <c r="E73" s="476"/>
    </row>
    <row r="74" spans="1:6">
      <c r="A74" s="348" t="s">
        <v>63</v>
      </c>
      <c r="B74" s="348" t="s">
        <v>651</v>
      </c>
      <c r="C74" s="1307" t="s">
        <v>653</v>
      </c>
      <c r="D74" s="476">
        <v>4293227</v>
      </c>
      <c r="E74" s="476"/>
    </row>
    <row r="75" spans="1:6">
      <c r="A75" s="348" t="s">
        <v>64</v>
      </c>
      <c r="B75" s="348" t="s">
        <v>650</v>
      </c>
      <c r="C75" s="1307" t="s">
        <v>654</v>
      </c>
      <c r="D75" s="476">
        <v>14116349</v>
      </c>
      <c r="E75" s="476"/>
    </row>
    <row r="76" spans="1:6">
      <c r="A76" s="348" t="s">
        <v>64</v>
      </c>
      <c r="B76" s="348" t="s">
        <v>651</v>
      </c>
      <c r="C76" s="1307" t="s">
        <v>655</v>
      </c>
      <c r="D76" s="476">
        <v>267988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205750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11.942931413210443</v>
      </c>
    </row>
    <row r="90" spans="1:6">
      <c r="A90" s="348" t="s">
        <v>543</v>
      </c>
      <c r="B90" s="1309">
        <v>0</v>
      </c>
    </row>
    <row r="91" spans="1:6">
      <c r="A91" s="348" t="s">
        <v>67</v>
      </c>
      <c r="B91" s="334">
        <v>2440.3504348523079</v>
      </c>
    </row>
    <row r="92" spans="1:6">
      <c r="A92" s="341" t="s">
        <v>68</v>
      </c>
      <c r="B92" s="342">
        <v>171.37168909756895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72</v>
      </c>
    </row>
    <row r="98" spans="1:6">
      <c r="A98" s="348" t="s">
        <v>71</v>
      </c>
      <c r="B98" s="334">
        <v>1</v>
      </c>
    </row>
    <row r="99" spans="1:6">
      <c r="A99" s="348" t="s">
        <v>72</v>
      </c>
      <c r="B99" s="334">
        <v>102</v>
      </c>
    </row>
    <row r="100" spans="1:6">
      <c r="A100" s="348" t="s">
        <v>73</v>
      </c>
      <c r="B100" s="334">
        <v>331</v>
      </c>
    </row>
    <row r="101" spans="1:6">
      <c r="A101" s="348" t="s">
        <v>74</v>
      </c>
      <c r="B101" s="334">
        <v>77</v>
      </c>
    </row>
    <row r="102" spans="1:6">
      <c r="A102" s="348" t="s">
        <v>75</v>
      </c>
      <c r="B102" s="334">
        <v>48</v>
      </c>
    </row>
    <row r="103" spans="1:6">
      <c r="A103" s="348" t="s">
        <v>76</v>
      </c>
      <c r="B103" s="334">
        <v>263</v>
      </c>
    </row>
    <row r="104" spans="1:6">
      <c r="A104" s="348" t="s">
        <v>77</v>
      </c>
      <c r="B104" s="334">
        <v>1972</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38</v>
      </c>
      <c r="C123" s="334">
        <v>10</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141</v>
      </c>
    </row>
    <row r="130" spans="1:6">
      <c r="A130" s="348" t="s">
        <v>294</v>
      </c>
      <c r="B130" s="334">
        <v>6</v>
      </c>
    </row>
    <row r="131" spans="1:6">
      <c r="A131" s="348" t="s">
        <v>295</v>
      </c>
      <c r="B131" s="334">
        <v>0</v>
      </c>
    </row>
    <row r="132" spans="1:6">
      <c r="A132" s="341" t="s">
        <v>296</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25152.828393771753</v>
      </c>
      <c r="C3" s="43" t="s">
        <v>169</v>
      </c>
      <c r="D3" s="43"/>
      <c r="E3" s="154"/>
      <c r="F3" s="43"/>
      <c r="G3" s="43"/>
      <c r="H3" s="43"/>
      <c r="I3" s="43"/>
      <c r="J3" s="43"/>
      <c r="K3" s="96"/>
    </row>
    <row r="4" spans="1:11">
      <c r="A4" s="383" t="s">
        <v>170</v>
      </c>
      <c r="B4" s="49">
        <f>IF(ISERROR('SEAP template'!B78+'SEAP template'!C78),0,'SEAP template'!B78+'SEAP template'!C78)</f>
        <v>2893.665055363087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0.19557542479025569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473.06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473.06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0.19557542479025569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92.518910451278359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12913.14437</v>
      </c>
      <c r="C5" s="17">
        <f>IF(ISERROR('Eigen informatie GS &amp; warmtenet'!B59),0,'Eigen informatie GS &amp; warmtenet'!B59)</f>
        <v>0</v>
      </c>
      <c r="D5" s="30">
        <f>(SUM(HH_hh_gas_kWh,HH_rest_gas_kWh)/1000)*0.902</f>
        <v>17179.246394419999</v>
      </c>
      <c r="E5" s="17">
        <f>B46*B57</f>
        <v>7012.184673509496</v>
      </c>
      <c r="F5" s="17">
        <f>B51*B62</f>
        <v>19538.258637339582</v>
      </c>
      <c r="G5" s="18"/>
      <c r="H5" s="17"/>
      <c r="I5" s="17"/>
      <c r="J5" s="17">
        <f>B50*B61+C50*C61</f>
        <v>4353.0910885747217</v>
      </c>
      <c r="K5" s="17"/>
      <c r="L5" s="17"/>
      <c r="M5" s="17"/>
      <c r="N5" s="17">
        <f>B48*B59+C48*C59</f>
        <v>9160.6116091973436</v>
      </c>
      <c r="O5" s="17">
        <f>B69*B70*B71</f>
        <v>301.56164934682886</v>
      </c>
      <c r="P5" s="17">
        <f>B77*B78*B79/1000-B77*B78*B79/1000/B80</f>
        <v>726.8431922302666</v>
      </c>
    </row>
    <row r="6" spans="1:16">
      <c r="A6" s="16" t="s">
        <v>615</v>
      </c>
      <c r="B6" s="809">
        <f>kWh_PV_kleiner_dan_10kW</f>
        <v>2440.3504348523079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15353.494804852307</v>
      </c>
      <c r="C8" s="21">
        <f>C5</f>
        <v>0</v>
      </c>
      <c r="D8" s="21">
        <f>D5</f>
        <v>17179.246394419999</v>
      </c>
      <c r="E8" s="21">
        <f>E5</f>
        <v>7012.184673509496</v>
      </c>
      <c r="F8" s="21">
        <f>F5</f>
        <v>19538.258637339582</v>
      </c>
      <c r="G8" s="21"/>
      <c r="H8" s="21"/>
      <c r="I8" s="21"/>
      <c r="J8" s="21">
        <f>J5</f>
        <v>4353.0910885747217</v>
      </c>
      <c r="K8" s="21"/>
      <c r="L8" s="21">
        <f>L5</f>
        <v>0</v>
      </c>
      <c r="M8" s="21">
        <f>M5</f>
        <v>0</v>
      </c>
      <c r="N8" s="21">
        <f>N5</f>
        <v>9160.6116091973436</v>
      </c>
      <c r="O8" s="21">
        <f>O5</f>
        <v>301.56164934682886</v>
      </c>
      <c r="P8" s="21">
        <f>P5</f>
        <v>726.8431922302666</v>
      </c>
    </row>
    <row r="9" spans="1:16">
      <c r="B9" s="19"/>
      <c r="C9" s="19"/>
      <c r="D9" s="258"/>
      <c r="E9" s="19"/>
      <c r="F9" s="19"/>
      <c r="G9" s="19"/>
      <c r="H9" s="19"/>
      <c r="I9" s="19"/>
      <c r="J9" s="19"/>
      <c r="K9" s="19"/>
      <c r="L9" s="19"/>
      <c r="M9" s="19"/>
      <c r="N9" s="19"/>
      <c r="O9" s="19"/>
      <c r="P9" s="19"/>
    </row>
    <row r="10" spans="1:16">
      <c r="A10" s="24" t="s">
        <v>213</v>
      </c>
      <c r="B10" s="25">
        <f ca="1">'EF ele_warmte'!B12</f>
        <v>0.19557542479025569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3002.7662684739739</v>
      </c>
      <c r="C12" s="23">
        <f ca="1">C10*C8</f>
        <v>0</v>
      </c>
      <c r="D12" s="23">
        <f>D8*D10</f>
        <v>3470.20777167284</v>
      </c>
      <c r="E12" s="23">
        <f>E10*E8</f>
        <v>1591.7659208866555</v>
      </c>
      <c r="F12" s="23">
        <f>F10*F8</f>
        <v>5216.715056169669</v>
      </c>
      <c r="G12" s="23"/>
      <c r="H12" s="23"/>
      <c r="I12" s="23"/>
      <c r="J12" s="23">
        <f>J10*J8</f>
        <v>1540.9942453554513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v>
      </c>
      <c r="C18" s="166" t="s">
        <v>110</v>
      </c>
      <c r="D18" s="228"/>
      <c r="E18" s="15"/>
    </row>
    <row r="19" spans="1:7">
      <c r="A19" s="171" t="s">
        <v>71</v>
      </c>
      <c r="B19" s="37">
        <f>aantalw2001_ander</f>
        <v>1</v>
      </c>
      <c r="C19" s="166" t="s">
        <v>110</v>
      </c>
      <c r="D19" s="229"/>
      <c r="E19" s="15"/>
    </row>
    <row r="20" spans="1:7">
      <c r="A20" s="171" t="s">
        <v>72</v>
      </c>
      <c r="B20" s="37">
        <f>aantalw2001_propaan</f>
        <v>102</v>
      </c>
      <c r="C20" s="167">
        <f>IF(ISERROR(B20/SUM($B$20,$B$21,$B$22)*100),0,B20/SUM($B$20,$B$21,$B$22)*100)</f>
        <v>20</v>
      </c>
      <c r="D20" s="229"/>
      <c r="E20" s="15"/>
    </row>
    <row r="21" spans="1:7">
      <c r="A21" s="171" t="s">
        <v>73</v>
      </c>
      <c r="B21" s="37">
        <f>aantalw2001_elektriciteit</f>
        <v>331</v>
      </c>
      <c r="C21" s="167">
        <f>IF(ISERROR(B21/SUM($B$20,$B$21,$B$22)*100),0,B21/SUM($B$20,$B$21,$B$22)*100)</f>
        <v>64.901960784313729</v>
      </c>
      <c r="D21" s="229"/>
      <c r="E21" s="15"/>
    </row>
    <row r="22" spans="1:7">
      <c r="A22" s="171" t="s">
        <v>74</v>
      </c>
      <c r="B22" s="37">
        <f>aantalw2001_hout</f>
        <v>77</v>
      </c>
      <c r="C22" s="167">
        <f>IF(ISERROR(B22/SUM($B$20,$B$21,$B$22)*100),0,B22/SUM($B$20,$B$21,$B$22)*100)</f>
        <v>15.098039215686274</v>
      </c>
      <c r="D22" s="229"/>
      <c r="E22" s="15"/>
    </row>
    <row r="23" spans="1:7">
      <c r="A23" s="171" t="s">
        <v>75</v>
      </c>
      <c r="B23" s="37">
        <f>aantalw2001_niet_gespec</f>
        <v>48</v>
      </c>
      <c r="C23" s="166" t="s">
        <v>110</v>
      </c>
      <c r="D23" s="228"/>
      <c r="E23" s="15"/>
    </row>
    <row r="24" spans="1:7">
      <c r="A24" s="171" t="s">
        <v>76</v>
      </c>
      <c r="B24" s="37">
        <f>aantalw2001_steenkool</f>
        <v>263</v>
      </c>
      <c r="C24" s="166" t="s">
        <v>110</v>
      </c>
      <c r="D24" s="229"/>
      <c r="E24" s="15"/>
    </row>
    <row r="25" spans="1:7">
      <c r="A25" s="171" t="s">
        <v>77</v>
      </c>
      <c r="B25" s="37">
        <f>aantalw2001_stookolie</f>
        <v>1972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3271</v>
      </c>
      <c r="C28" s="36"/>
      <c r="D28" s="228"/>
    </row>
    <row r="29" spans="1:7" s="15" customFormat="1">
      <c r="A29" s="230" t="s">
        <v>837</v>
      </c>
      <c r="B29" s="37">
        <f>SUM(HH_hh_gas_aantal,HH_rest_gas_aantal)</f>
        <v>1219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1219</v>
      </c>
      <c r="C32" s="167">
        <f>IF(ISERROR(B32/SUM($B$32,$B$34,$B$35,$B$36,$B$38,$B$39)*100),0,B32/SUM($B$32,$B$34,$B$35,$B$36,$B$38,$B$39)*100)</f>
        <v>38.069956277326675</v>
      </c>
      <c r="D32" s="233"/>
      <c r="G32" s="15"/>
    </row>
    <row r="33" spans="1:7">
      <c r="A33" s="171" t="s">
        <v>71</v>
      </c>
      <c r="B33" s="34" t="s">
        <v>110</v>
      </c>
      <c r="C33" s="167"/>
      <c r="D33" s="233"/>
      <c r="G33" s="15"/>
    </row>
    <row r="34" spans="1:7">
      <c r="A34" s="171" t="s">
        <v>72</v>
      </c>
      <c r="B34" s="33">
        <f>IF((($B$28-$B$32-$B$39-$B$77-$B$38)*C20/100)&lt;0,0,($B$28-$B$32-$B$39-$B$77-$B$38)*C20/100)</f>
        <v>179</v>
      </c>
      <c r="C34" s="167">
        <f>IF(ISERROR(B34/SUM($B$32,$B$34,$B$35,$B$36,$B$38,$B$39)*100),0,B34/SUM($B$32,$B$34,$B$35,$B$36,$B$38,$B$39)*100)</f>
        <v>5.5902560899437859</v>
      </c>
      <c r="D34" s="233"/>
      <c r="G34" s="15"/>
    </row>
    <row r="35" spans="1:7">
      <c r="A35" s="171" t="s">
        <v>73</v>
      </c>
      <c r="B35" s="33">
        <f>IF((($B$28-$B$32-$B$39-$B$77-$B$38)*C21/100)&lt;0,0,($B$28-$B$32-$B$39-$B$77-$B$38)*C21/100)</f>
        <v>580.87254901960796</v>
      </c>
      <c r="C35" s="167">
        <f>IF(ISERROR(B35/SUM($B$32,$B$34,$B$35,$B$36,$B$38,$B$39)*100),0,B35/SUM($B$32,$B$34,$B$35,$B$36,$B$38,$B$39)*100)</f>
        <v>18.14092907619013</v>
      </c>
      <c r="D35" s="233"/>
      <c r="G35" s="15"/>
    </row>
    <row r="36" spans="1:7">
      <c r="A36" s="171" t="s">
        <v>74</v>
      </c>
      <c r="B36" s="33">
        <f>IF((($B$28-$B$32-$B$39-$B$77-$B$38)*C22/100)&lt;0,0,($B$28-$B$32-$B$39-$B$77-$B$38)*C22/100)</f>
        <v>135.12745098039215</v>
      </c>
      <c r="C36" s="167">
        <f>IF(ISERROR(B36/SUM($B$32,$B$34,$B$35,$B$36,$B$38,$B$39)*100),0,B36/SUM($B$32,$B$34,$B$35,$B$36,$B$38,$B$39)*100)</f>
        <v>4.2200952835850138</v>
      </c>
      <c r="D36" s="233"/>
      <c r="G36" s="15"/>
    </row>
    <row r="37" spans="1:7">
      <c r="A37" s="171" t="s">
        <v>75</v>
      </c>
      <c r="B37" s="34" t="s">
        <v>110</v>
      </c>
      <c r="C37" s="167"/>
      <c r="D37" s="173"/>
      <c r="G37" s="15"/>
    </row>
    <row r="38" spans="1:7">
      <c r="A38" s="171" t="s">
        <v>76</v>
      </c>
      <c r="B38" s="33">
        <f>IF((B24-(B29-B18)*0.1)&lt;0,0,B24-(B29-B18)*0.1)</f>
        <v>148.30000000000001</v>
      </c>
      <c r="C38" s="167">
        <f>IF(ISERROR(B38/SUM($B$32,$B$34,$B$35,$B$36,$B$38,$B$39)*100),0,B38/SUM($B$32,$B$34,$B$35,$B$36,$B$38,$B$39)*100)</f>
        <v>4.6314803247970024</v>
      </c>
      <c r="D38" s="234"/>
      <c r="G38" s="15"/>
    </row>
    <row r="39" spans="1:7">
      <c r="A39" s="171" t="s">
        <v>77</v>
      </c>
      <c r="B39" s="33">
        <f>IF((B25-(B29-B18))&lt;0,0,B25-(B29-B18)*0.9)</f>
        <v>939.7</v>
      </c>
      <c r="C39" s="167">
        <f>IF(ISERROR(B39/SUM($B$32,$B$34,$B$35,$B$36,$B$38,$B$39)*100),0,B39/SUM($B$32,$B$34,$B$35,$B$36,$B$38,$B$39)*100)</f>
        <v>29.347282948157407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1219</v>
      </c>
      <c r="C44" s="34" t="s">
        <v>110</v>
      </c>
      <c r="D44" s="174"/>
    </row>
    <row r="45" spans="1:7">
      <c r="A45" s="171" t="s">
        <v>71</v>
      </c>
      <c r="B45" s="33" t="str">
        <f t="shared" si="0"/>
        <v>-</v>
      </c>
      <c r="C45" s="34" t="s">
        <v>110</v>
      </c>
      <c r="D45" s="174"/>
    </row>
    <row r="46" spans="1:7">
      <c r="A46" s="171" t="s">
        <v>72</v>
      </c>
      <c r="B46" s="33">
        <f t="shared" si="0"/>
        <v>179</v>
      </c>
      <c r="C46" s="34" t="s">
        <v>110</v>
      </c>
      <c r="D46" s="174"/>
    </row>
    <row r="47" spans="1:7">
      <c r="A47" s="171" t="s">
        <v>73</v>
      </c>
      <c r="B47" s="33">
        <f t="shared" si="0"/>
        <v>580.87254901960796</v>
      </c>
      <c r="C47" s="34" t="s">
        <v>110</v>
      </c>
      <c r="D47" s="174"/>
    </row>
    <row r="48" spans="1:7">
      <c r="A48" s="171" t="s">
        <v>74</v>
      </c>
      <c r="B48" s="33">
        <f t="shared" si="0"/>
        <v>135.12745098039215</v>
      </c>
      <c r="C48" s="33">
        <f>B48*10</f>
        <v>1351.2745098039215</v>
      </c>
      <c r="D48" s="234"/>
    </row>
    <row r="49" spans="1:6">
      <c r="A49" s="171" t="s">
        <v>75</v>
      </c>
      <c r="B49" s="33" t="str">
        <f t="shared" si="0"/>
        <v>-</v>
      </c>
      <c r="C49" s="34" t="s">
        <v>110</v>
      </c>
      <c r="D49" s="234"/>
    </row>
    <row r="50" spans="1:6">
      <c r="A50" s="171" t="s">
        <v>76</v>
      </c>
      <c r="B50" s="33">
        <f t="shared" si="0"/>
        <v>148.30000000000001</v>
      </c>
      <c r="C50" s="33">
        <f>B50*2</f>
        <v>296.60000000000002</v>
      </c>
      <c r="D50" s="234"/>
    </row>
    <row r="51" spans="1:6">
      <c r="A51" s="171" t="s">
        <v>77</v>
      </c>
      <c r="B51" s="33">
        <f t="shared" si="0"/>
        <v>939.7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6331.1258520000001</v>
      </c>
      <c r="C5" s="17">
        <f>IF(ISERROR('Eigen informatie GS &amp; warmtenet'!B60),0,'Eigen informatie GS &amp; warmtenet'!B60)</f>
        <v>0</v>
      </c>
      <c r="D5" s="30">
        <f>SUM(D6:D12)</f>
        <v>4886.3129144059994</v>
      </c>
      <c r="E5" s="17">
        <f>SUM(E6:E12)</f>
        <v>78.732508247479302</v>
      </c>
      <c r="F5" s="17">
        <f>SUM(F6:F12)</f>
        <v>759.26992049278397</v>
      </c>
      <c r="G5" s="18"/>
      <c r="H5" s="17"/>
      <c r="I5" s="17"/>
      <c r="J5" s="17">
        <f>SUM(J6:J12)</f>
        <v>2.515912068311979E-2</v>
      </c>
      <c r="K5" s="17"/>
      <c r="L5" s="17"/>
      <c r="M5" s="17"/>
      <c r="N5" s="17">
        <f>SUM(N6:N12)</f>
        <v>985.05968722691387</v>
      </c>
      <c r="O5" s="17">
        <f>B38*B39*B40</f>
        <v>29.383564595046927</v>
      </c>
      <c r="P5" s="17">
        <f>B46*B47*B48/1000-B46*B47*B48/1000/B49</f>
        <v>0</v>
      </c>
      <c r="R5" s="32"/>
    </row>
    <row r="6" spans="1:18">
      <c r="A6" s="32" t="s">
        <v>53</v>
      </c>
      <c r="B6" s="37">
        <f>B26</f>
        <v>792.14811899999995</v>
      </c>
      <c r="C6" s="33"/>
      <c r="D6" s="37">
        <f>IF(ISERROR(TER_kantoor_gas_kWh/1000),0,TER_kantoor_gas_kWh/1000)*0.902</f>
        <v>821.96810438599994</v>
      </c>
      <c r="E6" s="33">
        <f>$C$26*'E Balans VL '!I12/100/3.6*1000000</f>
        <v>6.3741619308966824</v>
      </c>
      <c r="F6" s="33">
        <f>$C$26*('E Balans VL '!L12+'E Balans VL '!N12)/100/3.6*1000000</f>
        <v>96.848440679171176</v>
      </c>
      <c r="G6" s="34"/>
      <c r="H6" s="33"/>
      <c r="I6" s="33"/>
      <c r="J6" s="33">
        <f>$C$26*('E Balans VL '!D12+'E Balans VL '!E12)/100/3.6*1000000</f>
        <v>0</v>
      </c>
      <c r="K6" s="33"/>
      <c r="L6" s="33"/>
      <c r="M6" s="33"/>
      <c r="N6" s="33">
        <f>$C$26*'E Balans VL '!Y12/100/3.6*1000000</f>
        <v>0.42574060488976656</v>
      </c>
      <c r="O6" s="33"/>
      <c r="P6" s="33"/>
      <c r="R6" s="32"/>
    </row>
    <row r="7" spans="1:18">
      <c r="A7" s="32" t="s">
        <v>52</v>
      </c>
      <c r="B7" s="37">
        <f t="shared" ref="B7:B12" si="0">B27</f>
        <v>673.46131800000001</v>
      </c>
      <c r="C7" s="33"/>
      <c r="D7" s="37">
        <f>IF(ISERROR(TER_horeca_gas_kWh/1000),0,TER_horeca_gas_kWh/1000)*0.902</f>
        <v>484.54109008799992</v>
      </c>
      <c r="E7" s="33">
        <f>$C$27*'E Balans VL '!I9/100/3.6*1000000</f>
        <v>7.2313208234420721</v>
      </c>
      <c r="F7" s="33">
        <f>$C$27*('E Balans VL '!L9+'E Balans VL '!N9)/100/3.6*1000000</f>
        <v>81.001065998850819</v>
      </c>
      <c r="G7" s="34"/>
      <c r="H7" s="33"/>
      <c r="I7" s="33"/>
      <c r="J7" s="33">
        <f>$C$27*('E Balans VL '!D9+'E Balans VL '!E9)/100/3.6*1000000</f>
        <v>0</v>
      </c>
      <c r="K7" s="33"/>
      <c r="L7" s="33"/>
      <c r="M7" s="33"/>
      <c r="N7" s="33">
        <f>$C$27*'E Balans VL '!Y9/100/3.6*1000000</f>
        <v>0.10096550104443167</v>
      </c>
      <c r="O7" s="33"/>
      <c r="P7" s="33"/>
      <c r="R7" s="32"/>
    </row>
    <row r="8" spans="1:18">
      <c r="A8" s="6" t="s">
        <v>51</v>
      </c>
      <c r="B8" s="37">
        <f t="shared" si="0"/>
        <v>1196.4947690000001</v>
      </c>
      <c r="C8" s="33"/>
      <c r="D8" s="37">
        <f>IF(ISERROR(TER_handel_gas_kWh/1000),0,TER_handel_gas_kWh/1000)*0.902</f>
        <v>102.04685086200001</v>
      </c>
      <c r="E8" s="33">
        <f>$C$28*'E Balans VL '!I13/100/3.6*1000000</f>
        <v>32.110256566759041</v>
      </c>
      <c r="F8" s="33">
        <f>$C$28*('E Balans VL '!L13+'E Balans VL '!N13)/100/3.6*1000000</f>
        <v>114.18247788224288</v>
      </c>
      <c r="G8" s="34"/>
      <c r="H8" s="33"/>
      <c r="I8" s="33"/>
      <c r="J8" s="33">
        <f>$C$28*('E Balans VL '!D13+'E Balans VL '!E13)/100/3.6*1000000</f>
        <v>0</v>
      </c>
      <c r="K8" s="33"/>
      <c r="L8" s="33"/>
      <c r="M8" s="33"/>
      <c r="N8" s="33">
        <f>$C$28*'E Balans VL '!Y13/100/3.6*1000000</f>
        <v>0.47430413103834929</v>
      </c>
      <c r="O8" s="33"/>
      <c r="P8" s="33"/>
      <c r="R8" s="32"/>
    </row>
    <row r="9" spans="1:18">
      <c r="A9" s="32" t="s">
        <v>50</v>
      </c>
      <c r="B9" s="37">
        <f t="shared" si="0"/>
        <v>142.33505</v>
      </c>
      <c r="C9" s="33"/>
      <c r="D9" s="37">
        <f>IF(ISERROR(TER_gezond_gas_kWh/1000),0,TER_gezond_gas_kWh/1000)*0.902</f>
        <v>218.71217669399999</v>
      </c>
      <c r="E9" s="33">
        <f>$C$29*'E Balans VL '!I10/100/3.6*1000000</f>
        <v>0.2667822300048126</v>
      </c>
      <c r="F9" s="33">
        <f>$C$29*('E Balans VL '!L10+'E Balans VL '!N10)/100/3.6*1000000</f>
        <v>11.70123981726155</v>
      </c>
      <c r="G9" s="34"/>
      <c r="H9" s="33"/>
      <c r="I9" s="33"/>
      <c r="J9" s="33">
        <f>$C$29*('E Balans VL '!D10+'E Balans VL '!E10)/100/3.6*1000000</f>
        <v>0</v>
      </c>
      <c r="K9" s="33"/>
      <c r="L9" s="33"/>
      <c r="M9" s="33"/>
      <c r="N9" s="33">
        <f>$C$29*'E Balans VL '!Y10/100/3.6*1000000</f>
        <v>1.1074728862064529</v>
      </c>
      <c r="O9" s="33"/>
      <c r="P9" s="33"/>
      <c r="R9" s="32"/>
    </row>
    <row r="10" spans="1:18">
      <c r="A10" s="32" t="s">
        <v>49</v>
      </c>
      <c r="B10" s="37">
        <f t="shared" si="0"/>
        <v>1234.558221</v>
      </c>
      <c r="C10" s="33"/>
      <c r="D10" s="37">
        <f>IF(ISERROR(TER_ander_gas_kWh/1000),0,TER_ander_gas_kWh/1000)*0.902</f>
        <v>103.438053268</v>
      </c>
      <c r="E10" s="33">
        <f>$C$30*'E Balans VL '!I14/100/3.6*1000000</f>
        <v>1.9030840072566642</v>
      </c>
      <c r="F10" s="33">
        <f>$C$30*('E Balans VL '!L14+'E Balans VL '!N14)/100/3.6*1000000</f>
        <v>191.6655046287847</v>
      </c>
      <c r="G10" s="34"/>
      <c r="H10" s="33"/>
      <c r="I10" s="33"/>
      <c r="J10" s="33">
        <f>$C$30*('E Balans VL '!D14+'E Balans VL '!E14)/100/3.6*1000000</f>
        <v>2.0957927797191703E-2</v>
      </c>
      <c r="K10" s="33"/>
      <c r="L10" s="33"/>
      <c r="M10" s="33"/>
      <c r="N10" s="33">
        <f>$C$30*'E Balans VL '!Y14/100/3.6*1000000</f>
        <v>816.74415171962369</v>
      </c>
      <c r="O10" s="33"/>
      <c r="P10" s="33"/>
      <c r="R10" s="32"/>
    </row>
    <row r="11" spans="1:18">
      <c r="A11" s="32" t="s">
        <v>54</v>
      </c>
      <c r="B11" s="37">
        <f t="shared" si="0"/>
        <v>99.950513999999998</v>
      </c>
      <c r="C11" s="33"/>
      <c r="D11" s="37">
        <f>IF(ISERROR(TER_onderwijs_gas_kWh/1000),0,TER_onderwijs_gas_kWh/1000)*0.902</f>
        <v>0</v>
      </c>
      <c r="E11" s="33">
        <f>$C$31*'E Balans VL '!I11/100/3.6*1000000</f>
        <v>2.5494207746511623</v>
      </c>
      <c r="F11" s="33">
        <f>$C$31*('E Balans VL '!L11+'E Balans VL '!N11)/100/3.6*1000000</f>
        <v>12.019990078563545</v>
      </c>
      <c r="G11" s="34"/>
      <c r="H11" s="33"/>
      <c r="I11" s="33"/>
      <c r="J11" s="33">
        <f>$C$31*('E Balans VL '!D11+'E Balans VL '!E11)/100/3.6*1000000</f>
        <v>0</v>
      </c>
      <c r="K11" s="33"/>
      <c r="L11" s="33"/>
      <c r="M11" s="33"/>
      <c r="N11" s="33">
        <f>$C$31*'E Balans VL '!Y11/100/3.6*1000000</f>
        <v>0.22228750432244393</v>
      </c>
      <c r="O11" s="33"/>
      <c r="P11" s="33"/>
      <c r="R11" s="32"/>
    </row>
    <row r="12" spans="1:18">
      <c r="A12" s="32" t="s">
        <v>259</v>
      </c>
      <c r="B12" s="37">
        <f t="shared" si="0"/>
        <v>2192.1778610000001</v>
      </c>
      <c r="C12" s="33"/>
      <c r="D12" s="37">
        <f>IF(ISERROR(TER_rest_gas_kWh/1000),0,TER_rest_gas_kWh/1000)*0.902</f>
        <v>3155.6066391079999</v>
      </c>
      <c r="E12" s="33">
        <f>$C$32*'E Balans VL '!I8/100/3.6*1000000</f>
        <v>28.297481914468857</v>
      </c>
      <c r="F12" s="33">
        <f>$C$32*('E Balans VL '!L8+'E Balans VL '!N8)/100/3.6*1000000</f>
        <v>251.85120140790931</v>
      </c>
      <c r="G12" s="34"/>
      <c r="H12" s="33"/>
      <c r="I12" s="33"/>
      <c r="J12" s="33">
        <f>$C$32*('E Balans VL '!D8+'E Balans VL '!E8)/100/3.6*1000000</f>
        <v>4.2011928859280873E-3</v>
      </c>
      <c r="K12" s="33"/>
      <c r="L12" s="33"/>
      <c r="M12" s="33"/>
      <c r="N12" s="33">
        <f>$C$32*'E Balans VL '!Y8/100/3.6*1000000</f>
        <v>165.98476487978877</v>
      </c>
      <c r="O12" s="33"/>
      <c r="P12" s="33"/>
      <c r="R12" s="32"/>
    </row>
    <row r="13" spans="1:18">
      <c r="A13" s="16" t="s">
        <v>482</v>
      </c>
      <c r="B13" s="247">
        <f ca="1">'lokale energieproductie'!N91+'lokale energieproductie'!N60</f>
        <v>270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-771.42857142857144</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6601.1258520000001</v>
      </c>
      <c r="C16" s="21">
        <f t="shared" ca="1" si="1"/>
        <v>0</v>
      </c>
      <c r="D16" s="21">
        <f t="shared" ca="1" si="1"/>
        <v>4886.3129144059994</v>
      </c>
      <c r="E16" s="21">
        <f t="shared" si="1"/>
        <v>78.732508247479302</v>
      </c>
      <c r="F16" s="21">
        <f t="shared" ca="1" si="1"/>
        <v>759.26992049278397</v>
      </c>
      <c r="G16" s="21">
        <f t="shared" si="1"/>
        <v>0</v>
      </c>
      <c r="H16" s="21">
        <f t="shared" si="1"/>
        <v>0</v>
      </c>
      <c r="I16" s="21">
        <f t="shared" si="1"/>
        <v>0</v>
      </c>
      <c r="J16" s="21">
        <f t="shared" si="1"/>
        <v>2.515912068311979E-2</v>
      </c>
      <c r="K16" s="21">
        <f t="shared" si="1"/>
        <v>0</v>
      </c>
      <c r="L16" s="21">
        <f t="shared" ca="1" si="1"/>
        <v>0</v>
      </c>
      <c r="M16" s="21">
        <f t="shared" si="1"/>
        <v>0</v>
      </c>
      <c r="N16" s="21">
        <f t="shared" ca="1" si="1"/>
        <v>213.63111579834242</v>
      </c>
      <c r="O16" s="21">
        <f>O5</f>
        <v>29.383564595046927</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0.19557542479025569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1291.0179925988386</v>
      </c>
      <c r="C20" s="23">
        <f t="shared" ref="C20:P20" ca="1" si="2">C16*C18</f>
        <v>0</v>
      </c>
      <c r="D20" s="23">
        <f t="shared" ca="1" si="2"/>
        <v>987.03520871001194</v>
      </c>
      <c r="E20" s="23">
        <f t="shared" si="2"/>
        <v>17.8722793721778</v>
      </c>
      <c r="F20" s="23">
        <f t="shared" ca="1" si="2"/>
        <v>202.72506877157332</v>
      </c>
      <c r="G20" s="23">
        <f t="shared" si="2"/>
        <v>0</v>
      </c>
      <c r="H20" s="23">
        <f t="shared" si="2"/>
        <v>0</v>
      </c>
      <c r="I20" s="23">
        <f t="shared" si="2"/>
        <v>0</v>
      </c>
      <c r="J20" s="23">
        <f t="shared" si="2"/>
        <v>8.9063287218244056E-3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792.14811899999995</v>
      </c>
      <c r="C26" s="39">
        <f>IF(ISERROR(B26*3.6/1000000/'E Balans VL '!Z12*100),0,B26*3.6/1000000/'E Balans VL '!Z12*100)</f>
        <v>1.6804697612279779E-2</v>
      </c>
      <c r="D26" s="237" t="s">
        <v>716</v>
      </c>
      <c r="F26" s="6"/>
    </row>
    <row r="27" spans="1:18">
      <c r="A27" s="231" t="s">
        <v>52</v>
      </c>
      <c r="B27" s="33">
        <f>IF(ISERROR(TER_horeca_ele_kWh/1000),0,TER_horeca_ele_kWh/1000)</f>
        <v>673.46131800000001</v>
      </c>
      <c r="C27" s="39">
        <f>IF(ISERROR(B27*3.6/1000000/'E Balans VL '!Z9*100),0,B27*3.6/1000000/'E Balans VL '!Z9*100)</f>
        <v>5.0717603106901779E-2</v>
      </c>
      <c r="D27" s="237" t="s">
        <v>716</v>
      </c>
      <c r="F27" s="6"/>
    </row>
    <row r="28" spans="1:18">
      <c r="A28" s="171" t="s">
        <v>51</v>
      </c>
      <c r="B28" s="33">
        <f>IF(ISERROR(TER_handel_ele_kWh/1000),0,TER_handel_ele_kWh/1000)</f>
        <v>1196.4947690000001</v>
      </c>
      <c r="C28" s="39">
        <f>IF(ISERROR(B28*3.6/1000000/'E Balans VL '!Z13*100),0,B28*3.6/1000000/'E Balans VL '!Z13*100)</f>
        <v>3.4730003632329087E-2</v>
      </c>
      <c r="D28" s="237" t="s">
        <v>716</v>
      </c>
      <c r="F28" s="6"/>
    </row>
    <row r="29" spans="1:18">
      <c r="A29" s="231" t="s">
        <v>50</v>
      </c>
      <c r="B29" s="33">
        <f>IF(ISERROR(TER_gezond_ele_kWh/1000),0,TER_gezond_ele_kWh/1000)</f>
        <v>142.33505</v>
      </c>
      <c r="C29" s="39">
        <f>IF(ISERROR(B29*3.6/1000000/'E Balans VL '!Z10*100),0,B29*3.6/1000000/'E Balans VL '!Z10*100)</f>
        <v>1.4354659533960543E-2</v>
      </c>
      <c r="D29" s="237" t="s">
        <v>716</v>
      </c>
      <c r="F29" s="6"/>
    </row>
    <row r="30" spans="1:18">
      <c r="A30" s="231" t="s">
        <v>49</v>
      </c>
      <c r="B30" s="33">
        <f>IF(ISERROR(TER_ander_ele_kWh/1000),0,TER_ander_ele_kWh/1000)</f>
        <v>1234.558221</v>
      </c>
      <c r="C30" s="39">
        <f>IF(ISERROR(B30*3.6/1000000/'E Balans VL '!Z14*100),0,B30*3.6/1000000/'E Balans VL '!Z14*100)</f>
        <v>8.958404139583552E-2</v>
      </c>
      <c r="D30" s="237" t="s">
        <v>716</v>
      </c>
      <c r="F30" s="6"/>
    </row>
    <row r="31" spans="1:18">
      <c r="A31" s="231" t="s">
        <v>54</v>
      </c>
      <c r="B31" s="33">
        <f>IF(ISERROR(TER_onderwijs_ele_kWh/1000),0,TER_onderwijs_ele_kWh/1000)</f>
        <v>99.950513999999998</v>
      </c>
      <c r="C31" s="39">
        <f>IF(ISERROR(B31*3.6/1000000/'E Balans VL '!Z11*100),0,B31*3.6/1000000/'E Balans VL '!Z11*100)</f>
        <v>2.8489966664452162E-2</v>
      </c>
      <c r="D31" s="237" t="s">
        <v>716</v>
      </c>
    </row>
    <row r="32" spans="1:18">
      <c r="A32" s="231" t="s">
        <v>259</v>
      </c>
      <c r="B32" s="33">
        <f>IF(ISERROR(TER_rest_ele_kWh/1000),0,TER_rest_ele_kWh/1000)</f>
        <v>2192.1778610000001</v>
      </c>
      <c r="C32" s="39">
        <f>IF(ISERROR(B32*3.6/1000000/'E Balans VL '!Z8*100),0,B32*3.6/1000000/'E Balans VL '!Z8*100)</f>
        <v>1.7957874511587091E-2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1394.641795</v>
      </c>
      <c r="C5" s="17">
        <f>IF(ISERROR('Eigen informatie GS &amp; warmtenet'!B61),0,'Eigen informatie GS &amp; warmtenet'!B61)</f>
        <v>0</v>
      </c>
      <c r="D5" s="30">
        <f>SUM(D6:D15)</f>
        <v>418.41260082600002</v>
      </c>
      <c r="E5" s="17">
        <f>SUM(E6:E15)</f>
        <v>164.12196038732338</v>
      </c>
      <c r="F5" s="17">
        <f>SUM(F6:F15)</f>
        <v>526.67335862788229</v>
      </c>
      <c r="G5" s="18"/>
      <c r="H5" s="17"/>
      <c r="I5" s="17"/>
      <c r="J5" s="17">
        <f>SUM(J6:J15)</f>
        <v>6.8983367829845399</v>
      </c>
      <c r="K5" s="17"/>
      <c r="L5" s="17"/>
      <c r="M5" s="17"/>
      <c r="N5" s="17">
        <f>SUM(N6:N15)</f>
        <v>71.519770711561563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449.13934499999999</v>
      </c>
      <c r="C9" s="33"/>
      <c r="D9" s="37">
        <f>IF( ISERROR(IND_andere_gas_kWh/1000),0,IND_andere_gas_kWh/1000)*0.902</f>
        <v>147.23647628800001</v>
      </c>
      <c r="E9" s="33">
        <f>C31*'E Balans VL '!I19/100/3.6*1000000</f>
        <v>124.46251824495583</v>
      </c>
      <c r="F9" s="33">
        <f>C31*'E Balans VL '!L19/100/3.6*1000000+C31*'E Balans VL '!N19/100/3.6*1000000</f>
        <v>372.24765973360491</v>
      </c>
      <c r="G9" s="34"/>
      <c r="H9" s="33"/>
      <c r="I9" s="33"/>
      <c r="J9" s="40">
        <f>C31*'E Balans VL '!D19/100/3.6*1000000+C31*'E Balans VL '!E19/100/3.6*1000000</f>
        <v>0</v>
      </c>
      <c r="K9" s="33"/>
      <c r="L9" s="33"/>
      <c r="M9" s="33"/>
      <c r="N9" s="33">
        <f>C31*'E Balans VL '!Y19/100/3.6*1000000</f>
        <v>32.602022878086416</v>
      </c>
      <c r="O9" s="33"/>
      <c r="P9" s="33"/>
      <c r="R9" s="32"/>
    </row>
    <row r="10" spans="1:18">
      <c r="A10" s="6" t="s">
        <v>40</v>
      </c>
      <c r="B10" s="37">
        <f t="shared" si="0"/>
        <v>110.47539500000001</v>
      </c>
      <c r="C10" s="33"/>
      <c r="D10" s="37">
        <f>IF( ISERROR(IND_voed_gas_kWh/1000),0,IND_voed_gas_kWh/1000)*0.902</f>
        <v>0</v>
      </c>
      <c r="E10" s="33">
        <f>C32*'E Balans VL '!I20/100/3.6*1000000</f>
        <v>0.19557886956541651</v>
      </c>
      <c r="F10" s="33">
        <f>C32*'E Balans VL '!L20/100/3.6*1000000+C32*'E Balans VL '!N20/100/3.6*1000000</f>
        <v>5.9666504646429042</v>
      </c>
      <c r="G10" s="34"/>
      <c r="H10" s="33"/>
      <c r="I10" s="33"/>
      <c r="J10" s="40">
        <f>C32*'E Balans VL '!D20/100/3.6*1000000+C32*'E Balans VL '!E20/100/3.6*1000000</f>
        <v>0</v>
      </c>
      <c r="K10" s="33"/>
      <c r="L10" s="33"/>
      <c r="M10" s="33"/>
      <c r="N10" s="33">
        <f>C32*'E Balans VL '!Y20/100/3.6*1000000</f>
        <v>6.4194641606050062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835.02705500000002</v>
      </c>
      <c r="C15" s="33"/>
      <c r="D15" s="37">
        <f>IF( ISERROR(IND_rest_gas_kWh/1000),0,IND_rest_gas_kWh/1000)*0.902</f>
        <v>271.17612453800001</v>
      </c>
      <c r="E15" s="33">
        <f>C37*'E Balans VL '!I15/100/3.6*1000000</f>
        <v>39.463863272802129</v>
      </c>
      <c r="F15" s="33">
        <f>C37*'E Balans VL '!L15/100/3.6*1000000+C37*'E Balans VL '!N15/100/3.6*1000000</f>
        <v>148.45904842963452</v>
      </c>
      <c r="G15" s="34"/>
      <c r="H15" s="33"/>
      <c r="I15" s="33"/>
      <c r="J15" s="40">
        <f>C37*'E Balans VL '!D15/100/3.6*1000000+C37*'E Balans VL '!E15/100/3.6*1000000</f>
        <v>6.8983367829845399</v>
      </c>
      <c r="K15" s="33"/>
      <c r="L15" s="33"/>
      <c r="M15" s="33"/>
      <c r="N15" s="33">
        <f>C37*'E Balans VL '!Y15/100/3.6*1000000</f>
        <v>32.498283672870144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1394.641795</v>
      </c>
      <c r="C18" s="21">
        <f>C5+C16</f>
        <v>0</v>
      </c>
      <c r="D18" s="21">
        <f>MAX((D5+D16),0)</f>
        <v>418.41260082600002</v>
      </c>
      <c r="E18" s="21">
        <f>MAX((E5+E16),0)</f>
        <v>164.12196038732338</v>
      </c>
      <c r="F18" s="21">
        <f>MAX((F5+F16),0)</f>
        <v>526.67335862788229</v>
      </c>
      <c r="G18" s="21"/>
      <c r="H18" s="21"/>
      <c r="I18" s="21"/>
      <c r="J18" s="21">
        <f>MAX((J5+J16),0)</f>
        <v>6.8983367829845399</v>
      </c>
      <c r="K18" s="21"/>
      <c r="L18" s="21">
        <f>MAX((L5+L16),0)</f>
        <v>0</v>
      </c>
      <c r="M18" s="21"/>
      <c r="N18" s="21">
        <f>MAX((N5+N16),0)</f>
        <v>71.519770711561563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0.19557542479025569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272.75766148736972</v>
      </c>
      <c r="C22" s="23">
        <f ca="1">C18*C20</f>
        <v>0</v>
      </c>
      <c r="D22" s="23">
        <f>D18*D20</f>
        <v>84.519345366852008</v>
      </c>
      <c r="E22" s="23">
        <f>E18*E20</f>
        <v>37.255685007922409</v>
      </c>
      <c r="F22" s="23">
        <f>F18*F20</f>
        <v>140.62178675364459</v>
      </c>
      <c r="G22" s="23"/>
      <c r="H22" s="23"/>
      <c r="I22" s="23"/>
      <c r="J22" s="23">
        <f>J18*J20</f>
        <v>2.4420112211765268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449.13934499999999</v>
      </c>
      <c r="C31" s="39">
        <f>IF(ISERROR(B31*3.6/1000000/'E Balans VL '!Z19*100),0,B31*3.6/1000000/'E Balans VL '!Z19*100)</f>
        <v>2.2590253224684293E-2</v>
      </c>
      <c r="D31" s="237" t="s">
        <v>716</v>
      </c>
    </row>
    <row r="32" spans="1:18">
      <c r="A32" s="171" t="s">
        <v>40</v>
      </c>
      <c r="B32" s="37">
        <f>IF( ISERROR(IND_voed_ele_kWh/1000),0,IND_voed_ele_kWh/1000)</f>
        <v>110.47539500000001</v>
      </c>
      <c r="C32" s="39">
        <f>IF(ISERROR(B32*3.6/1000000/'E Balans VL '!Z20*100),0,B32*3.6/1000000/'E Balans VL '!Z20*100)</f>
        <v>3.6794866838028395E-3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835.02705500000002</v>
      </c>
      <c r="C37" s="39">
        <f>IF(ISERROR(B37*3.6/1000000/'E Balans VL '!Z15*100),0,B37*3.6/1000000/'E Balans VL '!Z15*100)</f>
        <v>6.5154945200316949E-3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1009.0506059999999</v>
      </c>
      <c r="C5" s="17">
        <f>'Eigen informatie GS &amp; warmtenet'!B62</f>
        <v>0</v>
      </c>
      <c r="D5" s="30">
        <f>IF(ISERROR(SUM(LB_lb_gas_kWh,LB_rest_gas_kWh)/1000),0,SUM(LB_lb_gas_kWh,LB_rest_gas_kWh)/1000)*0.902</f>
        <v>147.31466796200002</v>
      </c>
      <c r="E5" s="17">
        <f>B17*'E Balans VL '!I25/3.6*1000000/100</f>
        <v>31.492136669420042</v>
      </c>
      <c r="F5" s="17">
        <f>B17*('E Balans VL '!L25/3.6*1000000+'E Balans VL '!N25/3.6*1000000)/100</f>
        <v>3566.0966212147659</v>
      </c>
      <c r="G5" s="18"/>
      <c r="H5" s="17"/>
      <c r="I5" s="17"/>
      <c r="J5" s="17">
        <f>('E Balans VL '!D25+'E Balans VL '!E25)/3.6*1000000*landbouw!B17/100</f>
        <v>278.00043965762518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1009.0506059999999</v>
      </c>
      <c r="C8" s="21">
        <f>C5+C6</f>
        <v>0</v>
      </c>
      <c r="D8" s="21">
        <f>MAX((D5+D6),0)</f>
        <v>147.31466796200002</v>
      </c>
      <c r="E8" s="21">
        <f>MAX((E5+E6),0)</f>
        <v>31.492136669420042</v>
      </c>
      <c r="F8" s="21">
        <f>MAX((F5+F6),0)</f>
        <v>3566.0966212147659</v>
      </c>
      <c r="G8" s="21"/>
      <c r="H8" s="21"/>
      <c r="I8" s="21"/>
      <c r="J8" s="21">
        <f>MAX((J5+J6),0)</f>
        <v>278.00043965762518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0.19557542479025569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197.3455009033149</v>
      </c>
      <c r="C12" s="23">
        <f ca="1">C8*C10</f>
        <v>0</v>
      </c>
      <c r="D12" s="23">
        <f>D8*D10</f>
        <v>29.757562928324006</v>
      </c>
      <c r="E12" s="23">
        <f>E8*E10</f>
        <v>7.1487150239583492</v>
      </c>
      <c r="F12" s="23">
        <f>F8*F10</f>
        <v>952.14779786434258</v>
      </c>
      <c r="G12" s="23"/>
      <c r="H12" s="23"/>
      <c r="I12" s="23"/>
      <c r="J12" s="23">
        <f>J8*J10</f>
        <v>98.412155638799305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0.15000260614182234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186.13630811998163</v>
      </c>
      <c r="C26" s="247">
        <f>B26*'GWP N2O_CH4'!B5</f>
        <v>3908.8624705196144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50.210511607511457</v>
      </c>
      <c r="C27" s="247">
        <f>B27*'GWP N2O_CH4'!B5</f>
        <v>1054.4207437577406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2.3467170780785929</v>
      </c>
      <c r="C28" s="247">
        <f>B28*'GWP N2O_CH4'!B4</f>
        <v>727.48229420436382</v>
      </c>
      <c r="D28" s="50"/>
    </row>
    <row r="29" spans="1:4">
      <c r="A29" s="41" t="s">
        <v>276</v>
      </c>
      <c r="B29" s="247">
        <f>B34*'ha_N2O bodem landbouw'!B4</f>
        <v>13.972701361007328</v>
      </c>
      <c r="C29" s="247">
        <f>B29*'GWP N2O_CH4'!B4</f>
        <v>4331.5374219122714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3.0639618356374707E-3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1.2719332051E-4</v>
      </c>
      <c r="C5" s="463" t="s">
        <v>210</v>
      </c>
      <c r="D5" s="448">
        <f>SUM(D6:D11)</f>
        <v>5.1613821774068396E-4</v>
      </c>
      <c r="E5" s="448">
        <f>SUM(E6:E11)</f>
        <v>3.9687308958582504E-4</v>
      </c>
      <c r="F5" s="461" t="s">
        <v>210</v>
      </c>
      <c r="G5" s="448">
        <f>SUM(G6:G11)</f>
        <v>0.14945937443328008</v>
      </c>
      <c r="H5" s="448">
        <f>SUM(H6:H11)</f>
        <v>3.841895908552799E-2</v>
      </c>
      <c r="I5" s="463" t="s">
        <v>210</v>
      </c>
      <c r="J5" s="463" t="s">
        <v>210</v>
      </c>
      <c r="K5" s="463" t="s">
        <v>210</v>
      </c>
      <c r="L5" s="463" t="s">
        <v>210</v>
      </c>
      <c r="M5" s="448">
        <f>SUM(M6:M11)</f>
        <v>1.1143217958327404E-2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9.9595858214999986E-5</v>
      </c>
      <c r="C6" s="449"/>
      <c r="D6" s="917">
        <f>vkm_2011_GW_PW*SUMIFS(TableVerdeelsleutelVkm[CNG],TableVerdeelsleutelVkm[Voertuigtype],"Lichte voertuigen")*SUMIFS(TableECFTransport[EnergieConsumptieFactor (PJ per km)],TableECFTransport[Index],CONCATENATE($A6,"_CNG_CNG"))</f>
        <v>3.4631176342316401E-4</v>
      </c>
      <c r="E6" s="917">
        <f>vkm_2011_GW_PW*SUMIFS(TableVerdeelsleutelVkm[LPG],TableVerdeelsleutelVkm[Voertuigtype],"Lichte voertuigen")*SUMIFS(TableECFTransport[EnergieConsumptieFactor (PJ per km)],TableECFTransport[Index],CONCATENATE($A6,"_LPG_LPG"))</f>
        <v>2.7283661291880001E-4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7.4269298428057115E-2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2.5989321598948446E-2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5.9910827069410153E-3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4.0614576204069289E-2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1.0232120544755823E-5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2.3419633526989623E-3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2.7597462294999997E-5</v>
      </c>
      <c r="C8" s="449"/>
      <c r="D8" s="451">
        <f>vkm_2011_NGW_PW*SUMIFS(TableVerdeelsleutelVkm[CNG],TableVerdeelsleutelVkm[Voertuigtype],"Lichte voertuigen")*SUMIFS(TableECFTransport[EnergieConsumptieFactor (PJ per km)],TableECFTransport[Index],CONCATENATE($A8,"_CNG_CNG"))</f>
        <v>1.6982645431752E-4</v>
      </c>
      <c r="E8" s="451">
        <f>vkm_2011_NGW_PW*SUMIFS(TableVerdeelsleutelVkm[LPG],TableVerdeelsleutelVkm[Voertuigtype],"Lichte voertuigen")*SUMIFS(TableECFTransport[EnergieConsumptieFactor (PJ per km)],TableECFTransport[Index],CONCATENATE($A8,"_LPG_LPG"))</f>
        <v>1.24036476667025E-4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3.1332121714884989E-2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1.2418634376664057E-2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2.6231516193670392E-3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3.2433780862686956E-3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7.7098937072559626E-7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1.8702027932038676E-4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35.331477919444438</v>
      </c>
      <c r="C14" s="21"/>
      <c r="D14" s="21">
        <f t="shared" ref="D14:M14" si="0">((D5)*10^9/3600)+D12</f>
        <v>143.37172715018997</v>
      </c>
      <c r="E14" s="21">
        <f t="shared" si="0"/>
        <v>110.24252488495141</v>
      </c>
      <c r="F14" s="21"/>
      <c r="G14" s="21">
        <f t="shared" si="0"/>
        <v>41516.492898133358</v>
      </c>
      <c r="H14" s="21">
        <f t="shared" si="0"/>
        <v>10671.93307931333</v>
      </c>
      <c r="I14" s="21"/>
      <c r="J14" s="21"/>
      <c r="K14" s="21"/>
      <c r="L14" s="21"/>
      <c r="M14" s="21">
        <f t="shared" si="0"/>
        <v>3095.338321757612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0.19557542479025569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6.9099688025628856</v>
      </c>
      <c r="C18" s="23"/>
      <c r="D18" s="23">
        <f t="shared" ref="D18:M18" si="1">D14*D16</f>
        <v>28.961088884338377</v>
      </c>
      <c r="E18" s="23">
        <f t="shared" si="1"/>
        <v>25.02505314888397</v>
      </c>
      <c r="F18" s="23"/>
      <c r="G18" s="23">
        <f t="shared" si="1"/>
        <v>11084.903603801607</v>
      </c>
      <c r="H18" s="23">
        <f t="shared" si="1"/>
        <v>2657.3113367490191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2.525799828157916E-3</v>
      </c>
      <c r="H50" s="321">
        <f t="shared" si="2"/>
        <v>0</v>
      </c>
      <c r="I50" s="321">
        <f t="shared" si="2"/>
        <v>0</v>
      </c>
      <c r="J50" s="321">
        <f t="shared" si="2"/>
        <v>0</v>
      </c>
      <c r="K50" s="321">
        <f t="shared" si="2"/>
        <v>0</v>
      </c>
      <c r="L50" s="321">
        <f t="shared" si="2"/>
        <v>0</v>
      </c>
      <c r="M50" s="321">
        <f t="shared" si="2"/>
        <v>1.4038423391341559E-4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2.525799828157916E-3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1.4038423391341559E-4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701.61106337719878</v>
      </c>
      <c r="H54" s="21">
        <f t="shared" si="3"/>
        <v>0</v>
      </c>
      <c r="I54" s="21">
        <f t="shared" si="3"/>
        <v>0</v>
      </c>
      <c r="J54" s="21">
        <f t="shared" si="3"/>
        <v>0</v>
      </c>
      <c r="K54" s="21">
        <f t="shared" si="3"/>
        <v>0</v>
      </c>
      <c r="L54" s="21">
        <f t="shared" si="3"/>
        <v>0</v>
      </c>
      <c r="M54" s="21">
        <f t="shared" si="3"/>
        <v>38.995620531504329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0.19557542479025569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187.33015392171208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7074.1858520000005</v>
      </c>
      <c r="D10" s="712">
        <f ca="1">tertiair!C16</f>
        <v>0</v>
      </c>
      <c r="E10" s="712">
        <f ca="1">tertiair!D16</f>
        <v>4886.3129144059994</v>
      </c>
      <c r="F10" s="712">
        <f>tertiair!E16</f>
        <v>78.732508247479302</v>
      </c>
      <c r="G10" s="712">
        <f ca="1">tertiair!F16</f>
        <v>759.26992049278397</v>
      </c>
      <c r="H10" s="712">
        <f>tertiair!G16</f>
        <v>0</v>
      </c>
      <c r="I10" s="712">
        <f>tertiair!H16</f>
        <v>0</v>
      </c>
      <c r="J10" s="712">
        <f>tertiair!I16</f>
        <v>0</v>
      </c>
      <c r="K10" s="712">
        <f>tertiair!J16</f>
        <v>2.515912068311979E-2</v>
      </c>
      <c r="L10" s="712">
        <f>tertiair!K16</f>
        <v>0</v>
      </c>
      <c r="M10" s="712">
        <f ca="1">tertiair!L16</f>
        <v>0</v>
      </c>
      <c r="N10" s="712">
        <f>tertiair!M16</f>
        <v>0</v>
      </c>
      <c r="O10" s="712">
        <f ca="1">tertiair!N16</f>
        <v>213.63111579834242</v>
      </c>
      <c r="P10" s="712">
        <f>tertiair!O16</f>
        <v>29.383564595046927</v>
      </c>
      <c r="Q10" s="713">
        <f>tertiair!P16</f>
        <v>0</v>
      </c>
      <c r="R10" s="715">
        <f ca="1">SUM(C10:Q10)</f>
        <v>13041.541034660335</v>
      </c>
      <c r="S10" s="67"/>
    </row>
    <row r="11" spans="1:19" s="474" customFormat="1">
      <c r="A11" s="834" t="s">
        <v>224</v>
      </c>
      <c r="B11" s="839"/>
      <c r="C11" s="712">
        <f>huishoudens!B8</f>
        <v>15353.494804852307</v>
      </c>
      <c r="D11" s="712">
        <f>huishoudens!C8</f>
        <v>0</v>
      </c>
      <c r="E11" s="712">
        <f>huishoudens!D8</f>
        <v>17179.246394419999</v>
      </c>
      <c r="F11" s="712">
        <f>huishoudens!E8</f>
        <v>7012.184673509496</v>
      </c>
      <c r="G11" s="712">
        <f>huishoudens!F8</f>
        <v>19538.258637339582</v>
      </c>
      <c r="H11" s="712">
        <f>huishoudens!G8</f>
        <v>0</v>
      </c>
      <c r="I11" s="712">
        <f>huishoudens!H8</f>
        <v>0</v>
      </c>
      <c r="J11" s="712">
        <f>huishoudens!I8</f>
        <v>0</v>
      </c>
      <c r="K11" s="712">
        <f>huishoudens!J8</f>
        <v>4353.0910885747217</v>
      </c>
      <c r="L11" s="712">
        <f>huishoudens!K8</f>
        <v>0</v>
      </c>
      <c r="M11" s="712">
        <f>huishoudens!L8</f>
        <v>0</v>
      </c>
      <c r="N11" s="712">
        <f>huishoudens!M8</f>
        <v>0</v>
      </c>
      <c r="O11" s="712">
        <f>huishoudens!N8</f>
        <v>9160.6116091973436</v>
      </c>
      <c r="P11" s="712">
        <f>huishoudens!O8</f>
        <v>301.56164934682886</v>
      </c>
      <c r="Q11" s="713">
        <f>huishoudens!P8</f>
        <v>726.8431922302666</v>
      </c>
      <c r="R11" s="715">
        <f>SUM(C11:Q11)</f>
        <v>73625.292049470547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1394.641795</v>
      </c>
      <c r="D13" s="712">
        <f>industrie!C18</f>
        <v>0</v>
      </c>
      <c r="E13" s="712">
        <f>industrie!D18</f>
        <v>418.41260082600002</v>
      </c>
      <c r="F13" s="712">
        <f>industrie!E18</f>
        <v>164.12196038732338</v>
      </c>
      <c r="G13" s="712">
        <f>industrie!F18</f>
        <v>526.67335862788229</v>
      </c>
      <c r="H13" s="712">
        <f>industrie!G18</f>
        <v>0</v>
      </c>
      <c r="I13" s="712">
        <f>industrie!H18</f>
        <v>0</v>
      </c>
      <c r="J13" s="712">
        <f>industrie!I18</f>
        <v>0</v>
      </c>
      <c r="K13" s="712">
        <f>industrie!J18</f>
        <v>6.8983367829845399</v>
      </c>
      <c r="L13" s="712">
        <f>industrie!K18</f>
        <v>0</v>
      </c>
      <c r="M13" s="712">
        <f>industrie!L18</f>
        <v>0</v>
      </c>
      <c r="N13" s="712">
        <f>industrie!M18</f>
        <v>0</v>
      </c>
      <c r="O13" s="712">
        <f>industrie!N18</f>
        <v>71.519770711561563</v>
      </c>
      <c r="P13" s="712">
        <f>industrie!O18</f>
        <v>0</v>
      </c>
      <c r="Q13" s="713">
        <f>industrie!P18</f>
        <v>0</v>
      </c>
      <c r="R13" s="715">
        <f>SUM(C13:Q13)</f>
        <v>2582.267822335752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23822.322451852309</v>
      </c>
      <c r="D16" s="748">
        <f t="shared" ref="D16:R16" ca="1" si="0">SUM(D9:D15)</f>
        <v>0</v>
      </c>
      <c r="E16" s="748">
        <f t="shared" ca="1" si="0"/>
        <v>22483.971909651998</v>
      </c>
      <c r="F16" s="748">
        <f t="shared" si="0"/>
        <v>7255.0391421442982</v>
      </c>
      <c r="G16" s="748">
        <f t="shared" ca="1" si="0"/>
        <v>20824.20191646025</v>
      </c>
      <c r="H16" s="748">
        <f t="shared" si="0"/>
        <v>0</v>
      </c>
      <c r="I16" s="748">
        <f t="shared" si="0"/>
        <v>0</v>
      </c>
      <c r="J16" s="748">
        <f t="shared" si="0"/>
        <v>0</v>
      </c>
      <c r="K16" s="748">
        <f t="shared" si="0"/>
        <v>4360.0145844783892</v>
      </c>
      <c r="L16" s="748">
        <f t="shared" si="0"/>
        <v>0</v>
      </c>
      <c r="M16" s="748">
        <f t="shared" ca="1" si="0"/>
        <v>0</v>
      </c>
      <c r="N16" s="748">
        <f t="shared" si="0"/>
        <v>0</v>
      </c>
      <c r="O16" s="748">
        <f t="shared" ca="1" si="0"/>
        <v>9445.7624957072476</v>
      </c>
      <c r="P16" s="748">
        <f t="shared" si="0"/>
        <v>330.94521394187581</v>
      </c>
      <c r="Q16" s="748">
        <f t="shared" si="0"/>
        <v>726.8431922302666</v>
      </c>
      <c r="R16" s="748">
        <f t="shared" ca="1" si="0"/>
        <v>89249.100906466629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701.61106337719878</v>
      </c>
      <c r="I19" s="712">
        <f>transport!H54</f>
        <v>0</v>
      </c>
      <c r="J19" s="712">
        <f>transport!I54</f>
        <v>0</v>
      </c>
      <c r="K19" s="712">
        <f>transport!J54</f>
        <v>0</v>
      </c>
      <c r="L19" s="712">
        <f>transport!K54</f>
        <v>0</v>
      </c>
      <c r="M19" s="712">
        <f>transport!L54</f>
        <v>0</v>
      </c>
      <c r="N19" s="712">
        <f>transport!M54</f>
        <v>38.995620531504329</v>
      </c>
      <c r="O19" s="712">
        <f>transport!N54</f>
        <v>0</v>
      </c>
      <c r="P19" s="712">
        <f>transport!O54</f>
        <v>0</v>
      </c>
      <c r="Q19" s="713">
        <f>transport!P54</f>
        <v>0</v>
      </c>
      <c r="R19" s="715">
        <f>SUM(C19:Q19)</f>
        <v>740.60668390870308</v>
      </c>
      <c r="S19" s="67"/>
    </row>
    <row r="20" spans="1:19" s="474" customFormat="1">
      <c r="A20" s="834" t="s">
        <v>306</v>
      </c>
      <c r="B20" s="839"/>
      <c r="C20" s="712">
        <f>transport!B14</f>
        <v>35.331477919444438</v>
      </c>
      <c r="D20" s="712">
        <f>transport!C14</f>
        <v>0</v>
      </c>
      <c r="E20" s="712">
        <f>transport!D14</f>
        <v>143.37172715018997</v>
      </c>
      <c r="F20" s="712">
        <f>transport!E14</f>
        <v>110.24252488495141</v>
      </c>
      <c r="G20" s="712">
        <f>transport!F14</f>
        <v>0</v>
      </c>
      <c r="H20" s="712">
        <f>transport!G14</f>
        <v>41516.492898133358</v>
      </c>
      <c r="I20" s="712">
        <f>transport!H14</f>
        <v>10671.93307931333</v>
      </c>
      <c r="J20" s="712">
        <f>transport!I14</f>
        <v>0</v>
      </c>
      <c r="K20" s="712">
        <f>transport!J14</f>
        <v>0</v>
      </c>
      <c r="L20" s="712">
        <f>transport!K14</f>
        <v>0</v>
      </c>
      <c r="M20" s="712">
        <f>transport!L14</f>
        <v>0</v>
      </c>
      <c r="N20" s="712">
        <f>transport!M14</f>
        <v>3095.338321757612</v>
      </c>
      <c r="O20" s="712">
        <f>transport!N14</f>
        <v>0</v>
      </c>
      <c r="P20" s="712">
        <f>transport!O14</f>
        <v>0</v>
      </c>
      <c r="Q20" s="713">
        <f>transport!P14</f>
        <v>0</v>
      </c>
      <c r="R20" s="715">
        <f>SUM(C20:Q20)</f>
        <v>55572.710029158879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35.331477919444438</v>
      </c>
      <c r="D22" s="837">
        <f t="shared" ref="D22:R22" si="1">SUM(D18:D21)</f>
        <v>0</v>
      </c>
      <c r="E22" s="837">
        <f t="shared" si="1"/>
        <v>143.37172715018997</v>
      </c>
      <c r="F22" s="837">
        <f t="shared" si="1"/>
        <v>110.24252488495141</v>
      </c>
      <c r="G22" s="837">
        <f t="shared" si="1"/>
        <v>0</v>
      </c>
      <c r="H22" s="837">
        <f t="shared" si="1"/>
        <v>42218.103961510555</v>
      </c>
      <c r="I22" s="837">
        <f t="shared" si="1"/>
        <v>10671.93307931333</v>
      </c>
      <c r="J22" s="837">
        <f t="shared" si="1"/>
        <v>0</v>
      </c>
      <c r="K22" s="837">
        <f t="shared" si="1"/>
        <v>0</v>
      </c>
      <c r="L22" s="837">
        <f t="shared" si="1"/>
        <v>0</v>
      </c>
      <c r="M22" s="837">
        <f t="shared" si="1"/>
        <v>0</v>
      </c>
      <c r="N22" s="837">
        <f t="shared" si="1"/>
        <v>3134.3339422891163</v>
      </c>
      <c r="O22" s="837">
        <f t="shared" si="1"/>
        <v>0</v>
      </c>
      <c r="P22" s="837">
        <f t="shared" si="1"/>
        <v>0</v>
      </c>
      <c r="Q22" s="837">
        <f t="shared" si="1"/>
        <v>0</v>
      </c>
      <c r="R22" s="837">
        <f t="shared" si="1"/>
        <v>56313.316713067579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1009.0506059999999</v>
      </c>
      <c r="D24" s="712">
        <f>+landbouw!C8</f>
        <v>0</v>
      </c>
      <c r="E24" s="712">
        <f>+landbouw!D8</f>
        <v>147.31466796200002</v>
      </c>
      <c r="F24" s="712">
        <f>+landbouw!E8</f>
        <v>31.492136669420042</v>
      </c>
      <c r="G24" s="712">
        <f>+landbouw!F8</f>
        <v>3566.0966212147659</v>
      </c>
      <c r="H24" s="712">
        <f>+landbouw!G8</f>
        <v>0</v>
      </c>
      <c r="I24" s="712">
        <f>+landbouw!H8</f>
        <v>0</v>
      </c>
      <c r="J24" s="712">
        <f>+landbouw!I8</f>
        <v>0</v>
      </c>
      <c r="K24" s="712">
        <f>+landbouw!J8</f>
        <v>278.00043965762518</v>
      </c>
      <c r="L24" s="712">
        <f>+landbouw!K8</f>
        <v>0</v>
      </c>
      <c r="M24" s="712">
        <f>+landbouw!L8</f>
        <v>0</v>
      </c>
      <c r="N24" s="712">
        <f>+landbouw!M8</f>
        <v>0</v>
      </c>
      <c r="O24" s="712">
        <f>+landbouw!N8</f>
        <v>0</v>
      </c>
      <c r="P24" s="712">
        <f>+landbouw!O8</f>
        <v>0</v>
      </c>
      <c r="Q24" s="713">
        <f>+landbouw!P8</f>
        <v>0</v>
      </c>
      <c r="R24" s="715">
        <f>SUM(C24:Q24)</f>
        <v>5031.954471503811</v>
      </c>
      <c r="S24" s="67"/>
    </row>
    <row r="25" spans="1:19" s="474" customFormat="1" ht="15" thickBot="1">
      <c r="A25" s="856" t="s">
        <v>734</v>
      </c>
      <c r="B25" s="982"/>
      <c r="C25" s="983">
        <f>IF(Onbekend_ele_kWh="---",0,Onbekend_ele_kWh)/1000+IF(REST_rest_ele_kWh="---",0,REST_rest_ele_kWh)/1000</f>
        <v>286.12385799999998</v>
      </c>
      <c r="D25" s="983"/>
      <c r="E25" s="983">
        <f>IF(onbekend_gas_kWh="---",0,onbekend_gas_kWh)/1000+IF(REST_rest_gas_kWh="---",0,REST_rest_gas_kWh)/1000</f>
        <v>353.85648200000003</v>
      </c>
      <c r="F25" s="983"/>
      <c r="G25" s="983"/>
      <c r="H25" s="983"/>
      <c r="I25" s="983"/>
      <c r="J25" s="983"/>
      <c r="K25" s="983"/>
      <c r="L25" s="983"/>
      <c r="M25" s="983"/>
      <c r="N25" s="983"/>
      <c r="O25" s="983"/>
      <c r="P25" s="983"/>
      <c r="Q25" s="984"/>
      <c r="R25" s="715">
        <f>SUM(C25:Q25)</f>
        <v>639.98034000000007</v>
      </c>
      <c r="S25" s="67"/>
    </row>
    <row r="26" spans="1:19" s="474" customFormat="1" ht="15.75" thickBot="1">
      <c r="A26" s="720" t="s">
        <v>735</v>
      </c>
      <c r="B26" s="842"/>
      <c r="C26" s="837">
        <f>SUM(C24:C25)</f>
        <v>1295.1744639999999</v>
      </c>
      <c r="D26" s="837">
        <f t="shared" ref="D26:R26" si="2">SUM(D24:D25)</f>
        <v>0</v>
      </c>
      <c r="E26" s="837">
        <f t="shared" si="2"/>
        <v>501.17114996200007</v>
      </c>
      <c r="F26" s="837">
        <f t="shared" si="2"/>
        <v>31.492136669420042</v>
      </c>
      <c r="G26" s="837">
        <f t="shared" si="2"/>
        <v>3566.0966212147659</v>
      </c>
      <c r="H26" s="837">
        <f t="shared" si="2"/>
        <v>0</v>
      </c>
      <c r="I26" s="837">
        <f t="shared" si="2"/>
        <v>0</v>
      </c>
      <c r="J26" s="837">
        <f t="shared" si="2"/>
        <v>0</v>
      </c>
      <c r="K26" s="837">
        <f t="shared" si="2"/>
        <v>278.00043965762518</v>
      </c>
      <c r="L26" s="837">
        <f t="shared" si="2"/>
        <v>0</v>
      </c>
      <c r="M26" s="837">
        <f t="shared" si="2"/>
        <v>0</v>
      </c>
      <c r="N26" s="837">
        <f t="shared" si="2"/>
        <v>0</v>
      </c>
      <c r="O26" s="837">
        <f t="shared" si="2"/>
        <v>0</v>
      </c>
      <c r="P26" s="837">
        <f t="shared" si="2"/>
        <v>0</v>
      </c>
      <c r="Q26" s="837">
        <f t="shared" si="2"/>
        <v>0</v>
      </c>
      <c r="R26" s="837">
        <f t="shared" si="2"/>
        <v>5671.934811503811</v>
      </c>
      <c r="S26" s="67"/>
    </row>
    <row r="27" spans="1:19" s="474" customFormat="1" ht="17.25" thickTop="1" thickBot="1">
      <c r="A27" s="721" t="s">
        <v>115</v>
      </c>
      <c r="B27" s="829"/>
      <c r="C27" s="722">
        <f ca="1">C22+C16+C26</f>
        <v>25152.828393771753</v>
      </c>
      <c r="D27" s="722">
        <f t="shared" ref="D27:R27" ca="1" si="3">D22+D16+D26</f>
        <v>0</v>
      </c>
      <c r="E27" s="722">
        <f t="shared" ca="1" si="3"/>
        <v>23128.514786764186</v>
      </c>
      <c r="F27" s="722">
        <f t="shared" si="3"/>
        <v>7396.7738036986693</v>
      </c>
      <c r="G27" s="722">
        <f t="shared" ca="1" si="3"/>
        <v>24390.298537675015</v>
      </c>
      <c r="H27" s="722">
        <f t="shared" si="3"/>
        <v>42218.103961510555</v>
      </c>
      <c r="I27" s="722">
        <f t="shared" si="3"/>
        <v>10671.93307931333</v>
      </c>
      <c r="J27" s="722">
        <f t="shared" si="3"/>
        <v>0</v>
      </c>
      <c r="K27" s="722">
        <f t="shared" si="3"/>
        <v>4638.0150241360143</v>
      </c>
      <c r="L27" s="722">
        <f t="shared" si="3"/>
        <v>0</v>
      </c>
      <c r="M27" s="722">
        <f t="shared" ca="1" si="3"/>
        <v>0</v>
      </c>
      <c r="N27" s="722">
        <f t="shared" si="3"/>
        <v>3134.3339422891163</v>
      </c>
      <c r="O27" s="722">
        <f t="shared" ca="1" si="3"/>
        <v>9445.7624957072476</v>
      </c>
      <c r="P27" s="722">
        <f t="shared" si="3"/>
        <v>330.94521394187581</v>
      </c>
      <c r="Q27" s="722">
        <f t="shared" si="3"/>
        <v>726.8431922302666</v>
      </c>
      <c r="R27" s="722">
        <f t="shared" ca="1" si="3"/>
        <v>151234.35243103802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1383.536903050117</v>
      </c>
      <c r="D40" s="712">
        <f ca="1">tertiair!C20</f>
        <v>0</v>
      </c>
      <c r="E40" s="712">
        <f ca="1">tertiair!D20</f>
        <v>987.03520871001194</v>
      </c>
      <c r="F40" s="712">
        <f>tertiair!E20</f>
        <v>17.8722793721778</v>
      </c>
      <c r="G40" s="712">
        <f ca="1">tertiair!F20</f>
        <v>202.72506877157332</v>
      </c>
      <c r="H40" s="712">
        <f>tertiair!G20</f>
        <v>0</v>
      </c>
      <c r="I40" s="712">
        <f>tertiair!H20</f>
        <v>0</v>
      </c>
      <c r="J40" s="712">
        <f>tertiair!I20</f>
        <v>0</v>
      </c>
      <c r="K40" s="712">
        <f>tertiair!J20</f>
        <v>8.9063287218244056E-3</v>
      </c>
      <c r="L40" s="712">
        <f>tertiair!K20</f>
        <v>0</v>
      </c>
      <c r="M40" s="712">
        <f ca="1">tertiair!L20</f>
        <v>0</v>
      </c>
      <c r="N40" s="712">
        <f>tertiair!M20</f>
        <v>0</v>
      </c>
      <c r="O40" s="712">
        <f ca="1">tertiair!N20</f>
        <v>0</v>
      </c>
      <c r="P40" s="712">
        <f>tertiair!O20</f>
        <v>0</v>
      </c>
      <c r="Q40" s="795">
        <f>tertiair!P20</f>
        <v>0</v>
      </c>
      <c r="R40" s="875">
        <f t="shared" ca="1" si="4"/>
        <v>2591.1783662326015</v>
      </c>
    </row>
    <row r="41" spans="1:18">
      <c r="A41" s="847" t="s">
        <v>224</v>
      </c>
      <c r="B41" s="854"/>
      <c r="C41" s="712">
        <f ca="1">huishoudens!B12</f>
        <v>3002.7662684739739</v>
      </c>
      <c r="D41" s="712">
        <f ca="1">huishoudens!C12</f>
        <v>0</v>
      </c>
      <c r="E41" s="712">
        <f>huishoudens!D12</f>
        <v>3470.20777167284</v>
      </c>
      <c r="F41" s="712">
        <f>huishoudens!E12</f>
        <v>1591.7659208866555</v>
      </c>
      <c r="G41" s="712">
        <f>huishoudens!F12</f>
        <v>5216.715056169669</v>
      </c>
      <c r="H41" s="712">
        <f>huishoudens!G12</f>
        <v>0</v>
      </c>
      <c r="I41" s="712">
        <f>huishoudens!H12</f>
        <v>0</v>
      </c>
      <c r="J41" s="712">
        <f>huishoudens!I12</f>
        <v>0</v>
      </c>
      <c r="K41" s="712">
        <f>huishoudens!J12</f>
        <v>1540.9942453554513</v>
      </c>
      <c r="L41" s="712">
        <f>huishoudens!K12</f>
        <v>0</v>
      </c>
      <c r="M41" s="712">
        <f>huishoudens!L12</f>
        <v>0</v>
      </c>
      <c r="N41" s="712">
        <f>huishoudens!M12</f>
        <v>0</v>
      </c>
      <c r="O41" s="712">
        <f>huishoudens!N12</f>
        <v>0</v>
      </c>
      <c r="P41" s="712">
        <f>huishoudens!O12</f>
        <v>0</v>
      </c>
      <c r="Q41" s="795">
        <f>huishoudens!P12</f>
        <v>0</v>
      </c>
      <c r="R41" s="875">
        <f t="shared" ca="1" si="4"/>
        <v>14822.449262558588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272.75766148736972</v>
      </c>
      <c r="D43" s="712">
        <f ca="1">industrie!C22</f>
        <v>0</v>
      </c>
      <c r="E43" s="712">
        <f>industrie!D22</f>
        <v>84.519345366852008</v>
      </c>
      <c r="F43" s="712">
        <f>industrie!E22</f>
        <v>37.255685007922409</v>
      </c>
      <c r="G43" s="712">
        <f>industrie!F22</f>
        <v>140.62178675364459</v>
      </c>
      <c r="H43" s="712">
        <f>industrie!G22</f>
        <v>0</v>
      </c>
      <c r="I43" s="712">
        <f>industrie!H22</f>
        <v>0</v>
      </c>
      <c r="J43" s="712">
        <f>industrie!I22</f>
        <v>0</v>
      </c>
      <c r="K43" s="712">
        <f>industrie!J22</f>
        <v>2.4420112211765268</v>
      </c>
      <c r="L43" s="712">
        <f>industrie!K22</f>
        <v>0</v>
      </c>
      <c r="M43" s="712">
        <f>industrie!L22</f>
        <v>0</v>
      </c>
      <c r="N43" s="712">
        <f>industrie!M22</f>
        <v>0</v>
      </c>
      <c r="O43" s="712">
        <f>industrie!N22</f>
        <v>0</v>
      </c>
      <c r="P43" s="712">
        <f>industrie!O22</f>
        <v>0</v>
      </c>
      <c r="Q43" s="795">
        <f>industrie!P22</f>
        <v>0</v>
      </c>
      <c r="R43" s="874">
        <f t="shared" ca="1" si="4"/>
        <v>537.59648983696525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4659.0608330114601</v>
      </c>
      <c r="D46" s="748">
        <f t="shared" ref="D46:Q46" ca="1" si="5">SUM(D39:D45)</f>
        <v>0</v>
      </c>
      <c r="E46" s="748">
        <f t="shared" ca="1" si="5"/>
        <v>4541.7623257497035</v>
      </c>
      <c r="F46" s="748">
        <f t="shared" si="5"/>
        <v>1646.8938852667559</v>
      </c>
      <c r="G46" s="748">
        <f t="shared" ca="1" si="5"/>
        <v>5560.0619116948865</v>
      </c>
      <c r="H46" s="748">
        <f t="shared" si="5"/>
        <v>0</v>
      </c>
      <c r="I46" s="748">
        <f t="shared" si="5"/>
        <v>0</v>
      </c>
      <c r="J46" s="748">
        <f t="shared" si="5"/>
        <v>0</v>
      </c>
      <c r="K46" s="748">
        <f t="shared" si="5"/>
        <v>1543.4451629053497</v>
      </c>
      <c r="L46" s="748">
        <f t="shared" si="5"/>
        <v>0</v>
      </c>
      <c r="M46" s="748">
        <f t="shared" ca="1" si="5"/>
        <v>0</v>
      </c>
      <c r="N46" s="748">
        <f t="shared" si="5"/>
        <v>0</v>
      </c>
      <c r="O46" s="748">
        <f t="shared" ca="1" si="5"/>
        <v>0</v>
      </c>
      <c r="P46" s="748">
        <f t="shared" si="5"/>
        <v>0</v>
      </c>
      <c r="Q46" s="748">
        <f t="shared" si="5"/>
        <v>0</v>
      </c>
      <c r="R46" s="748">
        <f ca="1">SUM(R39:R45)</f>
        <v>17951.224118628154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187.33015392171208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187.33015392171208</v>
      </c>
    </row>
    <row r="50" spans="1:18">
      <c r="A50" s="850" t="s">
        <v>306</v>
      </c>
      <c r="B50" s="860"/>
      <c r="C50" s="718">
        <f ca="1">transport!B18</f>
        <v>6.9099688025628856</v>
      </c>
      <c r="D50" s="718">
        <f>transport!C18</f>
        <v>0</v>
      </c>
      <c r="E50" s="718">
        <f>transport!D18</f>
        <v>28.961088884338377</v>
      </c>
      <c r="F50" s="718">
        <f>transport!E18</f>
        <v>25.02505314888397</v>
      </c>
      <c r="G50" s="718">
        <f>transport!F18</f>
        <v>0</v>
      </c>
      <c r="H50" s="718">
        <f>transport!G18</f>
        <v>11084.903603801607</v>
      </c>
      <c r="I50" s="718">
        <f>transport!H18</f>
        <v>2657.3113367490191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13803.111051386411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6.9099688025628856</v>
      </c>
      <c r="D52" s="748">
        <f t="shared" ref="D52:Q52" ca="1" si="6">SUM(D48:D51)</f>
        <v>0</v>
      </c>
      <c r="E52" s="748">
        <f t="shared" si="6"/>
        <v>28.961088884338377</v>
      </c>
      <c r="F52" s="748">
        <f t="shared" si="6"/>
        <v>25.02505314888397</v>
      </c>
      <c r="G52" s="748">
        <f t="shared" si="6"/>
        <v>0</v>
      </c>
      <c r="H52" s="748">
        <f t="shared" si="6"/>
        <v>11272.233757723319</v>
      </c>
      <c r="I52" s="748">
        <f t="shared" si="6"/>
        <v>2657.3113367490191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13990.441205308123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197.3455009033149</v>
      </c>
      <c r="D54" s="718">
        <f ca="1">+landbouw!C12</f>
        <v>0</v>
      </c>
      <c r="E54" s="718">
        <f>+landbouw!D12</f>
        <v>29.757562928324006</v>
      </c>
      <c r="F54" s="718">
        <f>+landbouw!E12</f>
        <v>7.1487150239583492</v>
      </c>
      <c r="G54" s="718">
        <f>+landbouw!F12</f>
        <v>952.14779786434258</v>
      </c>
      <c r="H54" s="718">
        <f>+landbouw!G12</f>
        <v>0</v>
      </c>
      <c r="I54" s="718">
        <f>+landbouw!H12</f>
        <v>0</v>
      </c>
      <c r="J54" s="718">
        <f>+landbouw!I12</f>
        <v>0</v>
      </c>
      <c r="K54" s="718">
        <f>+landbouw!J12</f>
        <v>98.412155638799305</v>
      </c>
      <c r="L54" s="718">
        <f>+landbouw!K12</f>
        <v>0</v>
      </c>
      <c r="M54" s="718">
        <f>+landbouw!L12</f>
        <v>0</v>
      </c>
      <c r="N54" s="718">
        <f>+landbouw!M12</f>
        <v>0</v>
      </c>
      <c r="O54" s="718">
        <f>+landbouw!N12</f>
        <v>0</v>
      </c>
      <c r="P54" s="718">
        <f>+landbouw!O12</f>
        <v>0</v>
      </c>
      <c r="Q54" s="719">
        <f>+landbouw!P12</f>
        <v>0</v>
      </c>
      <c r="R54" s="747">
        <f ca="1">SUM(C54:Q54)</f>
        <v>1284.8117323587392</v>
      </c>
    </row>
    <row r="55" spans="1:18" ht="15" thickBot="1">
      <c r="A55" s="850" t="s">
        <v>734</v>
      </c>
      <c r="B55" s="860"/>
      <c r="C55" s="718">
        <f ca="1">C25*'EF ele_warmte'!B12</f>
        <v>55.958795070976798</v>
      </c>
      <c r="D55" s="718"/>
      <c r="E55" s="718">
        <f>E25*EF_CO2_aardgas</f>
        <v>71.479009364000007</v>
      </c>
      <c r="F55" s="718"/>
      <c r="G55" s="718"/>
      <c r="H55" s="718"/>
      <c r="I55" s="718"/>
      <c r="J55" s="718"/>
      <c r="K55" s="718"/>
      <c r="L55" s="718"/>
      <c r="M55" s="718"/>
      <c r="N55" s="718"/>
      <c r="O55" s="718"/>
      <c r="P55" s="718"/>
      <c r="Q55" s="719"/>
      <c r="R55" s="747">
        <f ca="1">SUM(C55:Q55)</f>
        <v>127.43780443497681</v>
      </c>
    </row>
    <row r="56" spans="1:18" ht="15.75" thickBot="1">
      <c r="A56" s="848" t="s">
        <v>735</v>
      </c>
      <c r="B56" s="861"/>
      <c r="C56" s="748">
        <f ca="1">SUM(C54:C55)</f>
        <v>253.3042959742917</v>
      </c>
      <c r="D56" s="748">
        <f t="shared" ref="D56:Q56" ca="1" si="7">SUM(D54:D55)</f>
        <v>0</v>
      </c>
      <c r="E56" s="748">
        <f t="shared" si="7"/>
        <v>101.23657229232401</v>
      </c>
      <c r="F56" s="748">
        <f t="shared" si="7"/>
        <v>7.1487150239583492</v>
      </c>
      <c r="G56" s="748">
        <f t="shared" si="7"/>
        <v>952.14779786434258</v>
      </c>
      <c r="H56" s="748">
        <f t="shared" si="7"/>
        <v>0</v>
      </c>
      <c r="I56" s="748">
        <f t="shared" si="7"/>
        <v>0</v>
      </c>
      <c r="J56" s="748">
        <f t="shared" si="7"/>
        <v>0</v>
      </c>
      <c r="K56" s="748">
        <f t="shared" si="7"/>
        <v>98.412155638799305</v>
      </c>
      <c r="L56" s="748">
        <f t="shared" si="7"/>
        <v>0</v>
      </c>
      <c r="M56" s="748">
        <f t="shared" si="7"/>
        <v>0</v>
      </c>
      <c r="N56" s="748">
        <f t="shared" si="7"/>
        <v>0</v>
      </c>
      <c r="O56" s="748">
        <f t="shared" si="7"/>
        <v>0</v>
      </c>
      <c r="P56" s="748">
        <f t="shared" si="7"/>
        <v>0</v>
      </c>
      <c r="Q56" s="749">
        <f t="shared" si="7"/>
        <v>0</v>
      </c>
      <c r="R56" s="750">
        <f ca="1">SUM(R54:R55)</f>
        <v>1412.2495367937161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4919.2750977883143</v>
      </c>
      <c r="D61" s="756">
        <f t="shared" ref="D61:Q61" ca="1" si="8">D46+D52+D56</f>
        <v>0</v>
      </c>
      <c r="E61" s="756">
        <f t="shared" ca="1" si="8"/>
        <v>4671.9599869263657</v>
      </c>
      <c r="F61" s="756">
        <f t="shared" si="8"/>
        <v>1679.0676534395982</v>
      </c>
      <c r="G61" s="756">
        <f t="shared" ca="1" si="8"/>
        <v>6512.2097095592289</v>
      </c>
      <c r="H61" s="756">
        <f t="shared" si="8"/>
        <v>11272.233757723319</v>
      </c>
      <c r="I61" s="756">
        <f t="shared" si="8"/>
        <v>2657.3113367490191</v>
      </c>
      <c r="J61" s="756">
        <f t="shared" si="8"/>
        <v>0</v>
      </c>
      <c r="K61" s="756">
        <f t="shared" si="8"/>
        <v>1641.8573185441489</v>
      </c>
      <c r="L61" s="756">
        <f t="shared" si="8"/>
        <v>0</v>
      </c>
      <c r="M61" s="756">
        <f t="shared" ca="1" si="8"/>
        <v>0</v>
      </c>
      <c r="N61" s="756">
        <f t="shared" si="8"/>
        <v>0</v>
      </c>
      <c r="O61" s="756">
        <f t="shared" ca="1" si="8"/>
        <v>0</v>
      </c>
      <c r="P61" s="756">
        <f t="shared" si="8"/>
        <v>0</v>
      </c>
      <c r="Q61" s="756">
        <f t="shared" si="8"/>
        <v>0</v>
      </c>
      <c r="R61" s="756">
        <f ca="1">R46+R52+R56</f>
        <v>33353.914860729994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0.19557542479025564</v>
      </c>
      <c r="D63" s="802">
        <f t="shared" ca="1" si="9"/>
        <v>0</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11.942931413210443</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2611.7221239498767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270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771.42857142857144</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2893.665055363087</v>
      </c>
      <c r="C78" s="774">
        <f>SUM(C72:C77)</f>
        <v>0</v>
      </c>
      <c r="D78" s="775">
        <f t="shared" ref="D78:H78" si="10">SUM(D76:D77)</f>
        <v>0</v>
      </c>
      <c r="E78" s="775">
        <f t="shared" si="10"/>
        <v>0</v>
      </c>
      <c r="F78" s="775">
        <f t="shared" si="10"/>
        <v>0</v>
      </c>
      <c r="G78" s="775">
        <f t="shared" si="10"/>
        <v>0</v>
      </c>
      <c r="H78" s="775">
        <f t="shared" si="10"/>
        <v>0</v>
      </c>
      <c r="I78" s="775">
        <f>SUM(I76:I77)</f>
        <v>0</v>
      </c>
      <c r="J78" s="775">
        <f>SUM(J76:J77)</f>
        <v>771.42857142857144</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11.942931413210443</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2611.7221239498767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270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2893.665055363087</v>
      </c>
      <c r="C10" s="589">
        <f t="shared" ref="C10:L10" si="0">SUM(C8:C9)</f>
        <v>0</v>
      </c>
      <c r="D10" s="589">
        <f t="shared" si="0"/>
        <v>0</v>
      </c>
      <c r="E10" s="589">
        <f t="shared" si="0"/>
        <v>0</v>
      </c>
      <c r="F10" s="589">
        <f t="shared" si="0"/>
        <v>0</v>
      </c>
      <c r="G10" s="589">
        <f t="shared" si="0"/>
        <v>0</v>
      </c>
      <c r="H10" s="589">
        <f t="shared" si="0"/>
        <v>0</v>
      </c>
      <c r="I10" s="589">
        <f t="shared" si="0"/>
        <v>0</v>
      </c>
      <c r="J10" s="589">
        <f t="shared" si="0"/>
        <v>771.42857142857144</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45065</v>
      </c>
      <c r="C64" s="817">
        <v>9630</v>
      </c>
      <c r="D64" s="668" t="s">
        <v>886</v>
      </c>
      <c r="E64" s="668" t="s">
        <v>887</v>
      </c>
      <c r="F64" s="668" t="s">
        <v>888</v>
      </c>
      <c r="G64" s="668" t="s">
        <v>889</v>
      </c>
      <c r="H64" s="668" t="s">
        <v>890</v>
      </c>
      <c r="I64" s="668" t="s">
        <v>891</v>
      </c>
      <c r="J64" s="816">
        <v>39937</v>
      </c>
      <c r="K64" s="816">
        <v>39937</v>
      </c>
      <c r="L64" s="668" t="s">
        <v>892</v>
      </c>
      <c r="M64" s="668">
        <v>60</v>
      </c>
      <c r="N64" s="668">
        <v>270</v>
      </c>
      <c r="O64" s="668">
        <v>0</v>
      </c>
      <c r="P64" s="668">
        <v>0</v>
      </c>
      <c r="Q64" s="668">
        <v>771.42857142857144</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60</v>
      </c>
      <c r="N89" s="623">
        <f t="shared" ref="N89:W89" si="5">SUM(N64:N88)</f>
        <v>270</v>
      </c>
      <c r="O89" s="623">
        <f t="shared" si="5"/>
        <v>0</v>
      </c>
      <c r="P89" s="623">
        <f t="shared" si="5"/>
        <v>0</v>
      </c>
      <c r="Q89" s="623">
        <f t="shared" si="5"/>
        <v>771.42857142857144</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60</v>
      </c>
      <c r="N91" s="623">
        <f t="shared" si="7"/>
        <v>270</v>
      </c>
      <c r="O91" s="623">
        <f t="shared" si="7"/>
        <v>0</v>
      </c>
      <c r="P91" s="623">
        <f t="shared" si="7"/>
        <v>0</v>
      </c>
      <c r="Q91" s="623">
        <f t="shared" si="7"/>
        <v>771.42857142857144</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15353.494804852307</v>
      </c>
      <c r="C4" s="478">
        <f>huishoudens!C8</f>
        <v>0</v>
      </c>
      <c r="D4" s="478">
        <f>huishoudens!D8</f>
        <v>17179.246394419999</v>
      </c>
      <c r="E4" s="478">
        <f>huishoudens!E8</f>
        <v>7012.184673509496</v>
      </c>
      <c r="F4" s="478">
        <f>huishoudens!F8</f>
        <v>19538.258637339582</v>
      </c>
      <c r="G4" s="478">
        <f>huishoudens!G8</f>
        <v>0</v>
      </c>
      <c r="H4" s="478">
        <f>huishoudens!H8</f>
        <v>0</v>
      </c>
      <c r="I4" s="478">
        <f>huishoudens!I8</f>
        <v>0</v>
      </c>
      <c r="J4" s="478">
        <f>huishoudens!J8</f>
        <v>4353.0910885747217</v>
      </c>
      <c r="K4" s="478">
        <f>huishoudens!K8</f>
        <v>0</v>
      </c>
      <c r="L4" s="478">
        <f>huishoudens!L8</f>
        <v>0</v>
      </c>
      <c r="M4" s="478">
        <f>huishoudens!M8</f>
        <v>0</v>
      </c>
      <c r="N4" s="478">
        <f>huishoudens!N8</f>
        <v>9160.6116091973436</v>
      </c>
      <c r="O4" s="478">
        <f>huishoudens!O8</f>
        <v>301.56164934682886</v>
      </c>
      <c r="P4" s="479">
        <f>huishoudens!P8</f>
        <v>726.8431922302666</v>
      </c>
      <c r="Q4" s="480">
        <f>SUM(B4:P4)</f>
        <v>73625.292049470547</v>
      </c>
    </row>
    <row r="5" spans="1:17">
      <c r="A5" s="477" t="s">
        <v>155</v>
      </c>
      <c r="B5" s="478">
        <f ca="1">tertiair!B16</f>
        <v>6601.1258520000001</v>
      </c>
      <c r="C5" s="478">
        <f ca="1">tertiair!C16</f>
        <v>0</v>
      </c>
      <c r="D5" s="478">
        <f ca="1">tertiair!D16</f>
        <v>4886.3129144059994</v>
      </c>
      <c r="E5" s="478">
        <f>tertiair!E16</f>
        <v>78.732508247479302</v>
      </c>
      <c r="F5" s="478">
        <f ca="1">tertiair!F16</f>
        <v>759.26992049278397</v>
      </c>
      <c r="G5" s="478">
        <f>tertiair!G16</f>
        <v>0</v>
      </c>
      <c r="H5" s="478">
        <f>tertiair!H16</f>
        <v>0</v>
      </c>
      <c r="I5" s="478">
        <f>tertiair!I16</f>
        <v>0</v>
      </c>
      <c r="J5" s="478">
        <f>tertiair!J16</f>
        <v>2.515912068311979E-2</v>
      </c>
      <c r="K5" s="478">
        <f>tertiair!K16</f>
        <v>0</v>
      </c>
      <c r="L5" s="478">
        <f ca="1">tertiair!L16</f>
        <v>0</v>
      </c>
      <c r="M5" s="478">
        <f>tertiair!M16</f>
        <v>0</v>
      </c>
      <c r="N5" s="478">
        <f ca="1">tertiair!N16</f>
        <v>213.63111579834242</v>
      </c>
      <c r="O5" s="478">
        <f>tertiair!O16</f>
        <v>29.383564595046927</v>
      </c>
      <c r="P5" s="479">
        <f>tertiair!P16</f>
        <v>0</v>
      </c>
      <c r="Q5" s="477">
        <f t="shared" ref="Q5:Q14" ca="1" si="0">SUM(B5:P5)</f>
        <v>12568.481034660337</v>
      </c>
    </row>
    <row r="6" spans="1:17">
      <c r="A6" s="477" t="s">
        <v>193</v>
      </c>
      <c r="B6" s="478">
        <f>'openbare verlichting'!B8</f>
        <v>473.06</v>
      </c>
      <c r="C6" s="478"/>
      <c r="D6" s="478"/>
      <c r="E6" s="478"/>
      <c r="F6" s="478"/>
      <c r="G6" s="478"/>
      <c r="H6" s="478"/>
      <c r="I6" s="478"/>
      <c r="J6" s="478"/>
      <c r="K6" s="478"/>
      <c r="L6" s="478"/>
      <c r="M6" s="478"/>
      <c r="N6" s="478"/>
      <c r="O6" s="478"/>
      <c r="P6" s="479"/>
      <c r="Q6" s="477">
        <f t="shared" si="0"/>
        <v>473.06</v>
      </c>
    </row>
    <row r="7" spans="1:17">
      <c r="A7" s="477" t="s">
        <v>111</v>
      </c>
      <c r="B7" s="478">
        <f>landbouw!B8</f>
        <v>1009.0506059999999</v>
      </c>
      <c r="C7" s="478">
        <f>landbouw!C8</f>
        <v>0</v>
      </c>
      <c r="D7" s="478">
        <f>landbouw!D8</f>
        <v>147.31466796200002</v>
      </c>
      <c r="E7" s="478">
        <f>landbouw!E8</f>
        <v>31.492136669420042</v>
      </c>
      <c r="F7" s="478">
        <f>landbouw!F8</f>
        <v>3566.0966212147659</v>
      </c>
      <c r="G7" s="478">
        <f>landbouw!G8</f>
        <v>0</v>
      </c>
      <c r="H7" s="478">
        <f>landbouw!H8</f>
        <v>0</v>
      </c>
      <c r="I7" s="478">
        <f>landbouw!I8</f>
        <v>0</v>
      </c>
      <c r="J7" s="478">
        <f>landbouw!J8</f>
        <v>278.00043965762518</v>
      </c>
      <c r="K7" s="478">
        <f>landbouw!K8</f>
        <v>0</v>
      </c>
      <c r="L7" s="478">
        <f>landbouw!L8</f>
        <v>0</v>
      </c>
      <c r="M7" s="478">
        <f>landbouw!M8</f>
        <v>0</v>
      </c>
      <c r="N7" s="478">
        <f>landbouw!N8</f>
        <v>0</v>
      </c>
      <c r="O7" s="478">
        <f>landbouw!O8</f>
        <v>0</v>
      </c>
      <c r="P7" s="479">
        <f>landbouw!P8</f>
        <v>0</v>
      </c>
      <c r="Q7" s="477">
        <f t="shared" si="0"/>
        <v>5031.954471503811</v>
      </c>
    </row>
    <row r="8" spans="1:17">
      <c r="A8" s="477" t="s">
        <v>629</v>
      </c>
      <c r="B8" s="478">
        <f>industrie!B18</f>
        <v>1394.641795</v>
      </c>
      <c r="C8" s="478">
        <f>industrie!C18</f>
        <v>0</v>
      </c>
      <c r="D8" s="478">
        <f>industrie!D18</f>
        <v>418.41260082600002</v>
      </c>
      <c r="E8" s="478">
        <f>industrie!E18</f>
        <v>164.12196038732338</v>
      </c>
      <c r="F8" s="478">
        <f>industrie!F18</f>
        <v>526.67335862788229</v>
      </c>
      <c r="G8" s="478">
        <f>industrie!G18</f>
        <v>0</v>
      </c>
      <c r="H8" s="478">
        <f>industrie!H18</f>
        <v>0</v>
      </c>
      <c r="I8" s="478">
        <f>industrie!I18</f>
        <v>0</v>
      </c>
      <c r="J8" s="478">
        <f>industrie!J18</f>
        <v>6.8983367829845399</v>
      </c>
      <c r="K8" s="478">
        <f>industrie!K18</f>
        <v>0</v>
      </c>
      <c r="L8" s="478">
        <f>industrie!L18</f>
        <v>0</v>
      </c>
      <c r="M8" s="478">
        <f>industrie!M18</f>
        <v>0</v>
      </c>
      <c r="N8" s="478">
        <f>industrie!N18</f>
        <v>71.519770711561563</v>
      </c>
      <c r="O8" s="478">
        <f>industrie!O18</f>
        <v>0</v>
      </c>
      <c r="P8" s="479">
        <f>industrie!P18</f>
        <v>0</v>
      </c>
      <c r="Q8" s="477">
        <f t="shared" si="0"/>
        <v>2582.267822335752</v>
      </c>
    </row>
    <row r="9" spans="1:17" s="483" customFormat="1">
      <c r="A9" s="481" t="s">
        <v>555</v>
      </c>
      <c r="B9" s="482">
        <f>transport!B14</f>
        <v>35.331477919444438</v>
      </c>
      <c r="C9" s="482">
        <f>transport!C14</f>
        <v>0</v>
      </c>
      <c r="D9" s="482">
        <f>transport!D14</f>
        <v>143.37172715018997</v>
      </c>
      <c r="E9" s="482">
        <f>transport!E14</f>
        <v>110.24252488495141</v>
      </c>
      <c r="F9" s="482">
        <f>transport!F14</f>
        <v>0</v>
      </c>
      <c r="G9" s="482">
        <f>transport!G14</f>
        <v>41516.492898133358</v>
      </c>
      <c r="H9" s="482">
        <f>transport!H14</f>
        <v>10671.93307931333</v>
      </c>
      <c r="I9" s="482">
        <f>transport!I14</f>
        <v>0</v>
      </c>
      <c r="J9" s="482">
        <f>transport!J14</f>
        <v>0</v>
      </c>
      <c r="K9" s="482">
        <f>transport!K14</f>
        <v>0</v>
      </c>
      <c r="L9" s="482">
        <f>transport!L14</f>
        <v>0</v>
      </c>
      <c r="M9" s="482">
        <f>transport!M14</f>
        <v>3095.338321757612</v>
      </c>
      <c r="N9" s="482">
        <f>transport!N14</f>
        <v>0</v>
      </c>
      <c r="O9" s="482">
        <f>transport!O14</f>
        <v>0</v>
      </c>
      <c r="P9" s="482">
        <f>transport!P14</f>
        <v>0</v>
      </c>
      <c r="Q9" s="481">
        <f>SUM(B9:P9)</f>
        <v>55572.710029158879</v>
      </c>
    </row>
    <row r="10" spans="1:17">
      <c r="A10" s="477" t="s">
        <v>545</v>
      </c>
      <c r="B10" s="478">
        <f>transport!B54</f>
        <v>0</v>
      </c>
      <c r="C10" s="478">
        <f>transport!C54</f>
        <v>0</v>
      </c>
      <c r="D10" s="478">
        <f>transport!D54</f>
        <v>0</v>
      </c>
      <c r="E10" s="478">
        <f>transport!E54</f>
        <v>0</v>
      </c>
      <c r="F10" s="478">
        <f>transport!F54</f>
        <v>0</v>
      </c>
      <c r="G10" s="478">
        <f>transport!G54</f>
        <v>701.61106337719878</v>
      </c>
      <c r="H10" s="478">
        <f>transport!H54</f>
        <v>0</v>
      </c>
      <c r="I10" s="478">
        <f>transport!I54</f>
        <v>0</v>
      </c>
      <c r="J10" s="478">
        <f>transport!J54</f>
        <v>0</v>
      </c>
      <c r="K10" s="478">
        <f>transport!K54</f>
        <v>0</v>
      </c>
      <c r="L10" s="478">
        <f>transport!L54</f>
        <v>0</v>
      </c>
      <c r="M10" s="478">
        <f>transport!M54</f>
        <v>38.995620531504329</v>
      </c>
      <c r="N10" s="478">
        <f>transport!N54</f>
        <v>0</v>
      </c>
      <c r="O10" s="478">
        <f>transport!O54</f>
        <v>0</v>
      </c>
      <c r="P10" s="479">
        <f>transport!P54</f>
        <v>0</v>
      </c>
      <c r="Q10" s="477">
        <f t="shared" si="0"/>
        <v>740.60668390870308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286.12385799999998</v>
      </c>
      <c r="C14" s="485"/>
      <c r="D14" s="485">
        <f>'SEAP template'!E25</f>
        <v>353.85648200000003</v>
      </c>
      <c r="E14" s="485"/>
      <c r="F14" s="485"/>
      <c r="G14" s="485"/>
      <c r="H14" s="485"/>
      <c r="I14" s="485"/>
      <c r="J14" s="485"/>
      <c r="K14" s="485"/>
      <c r="L14" s="485"/>
      <c r="M14" s="485"/>
      <c r="N14" s="485"/>
      <c r="O14" s="485"/>
      <c r="P14" s="486"/>
      <c r="Q14" s="477">
        <f t="shared" si="0"/>
        <v>639.98034000000007</v>
      </c>
    </row>
    <row r="15" spans="1:17" s="489" customFormat="1">
      <c r="A15" s="487" t="s">
        <v>549</v>
      </c>
      <c r="B15" s="488">
        <f ca="1">SUM(B4:B14)</f>
        <v>25152.828393771753</v>
      </c>
      <c r="C15" s="488">
        <f t="shared" ref="C15:Q15" ca="1" si="1">SUM(C4:C14)</f>
        <v>0</v>
      </c>
      <c r="D15" s="488">
        <f t="shared" ca="1" si="1"/>
        <v>23128.514786764186</v>
      </c>
      <c r="E15" s="488">
        <f t="shared" si="1"/>
        <v>7396.7738036986693</v>
      </c>
      <c r="F15" s="488">
        <f t="shared" ca="1" si="1"/>
        <v>24390.298537675015</v>
      </c>
      <c r="G15" s="488">
        <f t="shared" si="1"/>
        <v>42218.103961510555</v>
      </c>
      <c r="H15" s="488">
        <f t="shared" si="1"/>
        <v>10671.93307931333</v>
      </c>
      <c r="I15" s="488">
        <f t="shared" si="1"/>
        <v>0</v>
      </c>
      <c r="J15" s="488">
        <f t="shared" si="1"/>
        <v>4638.0150241360143</v>
      </c>
      <c r="K15" s="488">
        <f t="shared" si="1"/>
        <v>0</v>
      </c>
      <c r="L15" s="488">
        <f t="shared" ca="1" si="1"/>
        <v>0</v>
      </c>
      <c r="M15" s="488">
        <f t="shared" si="1"/>
        <v>3134.3339422891163</v>
      </c>
      <c r="N15" s="488">
        <f t="shared" ca="1" si="1"/>
        <v>9445.7624957072476</v>
      </c>
      <c r="O15" s="488">
        <f t="shared" si="1"/>
        <v>330.94521394187581</v>
      </c>
      <c r="P15" s="488">
        <f t="shared" si="1"/>
        <v>726.8431922302666</v>
      </c>
      <c r="Q15" s="488">
        <f t="shared" ca="1" si="1"/>
        <v>151234.35243103802</v>
      </c>
    </row>
    <row r="17" spans="1:17">
      <c r="A17" s="490" t="s">
        <v>550</v>
      </c>
      <c r="B17" s="807">
        <f ca="1">huishoudens!B10</f>
        <v>0.19557542479025569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3002.7662684739739</v>
      </c>
      <c r="C22" s="478">
        <f t="shared" ref="C22:C32" ca="1" si="3">C4*$C$17</f>
        <v>0</v>
      </c>
      <c r="D22" s="478">
        <f t="shared" ref="D22:D32" si="4">D4*$D$17</f>
        <v>3470.20777167284</v>
      </c>
      <c r="E22" s="478">
        <f t="shared" ref="E22:E32" si="5">E4*$E$17</f>
        <v>1591.7659208866555</v>
      </c>
      <c r="F22" s="478">
        <f t="shared" ref="F22:F32" si="6">F4*$F$17</f>
        <v>5216.715056169669</v>
      </c>
      <c r="G22" s="478">
        <f t="shared" ref="G22:G32" si="7">G4*$G$17</f>
        <v>0</v>
      </c>
      <c r="H22" s="478">
        <f t="shared" ref="H22:H32" si="8">H4*$H$17</f>
        <v>0</v>
      </c>
      <c r="I22" s="478">
        <f t="shared" ref="I22:I32" si="9">I4*$I$17</f>
        <v>0</v>
      </c>
      <c r="J22" s="478">
        <f t="shared" ref="J22:J32" si="10">J4*$J$17</f>
        <v>1540.9942453554513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14822.449262558588</v>
      </c>
    </row>
    <row r="23" spans="1:17">
      <c r="A23" s="477" t="s">
        <v>155</v>
      </c>
      <c r="B23" s="478">
        <f t="shared" ca="1" si="2"/>
        <v>1291.0179925988386</v>
      </c>
      <c r="C23" s="478">
        <f t="shared" ca="1" si="3"/>
        <v>0</v>
      </c>
      <c r="D23" s="478">
        <f t="shared" ca="1" si="4"/>
        <v>987.03520871001194</v>
      </c>
      <c r="E23" s="478">
        <f t="shared" si="5"/>
        <v>17.8722793721778</v>
      </c>
      <c r="F23" s="478">
        <f t="shared" ca="1" si="6"/>
        <v>202.72506877157332</v>
      </c>
      <c r="G23" s="478">
        <f t="shared" si="7"/>
        <v>0</v>
      </c>
      <c r="H23" s="478">
        <f t="shared" si="8"/>
        <v>0</v>
      </c>
      <c r="I23" s="478">
        <f t="shared" si="9"/>
        <v>0</v>
      </c>
      <c r="J23" s="478">
        <f t="shared" si="10"/>
        <v>8.9063287218244056E-3</v>
      </c>
      <c r="K23" s="478">
        <f t="shared" si="11"/>
        <v>0</v>
      </c>
      <c r="L23" s="478">
        <f t="shared" ca="1" si="12"/>
        <v>0</v>
      </c>
      <c r="M23" s="478">
        <f t="shared" si="13"/>
        <v>0</v>
      </c>
      <c r="N23" s="478">
        <f t="shared" ca="1" si="14"/>
        <v>0</v>
      </c>
      <c r="O23" s="478">
        <f t="shared" si="15"/>
        <v>0</v>
      </c>
      <c r="P23" s="479">
        <f t="shared" si="16"/>
        <v>0</v>
      </c>
      <c r="Q23" s="477">
        <f t="shared" ref="Q23:Q31" ca="1" si="17">SUM(B23:P23)</f>
        <v>2498.6594557813232</v>
      </c>
    </row>
    <row r="24" spans="1:17">
      <c r="A24" s="477" t="s">
        <v>193</v>
      </c>
      <c r="B24" s="478">
        <f t="shared" ca="1" si="2"/>
        <v>92.518910451278359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92.518910451278359</v>
      </c>
    </row>
    <row r="25" spans="1:17">
      <c r="A25" s="477" t="s">
        <v>111</v>
      </c>
      <c r="B25" s="478">
        <f t="shared" ca="1" si="2"/>
        <v>197.3455009033149</v>
      </c>
      <c r="C25" s="478">
        <f t="shared" ca="1" si="3"/>
        <v>0</v>
      </c>
      <c r="D25" s="478">
        <f t="shared" si="4"/>
        <v>29.757562928324006</v>
      </c>
      <c r="E25" s="478">
        <f t="shared" si="5"/>
        <v>7.1487150239583492</v>
      </c>
      <c r="F25" s="478">
        <f t="shared" si="6"/>
        <v>952.14779786434258</v>
      </c>
      <c r="G25" s="478">
        <f t="shared" si="7"/>
        <v>0</v>
      </c>
      <c r="H25" s="478">
        <f t="shared" si="8"/>
        <v>0</v>
      </c>
      <c r="I25" s="478">
        <f t="shared" si="9"/>
        <v>0</v>
      </c>
      <c r="J25" s="478">
        <f t="shared" si="10"/>
        <v>98.412155638799305</v>
      </c>
      <c r="K25" s="478">
        <f t="shared" si="11"/>
        <v>0</v>
      </c>
      <c r="L25" s="478">
        <f t="shared" si="12"/>
        <v>0</v>
      </c>
      <c r="M25" s="478">
        <f t="shared" si="13"/>
        <v>0</v>
      </c>
      <c r="N25" s="478">
        <f t="shared" si="14"/>
        <v>0</v>
      </c>
      <c r="O25" s="478">
        <f t="shared" si="15"/>
        <v>0</v>
      </c>
      <c r="P25" s="479">
        <f t="shared" si="16"/>
        <v>0</v>
      </c>
      <c r="Q25" s="477">
        <f t="shared" ca="1" si="17"/>
        <v>1284.8117323587392</v>
      </c>
    </row>
    <row r="26" spans="1:17">
      <c r="A26" s="477" t="s">
        <v>629</v>
      </c>
      <c r="B26" s="478">
        <f t="shared" ca="1" si="2"/>
        <v>272.75766148736972</v>
      </c>
      <c r="C26" s="478">
        <f t="shared" ca="1" si="3"/>
        <v>0</v>
      </c>
      <c r="D26" s="478">
        <f t="shared" si="4"/>
        <v>84.519345366852008</v>
      </c>
      <c r="E26" s="478">
        <f t="shared" si="5"/>
        <v>37.255685007922409</v>
      </c>
      <c r="F26" s="478">
        <f t="shared" si="6"/>
        <v>140.62178675364459</v>
      </c>
      <c r="G26" s="478">
        <f t="shared" si="7"/>
        <v>0</v>
      </c>
      <c r="H26" s="478">
        <f t="shared" si="8"/>
        <v>0</v>
      </c>
      <c r="I26" s="478">
        <f t="shared" si="9"/>
        <v>0</v>
      </c>
      <c r="J26" s="478">
        <f t="shared" si="10"/>
        <v>2.4420112211765268</v>
      </c>
      <c r="K26" s="478">
        <f t="shared" si="11"/>
        <v>0</v>
      </c>
      <c r="L26" s="478">
        <f t="shared" si="12"/>
        <v>0</v>
      </c>
      <c r="M26" s="478">
        <f t="shared" si="13"/>
        <v>0</v>
      </c>
      <c r="N26" s="478">
        <f t="shared" si="14"/>
        <v>0</v>
      </c>
      <c r="O26" s="478">
        <f t="shared" si="15"/>
        <v>0</v>
      </c>
      <c r="P26" s="479">
        <f t="shared" si="16"/>
        <v>0</v>
      </c>
      <c r="Q26" s="477">
        <f t="shared" ca="1" si="17"/>
        <v>537.59648983696525</v>
      </c>
    </row>
    <row r="27" spans="1:17" s="483" customFormat="1">
      <c r="A27" s="481" t="s">
        <v>555</v>
      </c>
      <c r="B27" s="801">
        <f t="shared" ca="1" si="2"/>
        <v>6.9099688025628856</v>
      </c>
      <c r="C27" s="482">
        <f t="shared" ca="1" si="3"/>
        <v>0</v>
      </c>
      <c r="D27" s="482">
        <f t="shared" si="4"/>
        <v>28.961088884338377</v>
      </c>
      <c r="E27" s="482">
        <f t="shared" si="5"/>
        <v>25.02505314888397</v>
      </c>
      <c r="F27" s="482">
        <f t="shared" si="6"/>
        <v>0</v>
      </c>
      <c r="G27" s="482">
        <f t="shared" si="7"/>
        <v>11084.903603801607</v>
      </c>
      <c r="H27" s="482">
        <f t="shared" si="8"/>
        <v>2657.3113367490191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13803.111051386411</v>
      </c>
    </row>
    <row r="28" spans="1:17" ht="16.5" customHeight="1">
      <c r="A28" s="477" t="s">
        <v>545</v>
      </c>
      <c r="B28" s="478">
        <f t="shared" ca="1" si="2"/>
        <v>0</v>
      </c>
      <c r="C28" s="478">
        <f t="shared" ca="1" si="3"/>
        <v>0</v>
      </c>
      <c r="D28" s="478">
        <f t="shared" si="4"/>
        <v>0</v>
      </c>
      <c r="E28" s="478">
        <f t="shared" si="5"/>
        <v>0</v>
      </c>
      <c r="F28" s="478">
        <f t="shared" si="6"/>
        <v>0</v>
      </c>
      <c r="G28" s="478">
        <f t="shared" si="7"/>
        <v>187.33015392171208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187.33015392171208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55.958795070976798</v>
      </c>
      <c r="C32" s="478">
        <f t="shared" ca="1" si="3"/>
        <v>0</v>
      </c>
      <c r="D32" s="478">
        <f t="shared" si="4"/>
        <v>71.479009364000007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127.43780443497681</v>
      </c>
    </row>
    <row r="33" spans="1:17" s="489" customFormat="1">
      <c r="A33" s="487" t="s">
        <v>549</v>
      </c>
      <c r="B33" s="488">
        <f ca="1">SUM(B22:B32)</f>
        <v>4919.2750977883152</v>
      </c>
      <c r="C33" s="488">
        <f t="shared" ref="C33:Q33" ca="1" si="19">SUM(C22:C32)</f>
        <v>0</v>
      </c>
      <c r="D33" s="488">
        <f t="shared" ca="1" si="19"/>
        <v>4671.9599869263657</v>
      </c>
      <c r="E33" s="488">
        <f t="shared" si="19"/>
        <v>1679.0676534395982</v>
      </c>
      <c r="F33" s="488">
        <f t="shared" ca="1" si="19"/>
        <v>6512.2097095592289</v>
      </c>
      <c r="G33" s="488">
        <f t="shared" si="19"/>
        <v>11272.233757723319</v>
      </c>
      <c r="H33" s="488">
        <f t="shared" si="19"/>
        <v>2657.3113367490191</v>
      </c>
      <c r="I33" s="488">
        <f t="shared" si="19"/>
        <v>0</v>
      </c>
      <c r="J33" s="488">
        <f t="shared" si="19"/>
        <v>1641.8573185441489</v>
      </c>
      <c r="K33" s="488">
        <f t="shared" si="19"/>
        <v>0</v>
      </c>
      <c r="L33" s="488">
        <f t="shared" ca="1" si="19"/>
        <v>0</v>
      </c>
      <c r="M33" s="488">
        <f t="shared" si="19"/>
        <v>0</v>
      </c>
      <c r="N33" s="488">
        <f t="shared" ca="1" si="19"/>
        <v>0</v>
      </c>
      <c r="O33" s="488">
        <f t="shared" si="19"/>
        <v>0</v>
      </c>
      <c r="P33" s="488">
        <f t="shared" si="19"/>
        <v>0</v>
      </c>
      <c r="Q33" s="488">
        <f t="shared" ca="1" si="19"/>
        <v>33353.914860730001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11.942931413210443</v>
      </c>
      <c r="C5" s="1062"/>
      <c r="D5" s="1062"/>
      <c r="E5" s="1062"/>
      <c r="F5" s="1062"/>
      <c r="G5" s="1062"/>
      <c r="H5" s="1062"/>
      <c r="I5" s="1062"/>
      <c r="J5" s="1062"/>
      <c r="K5" s="1062"/>
      <c r="L5" s="1062"/>
      <c r="M5" s="1062"/>
      <c r="N5" s="1062"/>
      <c r="O5" s="1062"/>
      <c r="P5" s="1063">
        <f>'SEAP template'!Q73</f>
        <v>0</v>
      </c>
    </row>
    <row r="6" spans="1:16">
      <c r="A6" s="1067" t="s">
        <v>250</v>
      </c>
      <c r="B6" s="1062">
        <f>'SEAP template'!B74</f>
        <v>2611.7221239498767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270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771.42857142857144</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2893.665055363087</v>
      </c>
      <c r="C10" s="1064">
        <f>SUM(C4:C9)</f>
        <v>0</v>
      </c>
      <c r="D10" s="1064">
        <f t="shared" ref="D10:H10" si="0">SUM(D8:D9)</f>
        <v>0</v>
      </c>
      <c r="E10" s="1064">
        <f t="shared" si="0"/>
        <v>0</v>
      </c>
      <c r="F10" s="1064">
        <f t="shared" si="0"/>
        <v>0</v>
      </c>
      <c r="G10" s="1064">
        <f t="shared" si="0"/>
        <v>0</v>
      </c>
      <c r="H10" s="1064">
        <f t="shared" si="0"/>
        <v>0</v>
      </c>
      <c r="I10" s="1064">
        <f>SUM(I8:I9)</f>
        <v>0</v>
      </c>
      <c r="J10" s="1064">
        <f>SUM(J8:J9)</f>
        <v>771.42857142857144</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0.19557542479025569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0.19557542479025569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2019-08-12T08:41:11Z</dcterms:modified>
</cp:coreProperties>
</file>