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<sst xmlns="http://schemas.openxmlformats.org/spreadsheetml/2006/main" count="2384" uniqueCount="886">
  <si>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</si>
  <si>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</si>
  <si>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</si>
  <si>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</si>
  <si>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</si>
  <si>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</si>
  <si>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</si>
  <si>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</si>
  <si>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</si>
  <si>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</si>
  <si>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</si>
  <si>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</si>
  <si>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</si>
  <si>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</si>
  <si>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</si>
  <si>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</si>
  <si>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</si>
  <si>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</si>
  <si>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</si>
  <si>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</si>
  <si>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</si>
  <si>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</si>
  <si>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</si>
  <si>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</si>
  <si>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</si>
  <si>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</si>
  <si>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</si>
  <si>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</si>
  <si>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</si>
  <si>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</si>
  <si>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</si>
  <si>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</si>
  <si>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</si>
  <si>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</si>
  <si>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</si>
  <si>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</si>
  <si>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</si>
  <si>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</si>
  <si>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</si>
  <si>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</si>
  <si>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</si>
  <si>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</si>
  <si>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</si>
  <si>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</si>
  <si>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</si>
  <si>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</si>
  <si>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</si>
  <si>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</si>
  <si>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</si>
  <si>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</si>
  <si>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</si>
  <si>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</si>
  <si>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</si>
  <si>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</si>
  <si>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</si>
  <si>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</si>
  <si>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</si>
  <si>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</si>
  <si>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</si>
  <si>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</si>
  <si>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</si>
  <si>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</si>
  <si>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</si>
  <si>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</si>
  <si>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</si>
  <si>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</si>
  <si>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</si>
  <si>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</si>
  <si>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</si>
  <si>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</si>
  <si>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</si>
  <si>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</si>
  <si>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</si>
  <si>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</si>
  <si>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</si>
  <si>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</si>
  <si>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</si>
  <si>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</si>
  <si>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</si>
  <si>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</si>
  <si>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</si>
  <si>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</si>
  <si>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</si>
  <si>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</si>
  <si>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</si>
  <si>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</si>
  <si>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</si>
  <si>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</si>
  <si>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</si>
  <si>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</si>
  <si>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</si>
  <si>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</si>
  <si>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</si>
  <si>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</si>
  <si>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</si>
  <si>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</si>
  <si>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</si>
  <si>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</si>
  <si>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</si>
  <si>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</si>
  <si>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</si>
  <si>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</si>
  <si>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</si>
  <si>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</si>
  <si>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</si>
  <si>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</si>
  <si>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</si>
  <si>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</si>
  <si>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</si>
  <si>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</si>
  <si>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</si>
  <si>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</si>
  <si>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</si>
  <si>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</si>
  <si>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</si>
  <si>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</si>
  <si>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</si>
  <si>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</si>
  <si>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</si>
  <si>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</si>
  <si>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</si>
  <si>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</si>
  <si>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</si>
  <si>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</si>
  <si>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</si>
  <si>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</si>
  <si>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</si>
  <si>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</si>
  <si>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</si>
  <si>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</si>
  <si>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</si>
  <si>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</si>
  <si>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</si>
  <si>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</si>
  <si>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</si>
  <si>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</si>
  <si>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</si>
  <si>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</si>
  <si>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</si>
  <si>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</si>
  <si>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</si>
  <si>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</si>
  <si>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</si>
  <si>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</si>
  <si>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</si>
  <si>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</si>
  <si>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</si>
  <si>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</si>
  <si>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</si>
  <si>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</si>
  <si>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</si>
  <si>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</si>
  <si>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</si>
  <si>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</si>
  <si>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</si>
  <si>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</si>
  <si>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</si>
  <si>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</si>
  <si>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</si>
  <si>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</si>
  <si>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</si>
  <si>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</si>
  <si>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</si>
  <si>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</si>
  <si>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</si>
  <si>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</si>
  <si>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</si>
  <si>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</si>
  <si>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</si>
  <si>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</si>
  <si>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</si>
  <si>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</si>
  <si>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</si>
  <si>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</si>
  <si>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</si>
  <si>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</si>
  <si>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</si>
  <si>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</si>
  <si>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</si>
  <si>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</si>
  <si>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</si>
  <si>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</si>
  <si>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</si>
  <si>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</si>
  <si>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</si>
  <si>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</si>
  <si>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</si>
  <si>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</si>
  <si>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</si>
  <si>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</si>
  <si>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</si>
  <si>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</si>
  <si>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</si>
  <si>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</si>
  <si>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</si>
  <si>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</si>
  <si>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</si>
  <si>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</si>
  <si>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</si>
  <si>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</si>
  <si>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</si>
  <si>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</si>
  <si>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</si>
  <si>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</si>
  <si>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</si>
  <si>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</si>
  <si>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</si>
  <si>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</si>
  <si>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</si>
  <si>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</si>
  <si>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</si>
  <si>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</si>
  <si>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</si>
  <si>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</si>
  <si>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</si>
  <si>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</si>
  <si>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</si>
  <si>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</si>
  <si>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</si>
  <si>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</si>
  <si>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</si>
  <si>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</si>
  <si>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</si>
  <si>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</si>
  <si>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</si>
  <si>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</si>
  <si>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</si>
  <si>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</si>
  <si>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</si>
  <si>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</si>
  <si>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</si>
  <si>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</si>
  <si>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</si>
  <si>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</si>
  <si>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</si>
  <si>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</si>
  <si>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</si>
  <si>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</si>
  <si>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</si>
  <si>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</si>
  <si>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</si>
  <si>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</si>
  <si>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</si>
  <si>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</si>
  <si>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</si>
  <si>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</si>
  <si>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</si>
  <si>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</si>
  <si>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</si>
  <si>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</si>
  <si>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</si>
  <si>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</si>
  <si>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</si>
  <si>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</si>
  <si>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</si>
  <si>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</si>
  <si>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</si>
  <si>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</si>
  <si>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</si>
  <si>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</si>
  <si>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</si>
  <si>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</si>
  <si>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</si>
  <si>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</si>
  <si>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</si>
  <si>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</si>
  <si>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</si>
  <si>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</si>
  <si>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</si>
  <si>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</si>
  <si>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</si>
  <si>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</si>
  <si>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</si>
  <si>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</si>
  <si>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</si>
  <si>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</si>
  <si>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</si>
  <si>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</si>
  <si>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</si>
  <si>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</si>
  <si>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</si>
  <si>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</si>
  <si>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</si>
  <si>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</si>
  <si>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</si>
  <si>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</si>
  <si>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</si>
  <si>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</si>
  <si>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</si>
  <si>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</si>
  <si>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</si>
  <si>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</si>
  <si>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</si>
  <si>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</si>
  <si>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</si>
  <si>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</si>
  <si>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</si>
  <si>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</si>
  <si>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</si>
  <si>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</si>
  <si>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</si>
  <si>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</si>
  <si>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</si>
  <si>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</si>
  <si>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</si>
  <si>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</si>
  <si>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</si>
  <si>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</si>
  <si>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</si>
  <si>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</si>
  <si>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</si>
  <si>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</si>
  <si>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</si>
  <si>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</si>
  <si>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</si>
  <si>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</si>
  <si>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</si>
  <si>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</si>
  <si>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</si>
  <si>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</si>
  <si>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</si>
  <si>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</si>
  <si>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</si>
  <si>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</si>
  <si>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</si>
  <si>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</si>
  <si>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</si>
  <si>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</si>
  <si>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</si>
  <si>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</si>
  <si>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</si>
  <si>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</si>
  <si>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</si>
  <si>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</si>
  <si>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</si>
  <si>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</si>
  <si>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</si>
  <si>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</si>
  <si>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</si>
  <si>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</si>
  <si>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</si>
  <si>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</si>
  <si>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</si>
  <si>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</si>
  <si>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</si>
  <si>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</si>
  <si>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</si>
  <si>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</si>
  <si>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</si>
  <si>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</si>
  <si>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</si>
  <si>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</si>
  <si>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</si>
  <si>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</si>
  <si>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</si>
  <si>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</si>
  <si>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</si>
  <si>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</si>
  <si>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</si>
  <si>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</si>
  <si>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</si>
  <si>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</si>
  <si>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</si>
  <si>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</si>
  <si>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</si>
  <si>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</si>
  <si>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</si>
  <si>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</si>
  <si>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</si>
  <si>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</si>
  <si>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</si>
  <si>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</si>
  <si>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</si>
  <si>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</si>
  <si>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</si>
  <si>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</si>
  <si>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</si>
  <si>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</si>
  <si>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</si>
  <si>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</si>
  <si>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</si>
  <si>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</si>
  <si>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</si>
  <si>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</si>
  <si>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</si>
  <si>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</si>
  <si>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</si>
  <si>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</si>
  <si>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</si>
  <si>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</si>
  <si>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</si>
  <si>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</si>
  <si>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</si>
  <si>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</si>
  <si>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</si>
  <si>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</si>
  <si>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</si>
  <si>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</si>
  <si>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</si>
  <si>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</si>
  <si>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</si>
  <si>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</si>
  <si>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</si>
  <si>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</si>
  <si>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</si>
  <si>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</si>
  <si>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</si>
  <si>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</si>
  <si>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</si>
  <si>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</si>
  <si>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</si>
  <si>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</si>
  <si>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</si>
  <si>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</si>
  <si>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</si>
  <si>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</si>
  <si>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</si>
  <si>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</si>
  <si>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</si>
  <si>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</si>
  <si>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</si>
  <si>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</si>
  <si>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</si>
  <si>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</si>
  <si>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</si>
  <si>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</si>
  <si>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</si>
  <si>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</si>
  <si>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</si>
  <si>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</si>
  <si>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</si>
  <si>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</si>
  <si>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</si>
  <si>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</si>
  <si>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</si>
  <si>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</si>
  <si>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</si>
  <si>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</si>
  <si>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</si>
  <si>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</si>
  <si>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</si>
  <si>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</si>
  <si>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</si>
  <si>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</si>
  <si>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</si>
  <si>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</si>
  <si>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</si>
  <si>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</si>
  <si>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</si>
  <si>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</si>
  <si>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</si>
  <si>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</si>
  <si>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</si>
  <si>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</si>
  <si>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</si>
  <si>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</si>
  <si>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</si>
  <si>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</si>
  <si>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</si>
  <si>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</si>
  <si>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</si>
  <si>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</si>
  <si>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</si>
  <si>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</si>
  <si>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</si>
  <si>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</si>
  <si>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</si>
  <si>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</si>
  <si>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</si>
  <si>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</si>
  <si>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</si>
  <si>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</si>
  <si>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</si>
  <si>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</si>
  <si>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</si>
  <si>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</si>
  <si>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</si>
  <si>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</si>
  <si>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</si>
  <si>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</si>
  <si>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</si>
  <si>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</si>
  <si>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</si>
  <si>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</si>
  <si>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</si>
  <si>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</si>
  <si>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</si>
  <si>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</si>
  <si>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</si>
  <si>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</si>
  <si>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</si>
  <si>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</si>
  <si>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</si>
  <si>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</si>
  <si>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</si>
  <si>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</si>
  <si>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</si>
  <si>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</si>
  <si>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</si>
  <si>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</si>
  <si>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</si>
  <si>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</si>
  <si>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</si>
  <si>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</si>
  <si>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</si>
  <si>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</si>
  <si>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</si>
  <si>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</si>
  <si>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</si>
  <si>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</si>
  <si>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</si>
  <si>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</si>
  <si>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</si>
  <si>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</si>
  <si>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</si>
  <si>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</si>
  <si>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</si>
  <si>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</si>
  <si>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</si>
  <si>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</si>
  <si>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</si>
  <si>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</si>
  <si>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</si>
  <si>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</si>
  <si>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</si>
  <si>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</si>
  <si>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</si>
  <si>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</si>
  <si>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</si>
  <si>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</si>
  <si>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</si>
  <si>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</si>
  <si>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</si>
  <si>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</si>
  <si>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</si>
  <si>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</si>
  <si>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</si>
  <si>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</si>
  <si>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</si>
  <si>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</si>
  <si>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</si>
  <si>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</si>
  <si>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</si>
  <si>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</si>
  <si>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</si>
  <si>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</si>
  <si>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</si>
  <si>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</si>
  <si>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</si>
  <si>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</si>
  <si>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</si>
  <si>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</si>
  <si>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</si>
  <si>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</si>
  <si>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</si>
  <si>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</si>
  <si>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</si>
  <si>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</si>
  <si>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</si>
  <si>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</si>
  <si>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</si>
  <si>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</si>
  <si>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</si>
  <si>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</si>
  <si>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</si>
  <si>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</si>
  <si>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</si>
  <si>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</si>
  <si>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</si>
  <si>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</si>
  <si>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</si>
  <si>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</si>
  <si>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</si>
  <si>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</si>
  <si>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</si>
  <si>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</si>
  <si>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</si>
  <si>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</si>
  <si>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</si>
  <si>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</si>
  <si>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</si>
  <si>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</si>
  <si>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</si>
  <si>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</si>
  <si>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</si>
  <si>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</si>
  <si>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</si>
  <si>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</si>
  <si>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</si>
  <si>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</si>
  <si>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</si>
  <si>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</si>
  <si>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</si>
  <si>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</si>
  <si>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</si>
  <si>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</si>
  <si>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</si>
  <si>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</si>
  <si>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</si>
  <si>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</si>
  <si>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</si>
  <si>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</si>
  <si>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</si>
  <si>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</si>
  <si>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</si>
  <si>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</si>
  <si>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</si>
  <si>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</si>
  <si>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</si>
  <si>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</si>
  <si>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</si>
  <si>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</si>
  <si>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</si>
  <si>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</si>
  <si>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</si>
  <si>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</si>
  <si>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</si>
  <si>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</si>
  <si>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</si>
  <si>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</si>
  <si>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</si>
  <si>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</si>
  <si>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</si>
  <si>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</si>
  <si>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</si>
  <si>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</si>
  <si>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</si>
  <si>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</si>
  <si>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</si>
  <si>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</si>
  <si>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</si>
  <si>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</si>
  <si>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</si>
  <si>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</si>
  <si>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</si>
  <si>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</si>
  <si>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</si>
  <si>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</si>
  <si>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</si>
  <si>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</si>
  <si>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</si>
  <si>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</si>
  <si>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</si>
  <si>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</si>
  <si>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</si>
  <si>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</si>
  <si>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</si>
  <si>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</si>
  <si>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</si>
  <si>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</si>
  <si>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</si>
  <si>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</si>
  <si>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</si>
  <si>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</si>
  <si>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</si>
  <si>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</si>
  <si>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</si>
  <si>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</si>
  <si>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</si>
  <si>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</si>
  <si>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</si>
  <si>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</si>
  <si>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</si>
  <si>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</si>
  <si>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</si>
  <si>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</si>
  <si>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</si>
  <si>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</si>
  <si>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</si>
  <si>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</si>
  <si>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</si>
  <si>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</si>
  <si>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</si>
  <si>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</si>
  <si>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</si>
  <si>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</si>
  <si>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</si>
  <si>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</si>
  <si>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</si>
  <si>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</si>
  <si>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</si>
  <si>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</si>
  <si>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</si>
  <si>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</si>
  <si>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</si>
  <si>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</si>
  <si>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</si>
  <si>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</si>
  <si>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</si>
  <si>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</si>
  <si>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</si>
  <si>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</si>
  <si>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</si>
  <si>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</si>
  <si>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</si>
  <si>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</si>
  <si>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</si>
  <si>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</si>
  <si>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</si>
  <si>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</si>
  <si>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</si>
  <si>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</si>
  <si>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</si>
  <si>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</si>
  <si>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</si>
  <si>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</si>
  <si>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</si>
  <si>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</si>
  <si>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</si>
  <si>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</si>
  <si>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</si>
  <si>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</si>
  <si>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</si>
  <si>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</si>
  <si>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</si>
  <si>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</si>
  <si>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</si>
  <si>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</si>
  <si>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</si>
  <si>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</si>
  <si>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</si>
  <si>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</si>
  <si>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</si>
  <si>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</si>
  <si>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</si>
  <si>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</si>
  <si>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</si>
  <si>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</si>
  <si>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</si>
  <si>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</si>
  <si>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</si>
  <si>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</si>
  <si>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</si>
  <si>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</si>
  <si>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</si>
  <si>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</si>
  <si>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</si>
  <si>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</si>
  <si>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</si>
  <si>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</si>
  <si>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</si>
  <si>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</si>
  <si>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</si>
  <si>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</si>
  <si>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</si>
  <si>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</si>
  <si>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</si>
  <si>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</si>
  <si>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</si>
  <si>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</si>
  <si>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</si>
  <si>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</si>
  <si>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</si>
  <si>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</si>
  <si>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</si>
  <si>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</si>
  <si>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</si>
  <si>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</si>
  <si>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</si>
  <si>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</si>
  <si>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</si>
  <si>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</si>
  <si>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</si>
  <si>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</si>
  <si>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</si>
  <si>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</si>
  <si>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</si>
  <si>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</si>
  <si>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</si>
  <si>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</si>
  <si>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</si>
  <si>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</si>
  <si>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</si>
  <si>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</si>
  <si>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</si>
  <si>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</si>
  <si>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</si>
  <si>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</si>
  <si>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</si>
  <si>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</si>
  <si>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</si>
  <si>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</si>
  <si>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</si>
  <si>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</si>
  <si>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</si>
  <si>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</si>
  <si>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</si>
  <si>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</si>
  <si>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</si>
  <si>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</si>
  <si>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</si>
  <si>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</si>
  <si>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</si>
  <si>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</si>
  <si>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</si>
  <si>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</si>
  <si>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</si>
  <si>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</si>
  <si>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</si>
  <si>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</si>
  <si>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</si>
  <si>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</si>
  <si>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</si>
  <si>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</si>
  <si>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</si>
  <si>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</si>
  <si>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</si>
  <si>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</si>
  <si>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</si>
  <si>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</si>
  <si>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</si>
  <si>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</si>
  <si>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</si>
  <si>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</si>
  <si>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</si>
  <si>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</si>
  <si>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</si>
  <si>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</si>
  <si>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</si>
  <si>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</si>
  <si>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</si>
  <si>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</si>
  <si>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</si>
  <si>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</si>
  <si>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</si>
  <si>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</si>
  <si>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</si>
  <si>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</si>
  <si>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</si>
  <si>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</si>
  <si>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</si>
  <si>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</si>
  <si>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</si>
  <si>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</si>
  <si>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</si>
  <si>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</si>
  <si>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</si>
  <si>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</si>
  <si>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</si>
  <si>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</si>
  <si>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</si>
  <si>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</si>
  <si>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</si>
  <si>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</si>
  <si>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</si>
  <si>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</si>
  <si>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</si>
  <si>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</si>
  <si>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</si>
  <si>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</si>
  <si>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</si>
  <si>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</si>
  <si>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</si>
  <si>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</si>
  <si>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</si>
  <si>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</si>
  <si>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</si>
  <si>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</si>
  <si>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</si>
  <si>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</si>
  <si>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</si>
  <si>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</si>
  <si>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</si>
  <si>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</si>
  <si>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</si>
  <si>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</si>
  <si>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</si>
  <si>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</si>
  <si>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</si>
  <si>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</si>
  <si>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</si>
  <si>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</si>
  <si>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</si>
  <si>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</si>
  <si>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</si>
  <si>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</si>
  <si>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</si>
  <si>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</si>
  <si>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45063</t>
  </si>
  <si>
    <t>LIERDE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</si>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</sst>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60633.943047256573</c:v>
                </c:pt>
                <c:pt idx="1">
                  <c:v>5549.4063497573206</c:v>
                </c:pt>
                <c:pt idx="2">
                  <c:v>449.58499999999998</c:v>
                </c:pt>
                <c:pt idx="3">
                  <c:v>3491.3299142370138</c:v>
                </c:pt>
                <c:pt idx="4">
                  <c:v>2227.6965693691855</c:v>
                </c:pt>
                <c:pt idx="5">
                  <c:v>26116.468209715349</c:v>
                </c:pt>
                <c:pt idx="6">
                  <c:v>442.21508110928755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60633.943047256573</c:v>
                </c:pt>
                <c:pt idx="1">
                  <c:v>5549.4063497573206</c:v>
                </c:pt>
                <c:pt idx="2">
                  <c:v>449.58499999999998</c:v>
                </c:pt>
                <c:pt idx="3">
                  <c:v>3491.3299142370138</c:v>
                </c:pt>
                <c:pt idx="4">
                  <c:v>2227.6965693691855</c:v>
                </c:pt>
                <c:pt idx="5">
                  <c:v>26116.468209715349</c:v>
                </c:pt>
                <c:pt idx="6">
                  <c:v>442.21508110928755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13027.844871602658</c:v>
                </c:pt>
                <c:pt idx="1">
                  <c:v>1063.0985906869173</c:v>
                </c:pt>
                <c:pt idx="2">
                  <c:v>89.564480989022712</c:v>
                </c:pt>
                <c:pt idx="3">
                  <c:v>893.33792442104868</c:v>
                </c:pt>
                <c:pt idx="4">
                  <c:v>465.83471467815178</c:v>
                </c:pt>
                <c:pt idx="5">
                  <c:v>6488.4028641275836</c:v>
                </c:pt>
                <c:pt idx="6">
                  <c:v>111.85453900240145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13027.844871602658</c:v>
                </c:pt>
                <c:pt idx="1">
                  <c:v>1063.0985906869173</c:v>
                </c:pt>
                <c:pt idx="2">
                  <c:v>89.564480989022712</c:v>
                </c:pt>
                <c:pt idx="3">
                  <c:v>893.33792442104868</c:v>
                </c:pt>
                <c:pt idx="4">
                  <c:v>465.83471467815178</c:v>
                </c:pt>
                <c:pt idx="5">
                  <c:v>6488.4028641275836</c:v>
                </c:pt>
                <c:pt idx="6">
                  <c:v>111.85453900240145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45063</v>
      </c>
      <c r="B6" s="415"/>
      <c r="C6" s="416"/>
    </row>
    <row r="7" spans="1:7" s="413" customFormat="1" ht="15.75" customHeight="1">
      <c r="A7" s="417" t="str">
        <f>txtMunicipality</f>
        <v>LIERDE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0.19921590130681122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0.19921590130681122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2682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1863.4</v>
      </c>
    </row>
    <row r="15" spans="1:6">
      <c r="A15" s="348" t="s">
        <v>183</v>
      </c>
      <c r="B15" s="334">
        <v>17</v>
      </c>
    </row>
    <row r="16" spans="1:6">
      <c r="A16" s="348" t="s">
        <v>6</v>
      </c>
      <c r="B16" s="334">
        <v>776</v>
      </c>
    </row>
    <row r="17" spans="1:6">
      <c r="A17" s="348" t="s">
        <v>7</v>
      </c>
      <c r="B17" s="334">
        <v>605</v>
      </c>
    </row>
    <row r="18" spans="1:6">
      <c r="A18" s="348" t="s">
        <v>8</v>
      </c>
      <c r="B18" s="334">
        <v>922</v>
      </c>
    </row>
    <row r="19" spans="1:6">
      <c r="A19" s="348" t="s">
        <v>9</v>
      </c>
      <c r="B19" s="334">
        <v>845</v>
      </c>
    </row>
    <row r="20" spans="1:6">
      <c r="A20" s="348" t="s">
        <v>10</v>
      </c>
      <c r="B20" s="334">
        <v>653</v>
      </c>
    </row>
    <row r="21" spans="1:6">
      <c r="A21" s="348" t="s">
        <v>11</v>
      </c>
      <c r="B21" s="334">
        <v>0</v>
      </c>
    </row>
    <row r="22" spans="1:6">
      <c r="A22" s="348" t="s">
        <v>12</v>
      </c>
      <c r="B22" s="334">
        <v>522</v>
      </c>
    </row>
    <row r="23" spans="1:6">
      <c r="A23" s="348" t="s">
        <v>13</v>
      </c>
      <c r="B23" s="334">
        <v>0</v>
      </c>
    </row>
    <row r="24" spans="1:6">
      <c r="A24" s="348" t="s">
        <v>14</v>
      </c>
      <c r="B24" s="334">
        <v>0</v>
      </c>
    </row>
    <row r="25" spans="1:6">
      <c r="A25" s="348" t="s">
        <v>15</v>
      </c>
      <c r="B25" s="334">
        <v>0</v>
      </c>
    </row>
    <row r="26" spans="1:6">
      <c r="A26" s="348" t="s">
        <v>16</v>
      </c>
      <c r="B26" s="334">
        <v>32</v>
      </c>
    </row>
    <row r="27" spans="1:6">
      <c r="A27" s="348" t="s">
        <v>17</v>
      </c>
      <c r="B27" s="334">
        <v>0</v>
      </c>
    </row>
    <row r="28" spans="1:6" s="356" customFormat="1">
      <c r="A28" s="355" t="s">
        <v>18</v>
      </c>
      <c r="B28" s="355">
        <v>8088</v>
      </c>
    </row>
    <row r="29" spans="1:6">
      <c r="A29" s="355" t="s">
        <v>713</v>
      </c>
      <c r="B29" s="355">
        <v>53</v>
      </c>
      <c r="C29" s="356"/>
      <c r="D29" s="356"/>
      <c r="E29" s="356"/>
      <c r="F29" s="356"/>
    </row>
    <row r="30" spans="1:6">
      <c r="A30" s="341" t="s">
        <v>714</v>
      </c>
      <c r="B30" s="341">
        <v>11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988</v>
      </c>
      <c r="D39" s="334">
        <v>16546353.470000001</v>
      </c>
      <c r="E39" s="334">
        <v>2596</v>
      </c>
      <c r="F39" s="334">
        <v>10893122.609999999</v>
      </c>
    </row>
    <row r="40" spans="1:6">
      <c r="A40" s="348" t="s">
        <v>29</v>
      </c>
      <c r="B40" s="348" t="s">
        <v>28</v>
      </c>
      <c r="C40" s="334">
        <v>0</v>
      </c>
      <c r="D40" s="334">
        <v>0</v>
      </c>
      <c r="E40" s="334">
        <v>0</v>
      </c>
      <c r="F40" s="334">
        <v>0</v>
      </c>
    </row>
    <row r="41" spans="1:6">
      <c r="A41" s="348" t="s">
        <v>31</v>
      </c>
      <c r="B41" s="348" t="s">
        <v>32</v>
      </c>
      <c r="C41" s="334">
        <v>10</v>
      </c>
      <c r="D41" s="334">
        <v>246183.03400000001</v>
      </c>
      <c r="E41" s="334">
        <v>55</v>
      </c>
      <c r="F41" s="334">
        <v>375305.62900000002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14</v>
      </c>
      <c r="D48" s="334">
        <v>343112.42099999997</v>
      </c>
      <c r="E48" s="334">
        <v>32</v>
      </c>
      <c r="F48" s="334">
        <v>380638.685</v>
      </c>
    </row>
    <row r="49" spans="1:6">
      <c r="A49" s="348" t="s">
        <v>31</v>
      </c>
      <c r="B49" s="348" t="s">
        <v>39</v>
      </c>
      <c r="C49" s="334">
        <v>0</v>
      </c>
      <c r="D49" s="334">
        <v>0</v>
      </c>
      <c r="E49" s="334">
        <v>0</v>
      </c>
      <c r="F49" s="334">
        <v>0</v>
      </c>
    </row>
    <row r="50" spans="1:6">
      <c r="A50" s="348" t="s">
        <v>31</v>
      </c>
      <c r="B50" s="348" t="s">
        <v>40</v>
      </c>
      <c r="C50" s="334">
        <v>3</v>
      </c>
      <c r="D50" s="334">
        <v>245140.75599999999</v>
      </c>
      <c r="E50" s="334">
        <v>4</v>
      </c>
      <c r="F50" s="334">
        <v>155465.117</v>
      </c>
    </row>
    <row r="51" spans="1:6">
      <c r="A51" s="348" t="s">
        <v>41</v>
      </c>
      <c r="B51" s="348" t="s">
        <v>42</v>
      </c>
      <c r="C51" s="334">
        <v>3</v>
      </c>
      <c r="D51" s="334">
        <v>81300.88</v>
      </c>
      <c r="E51" s="334">
        <v>49</v>
      </c>
      <c r="F51" s="334">
        <v>582307.52899999998</v>
      </c>
    </row>
    <row r="52" spans="1:6">
      <c r="A52" s="348" t="s">
        <v>41</v>
      </c>
      <c r="B52" s="348" t="s">
        <v>28</v>
      </c>
      <c r="C52" s="334">
        <v>2</v>
      </c>
      <c r="D52" s="334">
        <v>45035.455000000002</v>
      </c>
      <c r="E52" s="334">
        <v>6</v>
      </c>
      <c r="F52" s="334">
        <v>115377.861</v>
      </c>
    </row>
    <row r="53" spans="1:6">
      <c r="A53" s="348" t="s">
        <v>43</v>
      </c>
      <c r="B53" s="348" t="s">
        <v>44</v>
      </c>
      <c r="C53" s="334">
        <v>30</v>
      </c>
      <c r="D53" s="334">
        <v>480192.402</v>
      </c>
      <c r="E53" s="334">
        <v>76</v>
      </c>
      <c r="F53" s="334">
        <v>227170.92800000001</v>
      </c>
    </row>
    <row r="54" spans="1:6">
      <c r="A54" s="348" t="s">
        <v>45</v>
      </c>
      <c r="B54" s="348" t="s">
        <v>46</v>
      </c>
      <c r="C54" s="334">
        <v>0</v>
      </c>
      <c r="D54" s="334">
        <v>0</v>
      </c>
      <c r="E54" s="334">
        <v>1</v>
      </c>
      <c r="F54" s="334">
        <v>449585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v>
      </c>
      <c r="D57" s="334">
        <v>130107.658</v>
      </c>
      <c r="E57" s="334">
        <v>23</v>
      </c>
      <c r="F57" s="334">
        <v>359223.03999999998</v>
      </c>
    </row>
    <row r="58" spans="1:6">
      <c r="A58" s="348" t="s">
        <v>48</v>
      </c>
      <c r="B58" s="348" t="s">
        <v>50</v>
      </c>
      <c r="C58" s="334">
        <v>0</v>
      </c>
      <c r="D58" s="334">
        <v>0</v>
      </c>
      <c r="E58" s="334">
        <v>3</v>
      </c>
      <c r="F58" s="334">
        <v>24759.777999999998</v>
      </c>
    </row>
    <row r="59" spans="1:6">
      <c r="A59" s="348" t="s">
        <v>48</v>
      </c>
      <c r="B59" s="348" t="s">
        <v>51</v>
      </c>
      <c r="C59" s="334">
        <v>0</v>
      </c>
      <c r="D59" s="334">
        <v>0</v>
      </c>
      <c r="E59" s="334">
        <v>9</v>
      </c>
      <c r="F59" s="334">
        <v>114965.44100000001</v>
      </c>
    </row>
    <row r="60" spans="1:6">
      <c r="A60" s="348" t="s">
        <v>48</v>
      </c>
      <c r="B60" s="348" t="s">
        <v>52</v>
      </c>
      <c r="C60" s="334">
        <v>11</v>
      </c>
      <c r="D60" s="334">
        <v>371371.72</v>
      </c>
      <c r="E60" s="334">
        <v>33</v>
      </c>
      <c r="F60" s="334">
        <v>429876.68300000002</v>
      </c>
    </row>
    <row r="61" spans="1:6">
      <c r="A61" s="348" t="s">
        <v>48</v>
      </c>
      <c r="B61" s="348" t="s">
        <v>53</v>
      </c>
      <c r="C61" s="334">
        <v>3</v>
      </c>
      <c r="D61" s="334">
        <v>34493.254999999997</v>
      </c>
      <c r="E61" s="334">
        <v>43</v>
      </c>
      <c r="F61" s="334">
        <v>256447.723</v>
      </c>
    </row>
    <row r="62" spans="1:6">
      <c r="A62" s="348" t="s">
        <v>48</v>
      </c>
      <c r="B62" s="348" t="s">
        <v>54</v>
      </c>
      <c r="C62" s="334">
        <v>0</v>
      </c>
      <c r="D62" s="334">
        <v>0</v>
      </c>
      <c r="E62" s="334">
        <v>0</v>
      </c>
      <c r="F62" s="334">
        <v>0</v>
      </c>
    </row>
    <row r="63" spans="1:6">
      <c r="A63" s="348" t="s">
        <v>48</v>
      </c>
      <c r="B63" s="348" t="s">
        <v>28</v>
      </c>
      <c r="C63" s="334">
        <v>43</v>
      </c>
      <c r="D63" s="334">
        <v>1703568.882</v>
      </c>
      <c r="E63" s="334">
        <v>120</v>
      </c>
      <c r="F63" s="334">
        <v>1615081.237</v>
      </c>
    </row>
    <row r="64" spans="1:6">
      <c r="A64" s="348" t="s">
        <v>55</v>
      </c>
      <c r="B64" s="348" t="s">
        <v>56</v>
      </c>
      <c r="C64" s="334">
        <v>0</v>
      </c>
      <c r="D64" s="334">
        <v>0</v>
      </c>
      <c r="E64" s="334">
        <v>0</v>
      </c>
      <c r="F64" s="334">
        <v>0</v>
      </c>
    </row>
    <row r="65" spans="1:6">
      <c r="A65" s="348" t="s">
        <v>55</v>
      </c>
      <c r="B65" s="348" t="s">
        <v>28</v>
      </c>
      <c r="C65" s="334">
        <v>0</v>
      </c>
      <c r="D65" s="334">
        <v>0</v>
      </c>
      <c r="E65" s="334">
        <v>3</v>
      </c>
      <c r="F65" s="334">
        <v>84546.077000000005</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19541946</v>
      </c>
      <c r="E73" s="476"/>
    </row>
    <row r="74" spans="1:6">
      <c r="A74" s="348" t="s">
        <v>63</v>
      </c>
      <c r="B74" s="348" t="s">
        <v>651</v>
      </c>
      <c r="C74" s="1307" t="s">
        <v>653</v>
      </c>
      <c r="D74" s="476">
        <v>2126999.5</v>
      </c>
      <c r="E74" s="476"/>
    </row>
    <row r="75" spans="1:6">
      <c r="A75" s="348" t="s">
        <v>64</v>
      </c>
      <c r="B75" s="348" t="s">
        <v>650</v>
      </c>
      <c r="C75" s="1307" t="s">
        <v>654</v>
      </c>
      <c r="D75" s="476">
        <v>8893696</v>
      </c>
      <c r="E75" s="476"/>
    </row>
    <row r="76" spans="1:6">
      <c r="A76" s="348" t="s">
        <v>64</v>
      </c>
      <c r="B76" s="348" t="s">
        <v>651</v>
      </c>
      <c r="C76" s="1307" t="s">
        <v>655</v>
      </c>
      <c r="D76" s="476">
        <v>178093.5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122853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1749.0151778848276</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255</v>
      </c>
    </row>
    <row r="98" spans="1:6">
      <c r="A98" s="348" t="s">
        <v>71</v>
      </c>
      <c r="B98" s="334">
        <v>0</v>
      </c>
    </row>
    <row r="99" spans="1:6">
      <c r="A99" s="348" t="s">
        <v>72</v>
      </c>
      <c r="B99" s="334">
        <v>47</v>
      </c>
    </row>
    <row r="100" spans="1:6">
      <c r="A100" s="348" t="s">
        <v>73</v>
      </c>
      <c r="B100" s="334">
        <v>223</v>
      </c>
    </row>
    <row r="101" spans="1:6">
      <c r="A101" s="348" t="s">
        <v>74</v>
      </c>
      <c r="B101" s="334">
        <v>43</v>
      </c>
    </row>
    <row r="102" spans="1:6">
      <c r="A102" s="348" t="s">
        <v>75</v>
      </c>
      <c r="B102" s="334">
        <v>39</v>
      </c>
    </row>
    <row r="103" spans="1:6">
      <c r="A103" s="348" t="s">
        <v>76</v>
      </c>
      <c r="B103" s="334">
        <v>203</v>
      </c>
    </row>
    <row r="104" spans="1:6">
      <c r="A104" s="348" t="s">
        <v>77</v>
      </c>
      <c r="B104" s="334">
        <v>1632</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14</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83</v>
      </c>
    </row>
    <row r="130" spans="1:6">
      <c r="A130" s="348" t="s">
        <v>294</v>
      </c>
      <c r="B130" s="334">
        <v>0</v>
      </c>
    </row>
    <row r="131" spans="1:6">
      <c r="A131" s="348" t="s">
        <v>295</v>
      </c>
      <c r="B131" s="334">
        <v>0</v>
      </c>
    </row>
    <row r="132" spans="1:6">
      <c r="A132" s="341" t="s">
        <v>296</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17743.784572248711</v>
      </c>
      <c r="C3" s="43" t="s">
        <v>169</v>
      </c>
      <c r="D3" s="43"/>
      <c r="E3" s="154"/>
      <c r="F3" s="43"/>
      <c r="G3" s="43"/>
      <c r="H3" s="43"/>
      <c r="I3" s="43"/>
      <c r="J3" s="43"/>
      <c r="K3" s="96"/>
    </row>
    <row r="4" spans="1:11">
      <c r="A4" s="383" t="s">
        <v>170</v>
      </c>
      <c r="B4" s="49">
        <f>IF(ISERROR('SEAP template'!B78+'SEAP template'!C78),0,'SEAP template'!B78+'SEAP template'!C78)</f>
        <v>1749.0151778848276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0.19921590130681122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449.58499999999998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449.58499999999998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0.19921590130681122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89.564480989022712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10893.122609999999</v>
      </c>
      <c r="C5" s="17">
        <f>IF(ISERROR('Eigen informatie GS &amp; warmtenet'!B59),0,'Eigen informatie GS &amp; warmtenet'!B59)</f>
        <v>0</v>
      </c>
      <c r="D5" s="30">
        <f>(SUM(HH_hh_gas_kWh,HH_rest_gas_kWh)/1000)*0.902</f>
        <v>14924.810829940003</v>
      </c>
      <c r="E5" s="17">
        <f>B46*B57</f>
        <v>3300.0209414465326</v>
      </c>
      <c r="F5" s="17">
        <f>B51*B62</f>
        <v>20216.078400644114</v>
      </c>
      <c r="G5" s="18"/>
      <c r="H5" s="17"/>
      <c r="I5" s="17"/>
      <c r="J5" s="17">
        <f>B50*B61+C50*C61</f>
        <v>3807.1201226442436</v>
      </c>
      <c r="K5" s="17"/>
      <c r="L5" s="17"/>
      <c r="M5" s="17"/>
      <c r="N5" s="17">
        <f>B48*B59+C48*C59</f>
        <v>5224.7782788780842</v>
      </c>
      <c r="O5" s="17">
        <f>B69*B70*B71</f>
        <v>192.44394728054206</v>
      </c>
      <c r="P5" s="17">
        <f>B77*B78*B79/1000-B77*B78*B79/1000/B80</f>
        <v>326.5527385382357</v>
      </c>
    </row>
    <row r="6" spans="1:16">
      <c r="A6" s="16" t="s">
        <v>615</v>
      </c>
      <c r="B6" s="809">
        <f>kWh_PV_kleiner_dan_10kW</f>
        <v>1749.0151778848276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12642.137787884825</v>
      </c>
      <c r="C8" s="21">
        <f>C5</f>
        <v>0</v>
      </c>
      <c r="D8" s="21">
        <f>D5</f>
        <v>14924.810829940003</v>
      </c>
      <c r="E8" s="21">
        <f>E5</f>
        <v>3300.0209414465326</v>
      </c>
      <c r="F8" s="21">
        <f>F5</f>
        <v>20216.078400644114</v>
      </c>
      <c r="G8" s="21"/>
      <c r="H8" s="21"/>
      <c r="I8" s="21"/>
      <c r="J8" s="21">
        <f>J5</f>
        <v>3807.1201226442436</v>
      </c>
      <c r="K8" s="21"/>
      <c r="L8" s="21">
        <f>L5</f>
        <v>0</v>
      </c>
      <c r="M8" s="21">
        <f>M5</f>
        <v>0</v>
      </c>
      <c r="N8" s="21">
        <f>N5</f>
        <v>5224.7782788780842</v>
      </c>
      <c r="O8" s="21">
        <f>O5</f>
        <v>192.44394728054206</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0.19921590130681122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2518.5148738583721</v>
      </c>
      <c r="C12" s="23">
        <f ca="1">C10*C8</f>
        <v>0</v>
      </c>
      <c r="D12" s="23">
        <f>D8*D10</f>
        <v>3014.8117876478809</v>
      </c>
      <c r="E12" s="23">
        <f>E10*E8</f>
        <v>749.10475370836286</v>
      </c>
      <c r="F12" s="23">
        <f>F10*F8</f>
        <v>5397.6929329719787</v>
      </c>
      <c r="G12" s="23"/>
      <c r="H12" s="23"/>
      <c r="I12" s="23"/>
      <c r="J12" s="23">
        <f>J10*J8</f>
        <v>1347.7205234160622</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15.015974440894569</v>
      </c>
      <c r="D20" s="229"/>
      <c r="E20" s="15"/>
    </row>
    <row r="21" spans="1:7">
      <c r="A21" s="171" t="s">
        <v>73</v>
      </c>
      <c r="B21" s="37">
        <f>aantalw2001_elektriciteit</f>
        <v>223</v>
      </c>
      <c r="C21" s="167">
        <f>IF(ISERROR(B21/SUM($B$20,$B$21,$B$22)*100),0,B21/SUM($B$20,$B$21,$B$22)*100)</f>
        <v>71.246006389776369</v>
      </c>
      <c r="D21" s="229"/>
      <c r="E21" s="15"/>
    </row>
    <row r="22" spans="1:7">
      <c r="A22" s="171" t="s">
        <v>74</v>
      </c>
      <c r="B22" s="37">
        <f>aantalw2001_hout</f>
        <v>43</v>
      </c>
      <c r="C22" s="167">
        <f>IF(ISERROR(B22/SUM($B$20,$B$21,$B$22)*100),0,B22/SUM($B$20,$B$21,$B$22)*100)</f>
        <v>13.738019169329075</v>
      </c>
      <c r="D22" s="229"/>
      <c r="E22" s="15"/>
    </row>
    <row r="23" spans="1:7">
      <c r="A23" s="171" t="s">
        <v>75</v>
      </c>
      <c r="B23" s="37">
        <f>aantalw2001_niet_gespec</f>
        <v>39</v>
      </c>
      <c r="C23" s="166" t="s">
        <v>110</v>
      </c>
      <c r="D23" s="228"/>
      <c r="E23" s="15"/>
    </row>
    <row r="24" spans="1:7">
      <c r="A24" s="171" t="s">
        <v>76</v>
      </c>
      <c r="B24" s="37">
        <f>aantalw2001_steenkool</f>
        <v>203</v>
      </c>
      <c r="C24" s="166" t="s">
        <v>110</v>
      </c>
      <c r="D24" s="229"/>
      <c r="E24" s="15"/>
    </row>
    <row r="25" spans="1:7">
      <c r="A25" s="171" t="s">
        <v>77</v>
      </c>
      <c r="B25" s="37">
        <f>aantalw2001_stookolie</f>
        <v>1632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2682</v>
      </c>
      <c r="C28" s="36"/>
      <c r="D28" s="228"/>
    </row>
    <row r="29" spans="1:7" s="15" customFormat="1">
      <c r="A29" s="230" t="s">
        <v>837</v>
      </c>
      <c r="B29" s="37">
        <f>SUM(HH_hh_gas_aantal,HH_rest_gas_aantal)</f>
        <v>988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988</v>
      </c>
      <c r="C32" s="167">
        <f>IF(ISERROR(B32/SUM($B$32,$B$34,$B$35,$B$36,$B$38,$B$39)*100),0,B32/SUM($B$32,$B$34,$B$35,$B$36,$B$38,$B$39)*100)</f>
        <v>37.268955111278764</v>
      </c>
      <c r="D32" s="233"/>
      <c r="G32" s="15"/>
    </row>
    <row r="33" spans="1:7">
      <c r="A33" s="171" t="s">
        <v>71</v>
      </c>
      <c r="B33" s="34" t="s">
        <v>110</v>
      </c>
      <c r="C33" s="167"/>
      <c r="D33" s="233"/>
      <c r="G33" s="15"/>
    </row>
    <row r="34" spans="1:7">
      <c r="A34" s="171" t="s">
        <v>72</v>
      </c>
      <c r="B34" s="33">
        <f>IF((($B$28-$B$32-$B$39-$B$77-$B$38)*C20/100)&lt;0,0,($B$28-$B$32-$B$39-$B$77-$B$38)*C20/100)</f>
        <v>84.239616613418534</v>
      </c>
      <c r="C34" s="167">
        <f>IF(ISERROR(B34/SUM($B$32,$B$34,$B$35,$B$36,$B$38,$B$39)*100),0,B34/SUM($B$32,$B$34,$B$35,$B$36,$B$38,$B$39)*100)</f>
        <v>3.1776543422639962</v>
      </c>
      <c r="D34" s="233"/>
      <c r="G34" s="15"/>
    </row>
    <row r="35" spans="1:7">
      <c r="A35" s="171" t="s">
        <v>73</v>
      </c>
      <c r="B35" s="33">
        <f>IF((($B$28-$B$32-$B$39-$B$77-$B$38)*C21/100)&lt;0,0,($B$28-$B$32-$B$39-$B$77-$B$38)*C21/100)</f>
        <v>399.69009584664542</v>
      </c>
      <c r="C35" s="167">
        <f>IF(ISERROR(B35/SUM($B$32,$B$34,$B$35,$B$36,$B$38,$B$39)*100),0,B35/SUM($B$32,$B$34,$B$35,$B$36,$B$38,$B$39)*100)</f>
        <v>15.076955709039813</v>
      </c>
      <c r="D35" s="233"/>
      <c r="G35" s="15"/>
    </row>
    <row r="36" spans="1:7">
      <c r="A36" s="171" t="s">
        <v>74</v>
      </c>
      <c r="B36" s="33">
        <f>IF((($B$28-$B$32-$B$39-$B$77-$B$38)*C22/100)&lt;0,0,($B$28-$B$32-$B$39-$B$77-$B$38)*C22/100)</f>
        <v>77.070287539936103</v>
      </c>
      <c r="C36" s="167">
        <f>IF(ISERROR(B36/SUM($B$32,$B$34,$B$35,$B$36,$B$38,$B$39)*100),0,B36/SUM($B$32,$B$34,$B$35,$B$36,$B$38,$B$39)*100)</f>
        <v>2.9072156748372731</v>
      </c>
      <c r="D36" s="233"/>
      <c r="G36" s="15"/>
    </row>
    <row r="37" spans="1:7">
      <c r="A37" s="171" t="s">
        <v>75</v>
      </c>
      <c r="B37" s="34" t="s">
        <v>110</v>
      </c>
      <c r="C37" s="167"/>
      <c r="D37" s="173"/>
      <c r="G37" s="15"/>
    </row>
    <row r="38" spans="1:7">
      <c r="A38" s="171" t="s">
        <v>76</v>
      </c>
      <c r="B38" s="33">
        <f>IF((B24-(B29-B18)*0.1)&lt;0,0,B24-(B29-B18)*0.1)</f>
        <v>129.69999999999999</v>
      </c>
      <c r="C38" s="167">
        <f>IF(ISERROR(B38/SUM($B$32,$B$34,$B$35,$B$36,$B$38,$B$39)*100),0,B38/SUM($B$32,$B$34,$B$35,$B$36,$B$38,$B$39)*100)</f>
        <v>4.8924933987174644</v>
      </c>
      <c r="D38" s="234"/>
      <c r="G38" s="15"/>
    </row>
    <row r="39" spans="1:7">
      <c r="A39" s="171" t="s">
        <v>77</v>
      </c>
      <c r="B39" s="33">
        <f>IF((B25-(B29-B18))&lt;0,0,B25-(B29-B18)*0.9)</f>
        <v>972.3</v>
      </c>
      <c r="C39" s="167">
        <f>IF(ISERROR(B39/SUM($B$32,$B$34,$B$35,$B$36,$B$38,$B$39)*100),0,B39/SUM($B$32,$B$34,$B$35,$B$36,$B$38,$B$39)*100)</f>
        <v>36.676725763862692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988</v>
      </c>
      <c r="C44" s="34" t="s">
        <v>110</v>
      </c>
      <c r="D44" s="174"/>
    </row>
    <row r="45" spans="1:7">
      <c r="A45" s="171" t="s">
        <v>71</v>
      </c>
      <c r="B45" s="33" t="str">
        <f t="shared" si="0"/>
        <v>-</v>
      </c>
      <c r="C45" s="34" t="s">
        <v>110</v>
      </c>
      <c r="D45" s="174"/>
    </row>
    <row r="46" spans="1:7">
      <c r="A46" s="171" t="s">
        <v>72</v>
      </c>
      <c r="B46" s="33">
        <f t="shared" si="0"/>
        <v>84.239616613418534</v>
      </c>
      <c r="C46" s="34" t="s">
        <v>110</v>
      </c>
      <c r="D46" s="174"/>
    </row>
    <row r="47" spans="1:7">
      <c r="A47" s="171" t="s">
        <v>73</v>
      </c>
      <c r="B47" s="33">
        <f t="shared" si="0"/>
        <v>399.69009584664542</v>
      </c>
      <c r="C47" s="34" t="s">
        <v>110</v>
      </c>
      <c r="D47" s="174"/>
    </row>
    <row r="48" spans="1:7">
      <c r="A48" s="171" t="s">
        <v>74</v>
      </c>
      <c r="B48" s="33">
        <f t="shared" si="0"/>
        <v>77.070287539936103</v>
      </c>
      <c r="C48" s="33">
        <f>B48*10</f>
        <v>770.70287539936101</v>
      </c>
      <c r="D48" s="234"/>
    </row>
    <row r="49" spans="1:6">
      <c r="A49" s="171" t="s">
        <v>75</v>
      </c>
      <c r="B49" s="33" t="str">
        <f t="shared" si="0"/>
        <v>-</v>
      </c>
      <c r="C49" s="34" t="s">
        <v>110</v>
      </c>
      <c r="D49" s="234"/>
    </row>
    <row r="50" spans="1:6">
      <c r="A50" s="171" t="s">
        <v>76</v>
      </c>
      <c r="B50" s="33">
        <f t="shared" si="0"/>
        <v>129.69999999999999</v>
      </c>
      <c r="C50" s="33">
        <f>B50*2</f>
        <v>259.39999999999998</v>
      </c>
      <c r="D50" s="234"/>
    </row>
    <row r="51" spans="1:6">
      <c r="A51" s="171" t="s">
        <v>77</v>
      </c>
      <c r="B51" s="33">
        <f t="shared" si="0"/>
        <v>972.3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2800.3539019999998</v>
      </c>
      <c r="C5" s="17">
        <f>IF(ISERROR('Eigen informatie GS &amp; warmtenet'!B60),0,'Eigen informatie GS &amp; warmtenet'!B60)</f>
        <v>0</v>
      </c>
      <c r="D5" s="30">
        <f>SUM(D6:D12)</f>
        <v>2020.0664465300001</v>
      </c>
      <c r="E5" s="17">
        <f>SUM(E6:E12)</f>
        <v>31.212941806405226</v>
      </c>
      <c r="F5" s="17">
        <f>SUM(F6:F12)</f>
        <v>337.38408114796221</v>
      </c>
      <c r="G5" s="18"/>
      <c r="H5" s="17"/>
      <c r="I5" s="17"/>
      <c r="J5" s="17">
        <f>SUM(J6:J12)</f>
        <v>9.193407688832313E-3</v>
      </c>
      <c r="K5" s="17"/>
      <c r="L5" s="17"/>
      <c r="M5" s="17"/>
      <c r="N5" s="17">
        <f>SUM(N6:N12)</f>
        <v>360.37978486526367</v>
      </c>
      <c r="O5" s="17">
        <f>B38*B39*B40</f>
        <v>0</v>
      </c>
      <c r="P5" s="17">
        <f>B46*B47*B48/1000-B46*B47*B48/1000/B49</f>
        <v>0</v>
      </c>
      <c r="R5" s="32"/>
    </row>
    <row r="6" spans="1:18">
      <c r="A6" s="32" t="s">
        <v>53</v>
      </c>
      <c r="B6" s="37">
        <f>B26</f>
        <v>256.447723</v>
      </c>
      <c r="C6" s="33"/>
      <c r="D6" s="37">
        <f>IF(ISERROR(TER_kantoor_gas_kWh/1000),0,TER_kantoor_gas_kWh/1000)*0.902</f>
        <v>31.112916009999999</v>
      </c>
      <c r="E6" s="33">
        <f>$C$26*'E Balans VL '!I12/100/3.6*1000000</f>
        <v>2.0635526033632323</v>
      </c>
      <c r="F6" s="33">
        <f>$C$26*('E Balans VL '!L12+'E Balans VL '!N12)/100/3.6*1000000</f>
        <v>31.353431880425916</v>
      </c>
      <c r="G6" s="34"/>
      <c r="H6" s="33"/>
      <c r="I6" s="33"/>
      <c r="J6" s="33">
        <f>$C$26*('E Balans VL '!D12+'E Balans VL '!E12)/100/3.6*1000000</f>
        <v>0</v>
      </c>
      <c r="K6" s="33"/>
      <c r="L6" s="33"/>
      <c r="M6" s="33"/>
      <c r="N6" s="33">
        <f>$C$26*'E Balans VL '!Y12/100/3.6*1000000</f>
        <v>0.13782802242900144</v>
      </c>
      <c r="O6" s="33"/>
      <c r="P6" s="33"/>
      <c r="R6" s="32"/>
    </row>
    <row r="7" spans="1:18">
      <c r="A7" s="32" t="s">
        <v>52</v>
      </c>
      <c r="B7" s="37">
        <f t="shared" ref="B7:B12" si="0">B27</f>
        <v>429.87668300000001</v>
      </c>
      <c r="C7" s="33"/>
      <c r="D7" s="37">
        <f>IF(ISERROR(TER_horeca_gas_kWh/1000),0,TER_horeca_gas_kWh/1000)*0.902</f>
        <v>334.97729143999999</v>
      </c>
      <c r="E7" s="33">
        <f>$C$27*'E Balans VL '!I9/100/3.6*1000000</f>
        <v>4.6158199828339761</v>
      </c>
      <c r="F7" s="33">
        <f>$C$27*('E Balans VL '!L9+'E Balans VL '!N9)/100/3.6*1000000</f>
        <v>51.703741017312701</v>
      </c>
      <c r="G7" s="34"/>
      <c r="H7" s="33"/>
      <c r="I7" s="33"/>
      <c r="J7" s="33">
        <f>$C$27*('E Balans VL '!D9+'E Balans VL '!E9)/100/3.6*1000000</f>
        <v>0</v>
      </c>
      <c r="K7" s="33"/>
      <c r="L7" s="33"/>
      <c r="M7" s="33"/>
      <c r="N7" s="33">
        <f>$C$27*'E Balans VL '!Y9/100/3.6*1000000</f>
        <v>6.4447227370545618E-2</v>
      </c>
      <c r="O7" s="33"/>
      <c r="P7" s="33"/>
      <c r="R7" s="32"/>
    </row>
    <row r="8" spans="1:18">
      <c r="A8" s="6" t="s">
        <v>51</v>
      </c>
      <c r="B8" s="37">
        <f t="shared" si="0"/>
        <v>114.96544100000001</v>
      </c>
      <c r="C8" s="33"/>
      <c r="D8" s="37">
        <f>IF(ISERROR(TER_handel_gas_kWh/1000),0,TER_handel_gas_kWh/1000)*0.902</f>
        <v>0</v>
      </c>
      <c r="E8" s="33">
        <f>$C$28*'E Balans VL '!I13/100/3.6*1000000</f>
        <v>3.0853204731567025</v>
      </c>
      <c r="F8" s="33">
        <f>$C$28*('E Balans VL '!L13+'E Balans VL '!N13)/100/3.6*1000000</f>
        <v>10.971246397655417</v>
      </c>
      <c r="G8" s="34"/>
      <c r="H8" s="33"/>
      <c r="I8" s="33"/>
      <c r="J8" s="33">
        <f>$C$28*('E Balans VL '!D13+'E Balans VL '!E13)/100/3.6*1000000</f>
        <v>0</v>
      </c>
      <c r="K8" s="33"/>
      <c r="L8" s="33"/>
      <c r="M8" s="33"/>
      <c r="N8" s="33">
        <f>$C$28*'E Balans VL '!Y13/100/3.6*1000000</f>
        <v>4.5573608013781138E-2</v>
      </c>
      <c r="O8" s="33"/>
      <c r="P8" s="33"/>
      <c r="R8" s="32"/>
    </row>
    <row r="9" spans="1:18">
      <c r="A9" s="32" t="s">
        <v>50</v>
      </c>
      <c r="B9" s="37">
        <f t="shared" si="0"/>
        <v>24.759777999999997</v>
      </c>
      <c r="C9" s="33"/>
      <c r="D9" s="37">
        <f>IF(ISERROR(TER_gezond_gas_kWh/1000),0,TER_gezond_gas_kWh/1000)*0.902</f>
        <v>0</v>
      </c>
      <c r="E9" s="33">
        <f>$C$29*'E Balans VL '!I10/100/3.6*1000000</f>
        <v>4.6407886105805256E-2</v>
      </c>
      <c r="F9" s="33">
        <f>$C$29*('E Balans VL '!L10+'E Balans VL '!N10)/100/3.6*1000000</f>
        <v>2.0354796671667064</v>
      </c>
      <c r="G9" s="34"/>
      <c r="H9" s="33"/>
      <c r="I9" s="33"/>
      <c r="J9" s="33">
        <f>$C$29*('E Balans VL '!D10+'E Balans VL '!E10)/100/3.6*1000000</f>
        <v>0</v>
      </c>
      <c r="K9" s="33"/>
      <c r="L9" s="33"/>
      <c r="M9" s="33"/>
      <c r="N9" s="33">
        <f>$C$29*'E Balans VL '!Y10/100/3.6*1000000</f>
        <v>0.19264954628878156</v>
      </c>
      <c r="O9" s="33"/>
      <c r="P9" s="33"/>
      <c r="R9" s="32"/>
    </row>
    <row r="10" spans="1:18">
      <c r="A10" s="32" t="s">
        <v>49</v>
      </c>
      <c r="B10" s="37">
        <f t="shared" si="0"/>
        <v>359.22303999999997</v>
      </c>
      <c r="C10" s="33"/>
      <c r="D10" s="37">
        <f>IF(ISERROR(TER_ander_gas_kWh/1000),0,TER_ander_gas_kWh/1000)*0.902</f>
        <v>117.35710751599999</v>
      </c>
      <c r="E10" s="33">
        <f>$C$30*'E Balans VL '!I14/100/3.6*1000000</f>
        <v>0.55374595611082245</v>
      </c>
      <c r="F10" s="33">
        <f>$C$30*('E Balans VL '!L14+'E Balans VL '!N14)/100/3.6*1000000</f>
        <v>55.769476128972386</v>
      </c>
      <c r="G10" s="34"/>
      <c r="H10" s="33"/>
      <c r="I10" s="33"/>
      <c r="J10" s="33">
        <f>$C$30*('E Balans VL '!D14+'E Balans VL '!E14)/100/3.6*1000000</f>
        <v>6.0981899495266539E-3</v>
      </c>
      <c r="K10" s="33"/>
      <c r="L10" s="33"/>
      <c r="M10" s="33"/>
      <c r="N10" s="33">
        <f>$C$30*'E Balans VL '!Y14/100/3.6*1000000</f>
        <v>237.65045025198896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1615.0812369999999</v>
      </c>
      <c r="C12" s="33"/>
      <c r="D12" s="37">
        <f>IF(ISERROR(TER_rest_gas_kWh/1000),0,TER_rest_gas_kWh/1000)*0.902</f>
        <v>1536.6191315640001</v>
      </c>
      <c r="E12" s="33">
        <f>$C$32*'E Balans VL '!I8/100/3.6*1000000</f>
        <v>20.848094904834689</v>
      </c>
      <c r="F12" s="33">
        <f>$C$32*('E Balans VL '!L8+'E Balans VL '!N8)/100/3.6*1000000</f>
        <v>185.55070605642905</v>
      </c>
      <c r="G12" s="34"/>
      <c r="H12" s="33"/>
      <c r="I12" s="33"/>
      <c r="J12" s="33">
        <f>$C$32*('E Balans VL '!D8+'E Balans VL '!E8)/100/3.6*1000000</f>
        <v>3.0952177393056587E-3</v>
      </c>
      <c r="K12" s="33"/>
      <c r="L12" s="33"/>
      <c r="M12" s="33"/>
      <c r="N12" s="33">
        <f>$C$32*'E Balans VL '!Y8/100/3.6*1000000</f>
        <v>122.28883620917264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2800.3539019999998</v>
      </c>
      <c r="C16" s="21">
        <f t="shared" ca="1" si="1"/>
        <v>0</v>
      </c>
      <c r="D16" s="21">
        <f t="shared" ca="1" si="1"/>
        <v>2020.0664465300001</v>
      </c>
      <c r="E16" s="21">
        <f t="shared" si="1"/>
        <v>31.212941806405226</v>
      </c>
      <c r="F16" s="21">
        <f t="shared" ca="1" si="1"/>
        <v>337.38408114796221</v>
      </c>
      <c r="G16" s="21">
        <f t="shared" si="1"/>
        <v>0</v>
      </c>
      <c r="H16" s="21">
        <f t="shared" si="1"/>
        <v>0</v>
      </c>
      <c r="I16" s="21">
        <f t="shared" si="1"/>
        <v>0</v>
      </c>
      <c r="J16" s="21">
        <f t="shared" si="1"/>
        <v>9.193407688832313E-3</v>
      </c>
      <c r="K16" s="21">
        <f t="shared" si="1"/>
        <v>0</v>
      </c>
      <c r="L16" s="21">
        <f t="shared" ca="1" si="1"/>
        <v>0</v>
      </c>
      <c r="M16" s="21">
        <f t="shared" si="1"/>
        <v>0</v>
      </c>
      <c r="N16" s="21">
        <f t="shared" ca="1" si="1"/>
        <v>360.37978486526367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0.19921590130681122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557.87502656497566</v>
      </c>
      <c r="C20" s="23">
        <f t="shared" ref="C20:P20" ca="1" si="2">C16*C18</f>
        <v>0</v>
      </c>
      <c r="D20" s="23">
        <f t="shared" ca="1" si="2"/>
        <v>408.05342219906004</v>
      </c>
      <c r="E20" s="23">
        <f t="shared" si="2"/>
        <v>7.0853377900539867</v>
      </c>
      <c r="F20" s="23">
        <f t="shared" ca="1" si="2"/>
        <v>90.081549666505907</v>
      </c>
      <c r="G20" s="23">
        <f t="shared" si="2"/>
        <v>0</v>
      </c>
      <c r="H20" s="23">
        <f t="shared" si="2"/>
        <v>0</v>
      </c>
      <c r="I20" s="23">
        <f t="shared" si="2"/>
        <v>0</v>
      </c>
      <c r="J20" s="23">
        <f t="shared" si="2"/>
        <v>3.2544663218466384E-3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256.447723</v>
      </c>
      <c r="C26" s="39">
        <f>IF(ISERROR(B26*3.6/1000000/'E Balans VL '!Z12*100),0,B26*3.6/1000000/'E Balans VL '!Z12*100)</f>
        <v>5.440303820721042E-3</v>
      </c>
      <c r="D26" s="237" t="s">
        <v>716</v>
      </c>
      <c r="F26" s="6"/>
    </row>
    <row r="27" spans="1:18">
      <c r="A27" s="231" t="s">
        <v>52</v>
      </c>
      <c r="B27" s="33">
        <f>IF(ISERROR(TER_horeca_ele_kWh/1000),0,TER_horeca_ele_kWh/1000)</f>
        <v>429.87668300000001</v>
      </c>
      <c r="C27" s="39">
        <f>IF(ISERROR(B27*3.6/1000000/'E Balans VL '!Z9*100),0,B27*3.6/1000000/'E Balans VL '!Z9*100)</f>
        <v>3.2373522295315309E-2</v>
      </c>
      <c r="D27" s="237" t="s">
        <v>716</v>
      </c>
      <c r="F27" s="6"/>
    </row>
    <row r="28" spans="1:18">
      <c r="A28" s="171" t="s">
        <v>51</v>
      </c>
      <c r="B28" s="33">
        <f>IF(ISERROR(TER_handel_ele_kWh/1000),0,TER_handel_ele_kWh/1000)</f>
        <v>114.96544100000001</v>
      </c>
      <c r="C28" s="39">
        <f>IF(ISERROR(B28*3.6/1000000/'E Balans VL '!Z13*100),0,B28*3.6/1000000/'E Balans VL '!Z13*100)</f>
        <v>3.3370393978900178E-3</v>
      </c>
      <c r="D28" s="237" t="s">
        <v>716</v>
      </c>
      <c r="F28" s="6"/>
    </row>
    <row r="29" spans="1:18">
      <c r="A29" s="231" t="s">
        <v>50</v>
      </c>
      <c r="B29" s="33">
        <f>IF(ISERROR(TER_gezond_ele_kWh/1000),0,TER_gezond_ele_kWh/1000)</f>
        <v>24.759777999999997</v>
      </c>
      <c r="C29" s="39">
        <f>IF(ISERROR(B29*3.6/1000000/'E Balans VL '!Z10*100),0,B29*3.6/1000000/'E Balans VL '!Z10*100)</f>
        <v>2.4970531385378829E-3</v>
      </c>
      <c r="D29" s="237" t="s">
        <v>716</v>
      </c>
      <c r="F29" s="6"/>
    </row>
    <row r="30" spans="1:18">
      <c r="A30" s="231" t="s">
        <v>49</v>
      </c>
      <c r="B30" s="33">
        <f>IF(ISERROR(TER_ander_ele_kWh/1000),0,TER_ander_ele_kWh/1000)</f>
        <v>359.22303999999997</v>
      </c>
      <c r="C30" s="39">
        <f>IF(ISERROR(B30*3.6/1000000/'E Balans VL '!Z14*100),0,B30*3.6/1000000/'E Balans VL '!Z14*100)</f>
        <v>2.6066532252834011E-2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1615.0812369999999</v>
      </c>
      <c r="C32" s="39">
        <f>IF(ISERROR(B32*3.6/1000000/'E Balans VL '!Z8*100),0,B32*3.6/1000000/'E Balans VL '!Z8*100)</f>
        <v>1.3230416516858004E-2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911.40943100000004</v>
      </c>
      <c r="C5" s="17">
        <f>IF(ISERROR('Eigen informatie GS &amp; warmtenet'!B61),0,'Eigen informatie GS &amp; warmtenet'!B61)</f>
        <v>0</v>
      </c>
      <c r="D5" s="30">
        <f>SUM(D6:D15)</f>
        <v>752.66146232200003</v>
      </c>
      <c r="E5" s="17">
        <f>SUM(E6:E15)</f>
        <v>122.26663935491017</v>
      </c>
      <c r="F5" s="17">
        <f>SUM(F6:F15)</f>
        <v>387.12417469638945</v>
      </c>
      <c r="G5" s="18"/>
      <c r="H5" s="17"/>
      <c r="I5" s="17"/>
      <c r="J5" s="17">
        <f>SUM(J6:J15)</f>
        <v>3.1445374446728138</v>
      </c>
      <c r="K5" s="17"/>
      <c r="L5" s="17"/>
      <c r="M5" s="17"/>
      <c r="N5" s="17">
        <f>SUM(N6:N15)</f>
        <v>51.090324551212632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375.30562900000001</v>
      </c>
      <c r="C9" s="33"/>
      <c r="D9" s="37">
        <f>IF( ISERROR(IND_andere_gas_kWh/1000),0,IND_andere_gas_kWh/1000)*0.902</f>
        <v>222.05709666800001</v>
      </c>
      <c r="E9" s="33">
        <f>C31*'E Balans VL '!I19/100/3.6*1000000</f>
        <v>104.0022082608842</v>
      </c>
      <c r="F9" s="33">
        <f>C31*'E Balans VL '!L19/100/3.6*1000000+C31*'E Balans VL '!N19/100/3.6*1000000</f>
        <v>311.0541163569149</v>
      </c>
      <c r="G9" s="34"/>
      <c r="H9" s="33"/>
      <c r="I9" s="33"/>
      <c r="J9" s="40">
        <f>C31*'E Balans VL '!D19/100/3.6*1000000+C31*'E Balans VL '!E19/100/3.6*1000000</f>
        <v>0</v>
      </c>
      <c r="K9" s="33"/>
      <c r="L9" s="33"/>
      <c r="M9" s="33"/>
      <c r="N9" s="33">
        <f>C31*'E Balans VL '!Y19/100/3.6*1000000</f>
        <v>27.242598180599416</v>
      </c>
      <c r="O9" s="33"/>
      <c r="P9" s="33"/>
      <c r="R9" s="32"/>
    </row>
    <row r="10" spans="1:18">
      <c r="A10" s="6" t="s">
        <v>40</v>
      </c>
      <c r="B10" s="37">
        <f t="shared" si="0"/>
        <v>155.46511699999999</v>
      </c>
      <c r="C10" s="33"/>
      <c r="D10" s="37">
        <f>IF( ISERROR(IND_voed_gas_kWh/1000),0,IND_voed_gas_kWh/1000)*0.902</f>
        <v>221.11696191199999</v>
      </c>
      <c r="E10" s="33">
        <f>C32*'E Balans VL '!I20/100/3.6*1000000</f>
        <v>0.27522591650127365</v>
      </c>
      <c r="F10" s="33">
        <f>C32*'E Balans VL '!L20/100/3.6*1000000+C32*'E Balans VL '!N20/100/3.6*1000000</f>
        <v>8.3964941929722308</v>
      </c>
      <c r="G10" s="34"/>
      <c r="H10" s="33"/>
      <c r="I10" s="33"/>
      <c r="J10" s="40">
        <f>C32*'E Balans VL '!D20/100/3.6*1000000+C32*'E Balans VL '!E20/100/3.6*1000000</f>
        <v>0</v>
      </c>
      <c r="K10" s="33"/>
      <c r="L10" s="33"/>
      <c r="M10" s="33"/>
      <c r="N10" s="33">
        <f>C32*'E Balans VL '!Y20/100/3.6*1000000</f>
        <v>9.0337105995933662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380.63868500000001</v>
      </c>
      <c r="C15" s="33"/>
      <c r="D15" s="37">
        <f>IF( ISERROR(IND_rest_gas_kWh/1000),0,IND_rest_gas_kWh/1000)*0.902</f>
        <v>309.48740374199997</v>
      </c>
      <c r="E15" s="33">
        <f>C37*'E Balans VL '!I15/100/3.6*1000000</f>
        <v>17.989205177524692</v>
      </c>
      <c r="F15" s="33">
        <f>C37*'E Balans VL '!L15/100/3.6*1000000+C37*'E Balans VL '!N15/100/3.6*1000000</f>
        <v>67.673564146502301</v>
      </c>
      <c r="G15" s="34"/>
      <c r="H15" s="33"/>
      <c r="I15" s="33"/>
      <c r="J15" s="40">
        <f>C37*'E Balans VL '!D15/100/3.6*1000000+C37*'E Balans VL '!E15/100/3.6*1000000</f>
        <v>3.1445374446728138</v>
      </c>
      <c r="K15" s="33"/>
      <c r="L15" s="33"/>
      <c r="M15" s="33"/>
      <c r="N15" s="33">
        <f>C37*'E Balans VL '!Y15/100/3.6*1000000</f>
        <v>14.814015771019852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911.40943100000004</v>
      </c>
      <c r="C18" s="21">
        <f>C5+C16</f>
        <v>0</v>
      </c>
      <c r="D18" s="21">
        <f>MAX((D5+D16),0)</f>
        <v>752.66146232200003</v>
      </c>
      <c r="E18" s="21">
        <f>MAX((E5+E16),0)</f>
        <v>122.26663935491017</v>
      </c>
      <c r="F18" s="21">
        <f>MAX((F5+F16),0)</f>
        <v>387.12417469638945</v>
      </c>
      <c r="G18" s="21"/>
      <c r="H18" s="21"/>
      <c r="I18" s="21"/>
      <c r="J18" s="21">
        <f>MAX((J5+J16),0)</f>
        <v>3.1445374446728138</v>
      </c>
      <c r="K18" s="21"/>
      <c r="L18" s="21">
        <f>MAX((L5+L16),0)</f>
        <v>0</v>
      </c>
      <c r="M18" s="21"/>
      <c r="N18" s="21">
        <f>MAX((N5+N16),0)</f>
        <v>51.090324551212632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0.19921590130681122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181.56725125619298</v>
      </c>
      <c r="C22" s="23">
        <f ca="1">C18*C20</f>
        <v>0</v>
      </c>
      <c r="D22" s="23">
        <f>D18*D20</f>
        <v>152.03761538904402</v>
      </c>
      <c r="E22" s="23">
        <f>E18*E20</f>
        <v>27.754527133564608</v>
      </c>
      <c r="F22" s="23">
        <f>F18*F20</f>
        <v>103.36215464393599</v>
      </c>
      <c r="G22" s="23"/>
      <c r="H22" s="23"/>
      <c r="I22" s="23"/>
      <c r="J22" s="23">
        <f>J18*J20</f>
        <v>1.1131662554141761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375.30562900000001</v>
      </c>
      <c r="C31" s="39">
        <f>IF(ISERROR(B31*3.6/1000000/'E Balans VL '!Z19*100),0,B31*3.6/1000000/'E Balans VL '!Z19*100)</f>
        <v>1.8876656632607899E-2</v>
      </c>
      <c r="D31" s="237" t="s">
        <v>716</v>
      </c>
    </row>
    <row r="32" spans="1:18">
      <c r="A32" s="171" t="s">
        <v>40</v>
      </c>
      <c r="B32" s="37">
        <f>IF( ISERROR(IND_voed_ele_kWh/1000),0,IND_voed_ele_kWh/1000)</f>
        <v>155.46511699999999</v>
      </c>
      <c r="C32" s="39">
        <f>IF(ISERROR(B32*3.6/1000000/'E Balans VL '!Z20*100),0,B32*3.6/1000000/'E Balans VL '!Z20*100)</f>
        <v>5.1779115865333673E-3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380.63868500000001</v>
      </c>
      <c r="C37" s="39">
        <f>IF(ISERROR(B37*3.6/1000000/'E Balans VL '!Z15*100),0,B37*3.6/1000000/'E Balans VL '!Z15*100)</f>
        <v>2.9700226494213055E-3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697.68538999999998</v>
      </c>
      <c r="C5" s="17">
        <f>'Eigen informatie GS &amp; warmtenet'!B62</f>
        <v>0</v>
      </c>
      <c r="D5" s="30">
        <f>IF(ISERROR(SUM(LB_lb_gas_kWh,LB_rest_gas_kWh)/1000),0,SUM(LB_lb_gas_kWh,LB_rest_gas_kWh)/1000)*0.902</f>
        <v>113.95537417000001</v>
      </c>
      <c r="E5" s="17">
        <f>B17*'E Balans VL '!I25/3.6*1000000/100</f>
        <v>21.774530953641406</v>
      </c>
      <c r="F5" s="17">
        <f>B17*('E Balans VL '!L25/3.6*1000000+'E Balans VL '!N25/3.6*1000000)/100</f>
        <v>2465.6974557625963</v>
      </c>
      <c r="G5" s="18"/>
      <c r="H5" s="17"/>
      <c r="I5" s="17"/>
      <c r="J5" s="17">
        <f>('E Balans VL '!D25+'E Balans VL '!E25)/3.6*1000000*landbouw!B17/100</f>
        <v>192.21716335077613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697.68538999999998</v>
      </c>
      <c r="C8" s="21">
        <f>C5+C6</f>
        <v>0</v>
      </c>
      <c r="D8" s="21">
        <f>MAX((D5+D6),0)</f>
        <v>113.95537417000001</v>
      </c>
      <c r="E8" s="21">
        <f>MAX((E5+E6),0)</f>
        <v>21.774530953641406</v>
      </c>
      <c r="F8" s="21">
        <f>MAX((F5+F6),0)</f>
        <v>2465.6974557625963</v>
      </c>
      <c r="G8" s="21"/>
      <c r="H8" s="21"/>
      <c r="I8" s="21"/>
      <c r="J8" s="21">
        <f>MAX((J5+J6),0)</f>
        <v>192.21716335077613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0.19921590130681122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138.99002379744408</v>
      </c>
      <c r="C12" s="23">
        <f ca="1">C8*C10</f>
        <v>0</v>
      </c>
      <c r="D12" s="23">
        <f>D8*D10</f>
        <v>23.018985582340004</v>
      </c>
      <c r="E12" s="23">
        <f>E8*E10</f>
        <v>4.9428185264765991</v>
      </c>
      <c r="F12" s="23">
        <f>F8*F10</f>
        <v>658.34122068861325</v>
      </c>
      <c r="G12" s="23"/>
      <c r="H12" s="23"/>
      <c r="I12" s="23"/>
      <c r="J12" s="23">
        <f>J8*J10</f>
        <v>68.044875826174746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0.10371593470612683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280.56363843916233</v>
      </c>
      <c r="C26" s="247">
        <f>B26*'GWP N2O_CH4'!B5</f>
        <v>5891.8364072224085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42.277840097737965</v>
      </c>
      <c r="C27" s="247">
        <f>B27*'GWP N2O_CH4'!B5</f>
        <v>887.8346420524972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3.4678133090240157</v>
      </c>
      <c r="C28" s="247">
        <f>B28*'GWP N2O_CH4'!B4</f>
        <v>1075.0221257974449</v>
      </c>
      <c r="D28" s="50"/>
    </row>
    <row r="29" spans="1:4">
      <c r="A29" s="41" t="s">
        <v>276</v>
      </c>
      <c r="B29" s="247">
        <f>B34*'ha_N2O bodem landbouw'!B4</f>
        <v>12.581413371653017</v>
      </c>
      <c r="C29" s="247">
        <f>B29*'GWP N2O_CH4'!B4</f>
        <v>3900.2381452124355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2.7588774291490837E-3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5.5591680109999992E-5</v>
      </c>
      <c r="C5" s="463" t="s">
        <v>210</v>
      </c>
      <c r="D5" s="448">
        <f>SUM(D6:D11)</f>
        <v>2.39839001225208E-4</v>
      </c>
      <c r="E5" s="448">
        <f>SUM(E6:E11)</f>
        <v>1.828053069832E-4</v>
      </c>
      <c r="F5" s="461" t="s">
        <v>210</v>
      </c>
      <c r="G5" s="448">
        <f>SUM(G6:G11)</f>
        <v>7.0506619424325553E-2</v>
      </c>
      <c r="H5" s="448">
        <f>SUM(H6:H11)</f>
        <v>1.7799051787041869E-2</v>
      </c>
      <c r="I5" s="463" t="s">
        <v>210</v>
      </c>
      <c r="J5" s="463" t="s">
        <v>210</v>
      </c>
      <c r="K5" s="463" t="s">
        <v>210</v>
      </c>
      <c r="L5" s="463" t="s">
        <v>210</v>
      </c>
      <c r="M5" s="448">
        <f>SUM(M6:M11)</f>
        <v>5.2353783552894226E-3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3.8204504429999997E-5</v>
      </c>
      <c r="C6" s="449"/>
      <c r="D6" s="917">
        <f>vkm_2011_GW_PW*SUMIFS(TableVerdeelsleutelVkm[CNG],TableVerdeelsleutelVkm[Voertuigtype],"Lichte voertuigen")*SUMIFS(TableECFTransport[EnergieConsumptieFactor (PJ per km)],TableECFTransport[Index],CONCATENATE($A6,"_CNG_CNG"))</f>
        <v>1.3284356937112799E-4</v>
      </c>
      <c r="E6" s="917">
        <f>vkm_2011_GW_PW*SUMIFS(TableVerdeelsleutelVkm[LPG],TableVerdeelsleutelVkm[Voertuigtype],"Lichte voertuigen")*SUMIFS(TableECFTransport[EnergieConsumptieFactor (PJ per km)],TableECFTransport[Index],CONCATENATE($A6,"_LPG_LPG"))</f>
        <v>1.0465884599759999E-4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2.8489354795080826E-2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9.9693819598030212E-3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2.298151247652507E-3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2.0121736698005321E-2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5.0693138943352782E-6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1.1602822026901946E-3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1.7387175679999998E-5</v>
      </c>
      <c r="C8" s="449"/>
      <c r="D8" s="451">
        <f>vkm_2011_NGW_PW*SUMIFS(TableVerdeelsleutelVkm[CNG],TableVerdeelsleutelVkm[Voertuigtype],"Lichte voertuigen")*SUMIFS(TableECFTransport[EnergieConsumptieFactor (PJ per km)],TableECFTransport[Index],CONCATENATE($A8,"_CNG_CNG"))</f>
        <v>1.0699543185408E-4</v>
      </c>
      <c r="E8" s="451">
        <f>vkm_2011_NGW_PW*SUMIFS(TableVerdeelsleutelVkm[LPG],TableVerdeelsleutelVkm[Voertuigtype],"Lichte voertuigen")*SUMIFS(TableECFTransport[EnergieConsumptieFactor (PJ per km)],TableECFTransport[Index],CONCATENATE($A8,"_LPG_LPG"))</f>
        <v>7.8146460985600001E-5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1.9740115915750298E-2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7.8240881463896659E-3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1.6526591305271749E-3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2.1554120154891041E-3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5.1236695484618342E-7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1.2428577441954606E-4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15.442133363888887</v>
      </c>
      <c r="C14" s="21"/>
      <c r="D14" s="21">
        <f t="shared" ref="D14:M14" si="0">((D5)*10^9/3600)+D12</f>
        <v>66.621944784779998</v>
      </c>
      <c r="E14" s="21">
        <f t="shared" si="0"/>
        <v>50.77925193977778</v>
      </c>
      <c r="F14" s="21"/>
      <c r="G14" s="21">
        <f t="shared" si="0"/>
        <v>19585.172062312653</v>
      </c>
      <c r="H14" s="21">
        <f t="shared" si="0"/>
        <v>4944.181051956075</v>
      </c>
      <c r="I14" s="21"/>
      <c r="J14" s="21"/>
      <c r="K14" s="21"/>
      <c r="L14" s="21"/>
      <c r="M14" s="21">
        <f t="shared" si="0"/>
        <v>1454.2717653581731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0.19921590130681122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3.0763185161871052</v>
      </c>
      <c r="C18" s="23"/>
      <c r="D18" s="23">
        <f t="shared" ref="D18:M18" si="1">D14*D16</f>
        <v>13.457632846525561</v>
      </c>
      <c r="E18" s="23">
        <f t="shared" si="1"/>
        <v>11.526890190329556</v>
      </c>
      <c r="F18" s="23"/>
      <c r="G18" s="23">
        <f t="shared" si="1"/>
        <v>5229.2409406374791</v>
      </c>
      <c r="H18" s="23">
        <f t="shared" si="1"/>
        <v>1231.1010819370626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1.5081510876728285E-3</v>
      </c>
      <c r="H50" s="321">
        <f t="shared" si="2"/>
        <v>0</v>
      </c>
      <c r="I50" s="321">
        <f t="shared" si="2"/>
        <v>0</v>
      </c>
      <c r="J50" s="321">
        <f t="shared" si="2"/>
        <v>0</v>
      </c>
      <c r="K50" s="321">
        <f t="shared" si="2"/>
        <v>0</v>
      </c>
      <c r="L50" s="321">
        <f t="shared" si="2"/>
        <v>0</v>
      </c>
      <c r="M50" s="321">
        <f t="shared" si="2"/>
        <v>8.382320432060678E-5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1.5081510876728285E-3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8.382320432060678E-5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418.93085768689679</v>
      </c>
      <c r="H54" s="21">
        <f t="shared" si="3"/>
        <v>0</v>
      </c>
      <c r="I54" s="21">
        <f t="shared" si="3"/>
        <v>0</v>
      </c>
      <c r="J54" s="21">
        <f t="shared" si="3"/>
        <v>0</v>
      </c>
      <c r="K54" s="21">
        <f t="shared" si="3"/>
        <v>0</v>
      </c>
      <c r="L54" s="21">
        <f t="shared" si="3"/>
        <v>0</v>
      </c>
      <c r="M54" s="21">
        <f t="shared" si="3"/>
        <v>23.28422342239077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0.19921590130681122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111.85453900240145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3249.9389019999999</v>
      </c>
      <c r="D10" s="712">
        <f ca="1">tertiair!C16</f>
        <v>0</v>
      </c>
      <c r="E10" s="712">
        <f ca="1">tertiair!D16</f>
        <v>2020.0664465300001</v>
      </c>
      <c r="F10" s="712">
        <f>tertiair!E16</f>
        <v>31.212941806405226</v>
      </c>
      <c r="G10" s="712">
        <f ca="1">tertiair!F16</f>
        <v>337.38408114796221</v>
      </c>
      <c r="H10" s="712">
        <f>tertiair!G16</f>
        <v>0</v>
      </c>
      <c r="I10" s="712">
        <f>tertiair!H16</f>
        <v>0</v>
      </c>
      <c r="J10" s="712">
        <f>tertiair!I16</f>
        <v>0</v>
      </c>
      <c r="K10" s="712">
        <f>tertiair!J16</f>
        <v>9.193407688832313E-3</v>
      </c>
      <c r="L10" s="712">
        <f>tertiair!K16</f>
        <v>0</v>
      </c>
      <c r="M10" s="712">
        <f ca="1">tertiair!L16</f>
        <v>0</v>
      </c>
      <c r="N10" s="712">
        <f>tertiair!M16</f>
        <v>0</v>
      </c>
      <c r="O10" s="712">
        <f ca="1">tertiair!N16</f>
        <v>360.37978486526367</v>
      </c>
      <c r="P10" s="712">
        <f>tertiair!O16</f>
        <v>0</v>
      </c>
      <c r="Q10" s="713">
        <f>tertiair!P16</f>
        <v>0</v>
      </c>
      <c r="R10" s="715">
        <f ca="1">SUM(C10:Q10)</f>
        <v>5998.9913497573198</v>
      </c>
      <c r="S10" s="67"/>
    </row>
    <row r="11" spans="1:19" s="474" customFormat="1">
      <c r="A11" s="834" t="s">
        <v>224</v>
      </c>
      <c r="B11" s="839"/>
      <c r="C11" s="712">
        <f>huishoudens!B8</f>
        <v>12642.137787884825</v>
      </c>
      <c r="D11" s="712">
        <f>huishoudens!C8</f>
        <v>0</v>
      </c>
      <c r="E11" s="712">
        <f>huishoudens!D8</f>
        <v>14924.810829940003</v>
      </c>
      <c r="F11" s="712">
        <f>huishoudens!E8</f>
        <v>3300.0209414465326</v>
      </c>
      <c r="G11" s="712">
        <f>huishoudens!F8</f>
        <v>20216.078400644114</v>
      </c>
      <c r="H11" s="712">
        <f>huishoudens!G8</f>
        <v>0</v>
      </c>
      <c r="I11" s="712">
        <f>huishoudens!H8</f>
        <v>0</v>
      </c>
      <c r="J11" s="712">
        <f>huishoudens!I8</f>
        <v>0</v>
      </c>
      <c r="K11" s="712">
        <f>huishoudens!J8</f>
        <v>3807.1201226442436</v>
      </c>
      <c r="L11" s="712">
        <f>huishoudens!K8</f>
        <v>0</v>
      </c>
      <c r="M11" s="712">
        <f>huishoudens!L8</f>
        <v>0</v>
      </c>
      <c r="N11" s="712">
        <f>huishoudens!M8</f>
        <v>0</v>
      </c>
      <c r="O11" s="712">
        <f>huishoudens!N8</f>
        <v>5224.7782788780842</v>
      </c>
      <c r="P11" s="712">
        <f>huishoudens!O8</f>
        <v>192.44394728054206</v>
      </c>
      <c r="Q11" s="713">
        <f>huishoudens!P8</f>
        <v>326.5527385382357</v>
      </c>
      <c r="R11" s="715">
        <f>SUM(C11:Q11)</f>
        <v>60633.943047256573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911.40943100000004</v>
      </c>
      <c r="D13" s="712">
        <f>industrie!C18</f>
        <v>0</v>
      </c>
      <c r="E13" s="712">
        <f>industrie!D18</f>
        <v>752.66146232200003</v>
      </c>
      <c r="F13" s="712">
        <f>industrie!E18</f>
        <v>122.26663935491017</v>
      </c>
      <c r="G13" s="712">
        <f>industrie!F18</f>
        <v>387.12417469638945</v>
      </c>
      <c r="H13" s="712">
        <f>industrie!G18</f>
        <v>0</v>
      </c>
      <c r="I13" s="712">
        <f>industrie!H18</f>
        <v>0</v>
      </c>
      <c r="J13" s="712">
        <f>industrie!I18</f>
        <v>0</v>
      </c>
      <c r="K13" s="712">
        <f>industrie!J18</f>
        <v>3.1445374446728138</v>
      </c>
      <c r="L13" s="712">
        <f>industrie!K18</f>
        <v>0</v>
      </c>
      <c r="M13" s="712">
        <f>industrie!L18</f>
        <v>0</v>
      </c>
      <c r="N13" s="712">
        <f>industrie!M18</f>
        <v>0</v>
      </c>
      <c r="O13" s="712">
        <f>industrie!N18</f>
        <v>51.090324551212632</v>
      </c>
      <c r="P13" s="712">
        <f>industrie!O18</f>
        <v>0</v>
      </c>
      <c r="Q13" s="713">
        <f>industrie!P18</f>
        <v>0</v>
      </c>
      <c r="R13" s="715">
        <f>SUM(C13:Q13)</f>
        <v>2227.6965693691855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16803.486120884823</v>
      </c>
      <c r="D16" s="748">
        <f t="shared" ref="D16:R16" ca="1" si="0">SUM(D9:D15)</f>
        <v>0</v>
      </c>
      <c r="E16" s="748">
        <f t="shared" ca="1" si="0"/>
        <v>17697.538738792005</v>
      </c>
      <c r="F16" s="748">
        <f t="shared" si="0"/>
        <v>3453.5005226078479</v>
      </c>
      <c r="G16" s="748">
        <f t="shared" ca="1" si="0"/>
        <v>20940.586656488467</v>
      </c>
      <c r="H16" s="748">
        <f t="shared" si="0"/>
        <v>0</v>
      </c>
      <c r="I16" s="748">
        <f t="shared" si="0"/>
        <v>0</v>
      </c>
      <c r="J16" s="748">
        <f t="shared" si="0"/>
        <v>0</v>
      </c>
      <c r="K16" s="748">
        <f t="shared" si="0"/>
        <v>3810.2738534966056</v>
      </c>
      <c r="L16" s="748">
        <f t="shared" si="0"/>
        <v>0</v>
      </c>
      <c r="M16" s="748">
        <f t="shared" ca="1" si="0"/>
        <v>0</v>
      </c>
      <c r="N16" s="748">
        <f t="shared" si="0"/>
        <v>0</v>
      </c>
      <c r="O16" s="748">
        <f t="shared" ca="1" si="0"/>
        <v>5636.2483882945608</v>
      </c>
      <c r="P16" s="748">
        <f t="shared" si="0"/>
        <v>192.44394728054206</v>
      </c>
      <c r="Q16" s="748">
        <f t="shared" si="0"/>
        <v>326.5527385382357</v>
      </c>
      <c r="R16" s="748">
        <f t="shared" ca="1" si="0"/>
        <v>68860.630966383076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418.93085768689679</v>
      </c>
      <c r="I19" s="712">
        <f>transport!H54</f>
        <v>0</v>
      </c>
      <c r="J19" s="712">
        <f>transport!I54</f>
        <v>0</v>
      </c>
      <c r="K19" s="712">
        <f>transport!J54</f>
        <v>0</v>
      </c>
      <c r="L19" s="712">
        <f>transport!K54</f>
        <v>0</v>
      </c>
      <c r="M19" s="712">
        <f>transport!L54</f>
        <v>0</v>
      </c>
      <c r="N19" s="712">
        <f>transport!M54</f>
        <v>23.28422342239077</v>
      </c>
      <c r="O19" s="712">
        <f>transport!N54</f>
        <v>0</v>
      </c>
      <c r="P19" s="712">
        <f>transport!O54</f>
        <v>0</v>
      </c>
      <c r="Q19" s="713">
        <f>transport!P54</f>
        <v>0</v>
      </c>
      <c r="R19" s="715">
        <f>SUM(C19:Q19)</f>
        <v>442.21508110928755</v>
      </c>
      <c r="S19" s="67"/>
    </row>
    <row r="20" spans="1:19" s="474" customFormat="1">
      <c r="A20" s="834" t="s">
        <v>306</v>
      </c>
      <c r="B20" s="839"/>
      <c r="C20" s="712">
        <f>transport!B14</f>
        <v>15.442133363888887</v>
      </c>
      <c r="D20" s="712">
        <f>transport!C14</f>
        <v>0</v>
      </c>
      <c r="E20" s="712">
        <f>transport!D14</f>
        <v>66.621944784779998</v>
      </c>
      <c r="F20" s="712">
        <f>transport!E14</f>
        <v>50.77925193977778</v>
      </c>
      <c r="G20" s="712">
        <f>transport!F14</f>
        <v>0</v>
      </c>
      <c r="H20" s="712">
        <f>transport!G14</f>
        <v>19585.172062312653</v>
      </c>
      <c r="I20" s="712">
        <f>transport!H14</f>
        <v>4944.181051956075</v>
      </c>
      <c r="J20" s="712">
        <f>transport!I14</f>
        <v>0</v>
      </c>
      <c r="K20" s="712">
        <f>transport!J14</f>
        <v>0</v>
      </c>
      <c r="L20" s="712">
        <f>transport!K14</f>
        <v>0</v>
      </c>
      <c r="M20" s="712">
        <f>transport!L14</f>
        <v>0</v>
      </c>
      <c r="N20" s="712">
        <f>transport!M14</f>
        <v>1454.2717653581731</v>
      </c>
      <c r="O20" s="712">
        <f>transport!N14</f>
        <v>0</v>
      </c>
      <c r="P20" s="712">
        <f>transport!O14</f>
        <v>0</v>
      </c>
      <c r="Q20" s="713">
        <f>transport!P14</f>
        <v>0</v>
      </c>
      <c r="R20" s="715">
        <f>SUM(C20:Q20)</f>
        <v>26116.468209715349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15.442133363888887</v>
      </c>
      <c r="D22" s="837">
        <f t="shared" ref="D22:R22" si="1">SUM(D18:D21)</f>
        <v>0</v>
      </c>
      <c r="E22" s="837">
        <f t="shared" si="1"/>
        <v>66.621944784779998</v>
      </c>
      <c r="F22" s="837">
        <f t="shared" si="1"/>
        <v>50.77925193977778</v>
      </c>
      <c r="G22" s="837">
        <f t="shared" si="1"/>
        <v>0</v>
      </c>
      <c r="H22" s="837">
        <f t="shared" si="1"/>
        <v>20004.10291999955</v>
      </c>
      <c r="I22" s="837">
        <f t="shared" si="1"/>
        <v>4944.181051956075</v>
      </c>
      <c r="J22" s="837">
        <f t="shared" si="1"/>
        <v>0</v>
      </c>
      <c r="K22" s="837">
        <f t="shared" si="1"/>
        <v>0</v>
      </c>
      <c r="L22" s="837">
        <f t="shared" si="1"/>
        <v>0</v>
      </c>
      <c r="M22" s="837">
        <f t="shared" si="1"/>
        <v>0</v>
      </c>
      <c r="N22" s="837">
        <f t="shared" si="1"/>
        <v>1477.5559887805639</v>
      </c>
      <c r="O22" s="837">
        <f t="shared" si="1"/>
        <v>0</v>
      </c>
      <c r="P22" s="837">
        <f t="shared" si="1"/>
        <v>0</v>
      </c>
      <c r="Q22" s="837">
        <f t="shared" si="1"/>
        <v>0</v>
      </c>
      <c r="R22" s="837">
        <f t="shared" si="1"/>
        <v>26558.683290824636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697.68538999999998</v>
      </c>
      <c r="D24" s="712">
        <f>+landbouw!C8</f>
        <v>0</v>
      </c>
      <c r="E24" s="712">
        <f>+landbouw!D8</f>
        <v>113.95537417000001</v>
      </c>
      <c r="F24" s="712">
        <f>+landbouw!E8</f>
        <v>21.774530953641406</v>
      </c>
      <c r="G24" s="712">
        <f>+landbouw!F8</f>
        <v>2465.6974557625963</v>
      </c>
      <c r="H24" s="712">
        <f>+landbouw!G8</f>
        <v>0</v>
      </c>
      <c r="I24" s="712">
        <f>+landbouw!H8</f>
        <v>0</v>
      </c>
      <c r="J24" s="712">
        <f>+landbouw!I8</f>
        <v>0</v>
      </c>
      <c r="K24" s="712">
        <f>+landbouw!J8</f>
        <v>192.21716335077613</v>
      </c>
      <c r="L24" s="712">
        <f>+landbouw!K8</f>
        <v>0</v>
      </c>
      <c r="M24" s="712">
        <f>+landbouw!L8</f>
        <v>0</v>
      </c>
      <c r="N24" s="712">
        <f>+landbouw!M8</f>
        <v>0</v>
      </c>
      <c r="O24" s="712">
        <f>+landbouw!N8</f>
        <v>0</v>
      </c>
      <c r="P24" s="712">
        <f>+landbouw!O8</f>
        <v>0</v>
      </c>
      <c r="Q24" s="713">
        <f>+landbouw!P8</f>
        <v>0</v>
      </c>
      <c r="R24" s="715">
        <f>SUM(C24:Q24)</f>
        <v>3491.3299142370138</v>
      </c>
      <c r="S24" s="67"/>
    </row>
    <row r="25" spans="1:19" s="474" customFormat="1" ht="15" thickBot="1">
      <c r="A25" s="856" t="s">
        <v>734</v>
      </c>
      <c r="B25" s="982"/>
      <c r="C25" s="983">
        <f>IF(Onbekend_ele_kWh="---",0,Onbekend_ele_kWh)/1000+IF(REST_rest_ele_kWh="---",0,REST_rest_ele_kWh)/1000</f>
        <v>227.170928</v>
      </c>
      <c r="D25" s="983"/>
      <c r="E25" s="983">
        <f>IF(onbekend_gas_kWh="---",0,onbekend_gas_kWh)/1000+IF(REST_rest_gas_kWh="---",0,REST_rest_gas_kWh)/1000</f>
        <v>480.19240200000002</v>
      </c>
      <c r="F25" s="983"/>
      <c r="G25" s="983"/>
      <c r="H25" s="983"/>
      <c r="I25" s="983"/>
      <c r="J25" s="983"/>
      <c r="K25" s="983"/>
      <c r="L25" s="983"/>
      <c r="M25" s="983"/>
      <c r="N25" s="983"/>
      <c r="O25" s="983"/>
      <c r="P25" s="983"/>
      <c r="Q25" s="984"/>
      <c r="R25" s="715">
        <f>SUM(C25:Q25)</f>
        <v>707.36333000000002</v>
      </c>
      <c r="S25" s="67"/>
    </row>
    <row r="26" spans="1:19" s="474" customFormat="1" ht="15.75" thickBot="1">
      <c r="A26" s="720" t="s">
        <v>735</v>
      </c>
      <c r="B26" s="842"/>
      <c r="C26" s="837">
        <f>SUM(C24:C25)</f>
        <v>924.85631799999999</v>
      </c>
      <c r="D26" s="837">
        <f t="shared" ref="D26:R26" si="2">SUM(D24:D25)</f>
        <v>0</v>
      </c>
      <c r="E26" s="837">
        <f t="shared" si="2"/>
        <v>594.14777617000004</v>
      </c>
      <c r="F26" s="837">
        <f t="shared" si="2"/>
        <v>21.774530953641406</v>
      </c>
      <c r="G26" s="837">
        <f t="shared" si="2"/>
        <v>2465.6974557625963</v>
      </c>
      <c r="H26" s="837">
        <f t="shared" si="2"/>
        <v>0</v>
      </c>
      <c r="I26" s="837">
        <f t="shared" si="2"/>
        <v>0</v>
      </c>
      <c r="J26" s="837">
        <f t="shared" si="2"/>
        <v>0</v>
      </c>
      <c r="K26" s="837">
        <f t="shared" si="2"/>
        <v>192.21716335077613</v>
      </c>
      <c r="L26" s="837">
        <f t="shared" si="2"/>
        <v>0</v>
      </c>
      <c r="M26" s="837">
        <f t="shared" si="2"/>
        <v>0</v>
      </c>
      <c r="N26" s="837">
        <f t="shared" si="2"/>
        <v>0</v>
      </c>
      <c r="O26" s="837">
        <f t="shared" si="2"/>
        <v>0</v>
      </c>
      <c r="P26" s="837">
        <f t="shared" si="2"/>
        <v>0</v>
      </c>
      <c r="Q26" s="837">
        <f t="shared" si="2"/>
        <v>0</v>
      </c>
      <c r="R26" s="837">
        <f t="shared" si="2"/>
        <v>4198.6932442370135</v>
      </c>
      <c r="S26" s="67"/>
    </row>
    <row r="27" spans="1:19" s="474" customFormat="1" ht="17.25" thickTop="1" thickBot="1">
      <c r="A27" s="721" t="s">
        <v>115</v>
      </c>
      <c r="B27" s="829"/>
      <c r="C27" s="722">
        <f ca="1">C22+C16+C26</f>
        <v>17743.784572248711</v>
      </c>
      <c r="D27" s="722">
        <f t="shared" ref="D27:R27" ca="1" si="3">D22+D16+D26</f>
        <v>0</v>
      </c>
      <c r="E27" s="722">
        <f t="shared" ca="1" si="3"/>
        <v>18358.308459746786</v>
      </c>
      <c r="F27" s="722">
        <f t="shared" si="3"/>
        <v>3526.0543055012668</v>
      </c>
      <c r="G27" s="722">
        <f t="shared" ca="1" si="3"/>
        <v>23406.284112251065</v>
      </c>
      <c r="H27" s="722">
        <f t="shared" si="3"/>
        <v>20004.10291999955</v>
      </c>
      <c r="I27" s="722">
        <f t="shared" si="3"/>
        <v>4944.181051956075</v>
      </c>
      <c r="J27" s="722">
        <f t="shared" si="3"/>
        <v>0</v>
      </c>
      <c r="K27" s="722">
        <f t="shared" si="3"/>
        <v>4002.4910168473816</v>
      </c>
      <c r="L27" s="722">
        <f t="shared" si="3"/>
        <v>0</v>
      </c>
      <c r="M27" s="722">
        <f t="shared" ca="1" si="3"/>
        <v>0</v>
      </c>
      <c r="N27" s="722">
        <f t="shared" si="3"/>
        <v>1477.5559887805639</v>
      </c>
      <c r="O27" s="722">
        <f t="shared" ca="1" si="3"/>
        <v>5636.2483882945608</v>
      </c>
      <c r="P27" s="722">
        <f t="shared" si="3"/>
        <v>192.44394728054206</v>
      </c>
      <c r="Q27" s="722">
        <f t="shared" si="3"/>
        <v>326.5527385382357</v>
      </c>
      <c r="R27" s="722">
        <f t="shared" ca="1" si="3"/>
        <v>99618.007501444721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647.4395075539984</v>
      </c>
      <c r="D40" s="712">
        <f ca="1">tertiair!C20</f>
        <v>0</v>
      </c>
      <c r="E40" s="712">
        <f ca="1">tertiair!D20</f>
        <v>408.05342219906004</v>
      </c>
      <c r="F40" s="712">
        <f>tertiair!E20</f>
        <v>7.0853377900539867</v>
      </c>
      <c r="G40" s="712">
        <f ca="1">tertiair!F20</f>
        <v>90.081549666505907</v>
      </c>
      <c r="H40" s="712">
        <f>tertiair!G20</f>
        <v>0</v>
      </c>
      <c r="I40" s="712">
        <f>tertiair!H20</f>
        <v>0</v>
      </c>
      <c r="J40" s="712">
        <f>tertiair!I20</f>
        <v>0</v>
      </c>
      <c r="K40" s="712">
        <f>tertiair!J20</f>
        <v>3.2544663218466384E-3</v>
      </c>
      <c r="L40" s="712">
        <f>tertiair!K20</f>
        <v>0</v>
      </c>
      <c r="M40" s="712">
        <f ca="1">tertiair!L20</f>
        <v>0</v>
      </c>
      <c r="N40" s="712">
        <f>tertiair!M20</f>
        <v>0</v>
      </c>
      <c r="O40" s="712">
        <f ca="1">tertiair!N20</f>
        <v>0</v>
      </c>
      <c r="P40" s="712">
        <f>tertiair!O20</f>
        <v>0</v>
      </c>
      <c r="Q40" s="795">
        <f>tertiair!P20</f>
        <v>0</v>
      </c>
      <c r="R40" s="875">
        <f t="shared" ca="1" si="4"/>
        <v>1152.66307167594</v>
      </c>
    </row>
    <row r="41" spans="1:18">
      <c r="A41" s="847" t="s">
        <v>224</v>
      </c>
      <c r="B41" s="854"/>
      <c r="C41" s="712">
        <f ca="1">huishoudens!B12</f>
        <v>2518.5148738583721</v>
      </c>
      <c r="D41" s="712">
        <f ca="1">huishoudens!C12</f>
        <v>0</v>
      </c>
      <c r="E41" s="712">
        <f>huishoudens!D12</f>
        <v>3014.8117876478809</v>
      </c>
      <c r="F41" s="712">
        <f>huishoudens!E12</f>
        <v>749.10475370836286</v>
      </c>
      <c r="G41" s="712">
        <f>huishoudens!F12</f>
        <v>5397.6929329719787</v>
      </c>
      <c r="H41" s="712">
        <f>huishoudens!G12</f>
        <v>0</v>
      </c>
      <c r="I41" s="712">
        <f>huishoudens!H12</f>
        <v>0</v>
      </c>
      <c r="J41" s="712">
        <f>huishoudens!I12</f>
        <v>0</v>
      </c>
      <c r="K41" s="712">
        <f>huishoudens!J12</f>
        <v>1347.7205234160622</v>
      </c>
      <c r="L41" s="712">
        <f>huishoudens!K12</f>
        <v>0</v>
      </c>
      <c r="M41" s="712">
        <f>huishoudens!L12</f>
        <v>0</v>
      </c>
      <c r="N41" s="712">
        <f>huishoudens!M12</f>
        <v>0</v>
      </c>
      <c r="O41" s="712">
        <f>huishoudens!N12</f>
        <v>0</v>
      </c>
      <c r="P41" s="712">
        <f>huishoudens!O12</f>
        <v>0</v>
      </c>
      <c r="Q41" s="795">
        <f>huishoudens!P12</f>
        <v>0</v>
      </c>
      <c r="R41" s="875">
        <f t="shared" ca="1" si="4"/>
        <v>13027.844871602658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181.56725125619298</v>
      </c>
      <c r="D43" s="712">
        <f ca="1">industrie!C22</f>
        <v>0</v>
      </c>
      <c r="E43" s="712">
        <f>industrie!D22</f>
        <v>152.03761538904402</v>
      </c>
      <c r="F43" s="712">
        <f>industrie!E22</f>
        <v>27.754527133564608</v>
      </c>
      <c r="G43" s="712">
        <f>industrie!F22</f>
        <v>103.36215464393599</v>
      </c>
      <c r="H43" s="712">
        <f>industrie!G22</f>
        <v>0</v>
      </c>
      <c r="I43" s="712">
        <f>industrie!H22</f>
        <v>0</v>
      </c>
      <c r="J43" s="712">
        <f>industrie!I22</f>
        <v>0</v>
      </c>
      <c r="K43" s="712">
        <f>industrie!J22</f>
        <v>1.1131662554141761</v>
      </c>
      <c r="L43" s="712">
        <f>industrie!K22</f>
        <v>0</v>
      </c>
      <c r="M43" s="712">
        <f>industrie!L22</f>
        <v>0</v>
      </c>
      <c r="N43" s="712">
        <f>industrie!M22</f>
        <v>0</v>
      </c>
      <c r="O43" s="712">
        <f>industrie!N22</f>
        <v>0</v>
      </c>
      <c r="P43" s="712">
        <f>industrie!O22</f>
        <v>0</v>
      </c>
      <c r="Q43" s="795">
        <f>industrie!P22</f>
        <v>0</v>
      </c>
      <c r="R43" s="874">
        <f t="shared" ca="1" si="4"/>
        <v>465.83471467815178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3347.5216326685631</v>
      </c>
      <c r="D46" s="748">
        <f t="shared" ref="D46:Q46" ca="1" si="5">SUM(D39:D45)</f>
        <v>0</v>
      </c>
      <c r="E46" s="748">
        <f t="shared" ca="1" si="5"/>
        <v>3574.9028252359849</v>
      </c>
      <c r="F46" s="748">
        <f t="shared" si="5"/>
        <v>783.94461863198148</v>
      </c>
      <c r="G46" s="748">
        <f t="shared" ca="1" si="5"/>
        <v>5591.1366372824205</v>
      </c>
      <c r="H46" s="748">
        <f t="shared" si="5"/>
        <v>0</v>
      </c>
      <c r="I46" s="748">
        <f t="shared" si="5"/>
        <v>0</v>
      </c>
      <c r="J46" s="748">
        <f t="shared" si="5"/>
        <v>0</v>
      </c>
      <c r="K46" s="748">
        <f t="shared" si="5"/>
        <v>1348.8369441377981</v>
      </c>
      <c r="L46" s="748">
        <f t="shared" si="5"/>
        <v>0</v>
      </c>
      <c r="M46" s="748">
        <f t="shared" ca="1" si="5"/>
        <v>0</v>
      </c>
      <c r="N46" s="748">
        <f t="shared" si="5"/>
        <v>0</v>
      </c>
      <c r="O46" s="748">
        <f t="shared" ca="1" si="5"/>
        <v>0</v>
      </c>
      <c r="P46" s="748">
        <f t="shared" si="5"/>
        <v>0</v>
      </c>
      <c r="Q46" s="748">
        <f t="shared" si="5"/>
        <v>0</v>
      </c>
      <c r="R46" s="748">
        <f ca="1">SUM(R39:R45)</f>
        <v>14646.342657956749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111.85453900240145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111.85453900240145</v>
      </c>
    </row>
    <row r="50" spans="1:18">
      <c r="A50" s="850" t="s">
        <v>306</v>
      </c>
      <c r="B50" s="860"/>
      <c r="C50" s="718">
        <f ca="1">transport!B18</f>
        <v>3.0763185161871052</v>
      </c>
      <c r="D50" s="718">
        <f>transport!C18</f>
        <v>0</v>
      </c>
      <c r="E50" s="718">
        <f>transport!D18</f>
        <v>13.457632846525561</v>
      </c>
      <c r="F50" s="718">
        <f>transport!E18</f>
        <v>11.526890190329556</v>
      </c>
      <c r="G50" s="718">
        <f>transport!F18</f>
        <v>0</v>
      </c>
      <c r="H50" s="718">
        <f>transport!G18</f>
        <v>5229.2409406374791</v>
      </c>
      <c r="I50" s="718">
        <f>transport!H18</f>
        <v>1231.1010819370626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6488.4028641275836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3.0763185161871052</v>
      </c>
      <c r="D52" s="748">
        <f t="shared" ref="D52:Q52" ca="1" si="6">SUM(D48:D51)</f>
        <v>0</v>
      </c>
      <c r="E52" s="748">
        <f t="shared" si="6"/>
        <v>13.457632846525561</v>
      </c>
      <c r="F52" s="748">
        <f t="shared" si="6"/>
        <v>11.526890190329556</v>
      </c>
      <c r="G52" s="748">
        <f t="shared" si="6"/>
        <v>0</v>
      </c>
      <c r="H52" s="748">
        <f t="shared" si="6"/>
        <v>5341.0954796398801</v>
      </c>
      <c r="I52" s="748">
        <f t="shared" si="6"/>
        <v>1231.1010819370626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6600.2574031299846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138.99002379744408</v>
      </c>
      <c r="D54" s="718">
        <f ca="1">+landbouw!C12</f>
        <v>0</v>
      </c>
      <c r="E54" s="718">
        <f>+landbouw!D12</f>
        <v>23.018985582340004</v>
      </c>
      <c r="F54" s="718">
        <f>+landbouw!E12</f>
        <v>4.9428185264765991</v>
      </c>
      <c r="G54" s="718">
        <f>+landbouw!F12</f>
        <v>658.34122068861325</v>
      </c>
      <c r="H54" s="718">
        <f>+landbouw!G12</f>
        <v>0</v>
      </c>
      <c r="I54" s="718">
        <f>+landbouw!H12</f>
        <v>0</v>
      </c>
      <c r="J54" s="718">
        <f>+landbouw!I12</f>
        <v>0</v>
      </c>
      <c r="K54" s="718">
        <f>+landbouw!J12</f>
        <v>68.044875826174746</v>
      </c>
      <c r="L54" s="718">
        <f>+landbouw!K12</f>
        <v>0</v>
      </c>
      <c r="M54" s="718">
        <f>+landbouw!L12</f>
        <v>0</v>
      </c>
      <c r="N54" s="718">
        <f>+landbouw!M12</f>
        <v>0</v>
      </c>
      <c r="O54" s="718">
        <f>+landbouw!N12</f>
        <v>0</v>
      </c>
      <c r="P54" s="718">
        <f>+landbouw!O12</f>
        <v>0</v>
      </c>
      <c r="Q54" s="719">
        <f>+landbouw!P12</f>
        <v>0</v>
      </c>
      <c r="R54" s="747">
        <f ca="1">SUM(C54:Q54)</f>
        <v>893.33792442104868</v>
      </c>
    </row>
    <row r="55" spans="1:18" ht="15" thickBot="1">
      <c r="A55" s="850" t="s">
        <v>734</v>
      </c>
      <c r="B55" s="860"/>
      <c r="C55" s="718">
        <f ca="1">C25*'EF ele_warmte'!B12</f>
        <v>45.256061172224719</v>
      </c>
      <c r="D55" s="718"/>
      <c r="E55" s="718">
        <f>E25*EF_CO2_aardgas</f>
        <v>96.998865204000012</v>
      </c>
      <c r="F55" s="718"/>
      <c r="G55" s="718"/>
      <c r="H55" s="718"/>
      <c r="I55" s="718"/>
      <c r="J55" s="718"/>
      <c r="K55" s="718"/>
      <c r="L55" s="718"/>
      <c r="M55" s="718"/>
      <c r="N55" s="718"/>
      <c r="O55" s="718"/>
      <c r="P55" s="718"/>
      <c r="Q55" s="719"/>
      <c r="R55" s="747">
        <f ca="1">SUM(C55:Q55)</f>
        <v>142.25492637622472</v>
      </c>
    </row>
    <row r="56" spans="1:18" ht="15.75" thickBot="1">
      <c r="A56" s="848" t="s">
        <v>735</v>
      </c>
      <c r="B56" s="861"/>
      <c r="C56" s="748">
        <f ca="1">SUM(C54:C55)</f>
        <v>184.2460849696688</v>
      </c>
      <c r="D56" s="748">
        <f t="shared" ref="D56:Q56" ca="1" si="7">SUM(D54:D55)</f>
        <v>0</v>
      </c>
      <c r="E56" s="748">
        <f t="shared" si="7"/>
        <v>120.01785078634002</v>
      </c>
      <c r="F56" s="748">
        <f t="shared" si="7"/>
        <v>4.9428185264765991</v>
      </c>
      <c r="G56" s="748">
        <f t="shared" si="7"/>
        <v>658.34122068861325</v>
      </c>
      <c r="H56" s="748">
        <f t="shared" si="7"/>
        <v>0</v>
      </c>
      <c r="I56" s="748">
        <f t="shared" si="7"/>
        <v>0</v>
      </c>
      <c r="J56" s="748">
        <f t="shared" si="7"/>
        <v>0</v>
      </c>
      <c r="K56" s="748">
        <f t="shared" si="7"/>
        <v>68.044875826174746</v>
      </c>
      <c r="L56" s="748">
        <f t="shared" si="7"/>
        <v>0</v>
      </c>
      <c r="M56" s="748">
        <f t="shared" si="7"/>
        <v>0</v>
      </c>
      <c r="N56" s="748">
        <f t="shared" si="7"/>
        <v>0</v>
      </c>
      <c r="O56" s="748">
        <f t="shared" si="7"/>
        <v>0</v>
      </c>
      <c r="P56" s="748">
        <f t="shared" si="7"/>
        <v>0</v>
      </c>
      <c r="Q56" s="749">
        <f t="shared" si="7"/>
        <v>0</v>
      </c>
      <c r="R56" s="750">
        <f ca="1">SUM(R54:R55)</f>
        <v>1035.5928507972735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3534.844036154419</v>
      </c>
      <c r="D61" s="756">
        <f t="shared" ref="D61:Q61" ca="1" si="8">D46+D52+D56</f>
        <v>0</v>
      </c>
      <c r="E61" s="756">
        <f t="shared" ca="1" si="8"/>
        <v>3708.3783088688506</v>
      </c>
      <c r="F61" s="756">
        <f t="shared" si="8"/>
        <v>800.41432734878765</v>
      </c>
      <c r="G61" s="756">
        <f t="shared" ca="1" si="8"/>
        <v>6249.4778579710337</v>
      </c>
      <c r="H61" s="756">
        <f t="shared" si="8"/>
        <v>5341.0954796398801</v>
      </c>
      <c r="I61" s="756">
        <f t="shared" si="8"/>
        <v>1231.1010819370626</v>
      </c>
      <c r="J61" s="756">
        <f t="shared" si="8"/>
        <v>0</v>
      </c>
      <c r="K61" s="756">
        <f t="shared" si="8"/>
        <v>1416.8818199639729</v>
      </c>
      <c r="L61" s="756">
        <f t="shared" si="8"/>
        <v>0</v>
      </c>
      <c r="M61" s="756">
        <f t="shared" ca="1" si="8"/>
        <v>0</v>
      </c>
      <c r="N61" s="756">
        <f t="shared" si="8"/>
        <v>0</v>
      </c>
      <c r="O61" s="756">
        <f t="shared" ca="1" si="8"/>
        <v>0</v>
      </c>
      <c r="P61" s="756">
        <f t="shared" si="8"/>
        <v>0</v>
      </c>
      <c r="Q61" s="756">
        <f t="shared" si="8"/>
        <v>0</v>
      </c>
      <c r="R61" s="756">
        <f ca="1">R46+R52+R56</f>
        <v>22282.192911884009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0.19921590130681124</v>
      </c>
      <c r="D63" s="802">
        <f t="shared" ca="1" si="9"/>
        <v>0</v>
      </c>
      <c r="E63" s="1008">
        <f t="shared" ca="1" si="9"/>
        <v>0.20199999999999999</v>
      </c>
      <c r="F63" s="802">
        <f t="shared" si="9"/>
        <v>0.22700000000000004</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1749.0151778848276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1749.0151778848276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1749.0151778848276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1749.0151778848276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12642.137787884825</v>
      </c>
      <c r="C4" s="478">
        <f>huishoudens!C8</f>
        <v>0</v>
      </c>
      <c r="D4" s="478">
        <f>huishoudens!D8</f>
        <v>14924.810829940003</v>
      </c>
      <c r="E4" s="478">
        <f>huishoudens!E8</f>
        <v>3300.0209414465326</v>
      </c>
      <c r="F4" s="478">
        <f>huishoudens!F8</f>
        <v>20216.078400644114</v>
      </c>
      <c r="G4" s="478">
        <f>huishoudens!G8</f>
        <v>0</v>
      </c>
      <c r="H4" s="478">
        <f>huishoudens!H8</f>
        <v>0</v>
      </c>
      <c r="I4" s="478">
        <f>huishoudens!I8</f>
        <v>0</v>
      </c>
      <c r="J4" s="478">
        <f>huishoudens!J8</f>
        <v>3807.1201226442436</v>
      </c>
      <c r="K4" s="478">
        <f>huishoudens!K8</f>
        <v>0</v>
      </c>
      <c r="L4" s="478">
        <f>huishoudens!L8</f>
        <v>0</v>
      </c>
      <c r="M4" s="478">
        <f>huishoudens!M8</f>
        <v>0</v>
      </c>
      <c r="N4" s="478">
        <f>huishoudens!N8</f>
        <v>5224.7782788780842</v>
      </c>
      <c r="O4" s="478">
        <f>huishoudens!O8</f>
        <v>192.44394728054206</v>
      </c>
      <c r="P4" s="479">
        <f>huishoudens!P8</f>
        <v>326.5527385382357</v>
      </c>
      <c r="Q4" s="480">
        <f>SUM(B4:P4)</f>
        <v>60633.943047256573</v>
      </c>
    </row>
    <row r="5" spans="1:17">
      <c r="A5" s="477" t="s">
        <v>155</v>
      </c>
      <c r="B5" s="478">
        <f ca="1">tertiair!B16</f>
        <v>2800.3539019999998</v>
      </c>
      <c r="C5" s="478">
        <f ca="1">tertiair!C16</f>
        <v>0</v>
      </c>
      <c r="D5" s="478">
        <f ca="1">tertiair!D16</f>
        <v>2020.0664465300001</v>
      </c>
      <c r="E5" s="478">
        <f>tertiair!E16</f>
        <v>31.212941806405226</v>
      </c>
      <c r="F5" s="478">
        <f ca="1">tertiair!F16</f>
        <v>337.38408114796221</v>
      </c>
      <c r="G5" s="478">
        <f>tertiair!G16</f>
        <v>0</v>
      </c>
      <c r="H5" s="478">
        <f>tertiair!H16</f>
        <v>0</v>
      </c>
      <c r="I5" s="478">
        <f>tertiair!I16</f>
        <v>0</v>
      </c>
      <c r="J5" s="478">
        <f>tertiair!J16</f>
        <v>9.193407688832313E-3</v>
      </c>
      <c r="K5" s="478">
        <f>tertiair!K16</f>
        <v>0</v>
      </c>
      <c r="L5" s="478">
        <f ca="1">tertiair!L16</f>
        <v>0</v>
      </c>
      <c r="M5" s="478">
        <f>tertiair!M16</f>
        <v>0</v>
      </c>
      <c r="N5" s="478">
        <f ca="1">tertiair!N16</f>
        <v>360.37978486526367</v>
      </c>
      <c r="O5" s="478">
        <f>tertiair!O16</f>
        <v>0</v>
      </c>
      <c r="P5" s="479">
        <f>tertiair!P16</f>
        <v>0</v>
      </c>
      <c r="Q5" s="477">
        <f t="shared" ref="Q5:Q14" ca="1" si="0">SUM(B5:P5)</f>
        <v>5549.4063497573206</v>
      </c>
    </row>
    <row r="6" spans="1:17">
      <c r="A6" s="477" t="s">
        <v>193</v>
      </c>
      <c r="B6" s="478">
        <f>'openbare verlichting'!B8</f>
        <v>449.58499999999998</v>
      </c>
      <c r="C6" s="478"/>
      <c r="D6" s="478"/>
      <c r="E6" s="478"/>
      <c r="F6" s="478"/>
      <c r="G6" s="478"/>
      <c r="H6" s="478"/>
      <c r="I6" s="478"/>
      <c r="J6" s="478"/>
      <c r="K6" s="478"/>
      <c r="L6" s="478"/>
      <c r="M6" s="478"/>
      <c r="N6" s="478"/>
      <c r="O6" s="478"/>
      <c r="P6" s="479"/>
      <c r="Q6" s="477">
        <f t="shared" si="0"/>
        <v>449.58499999999998</v>
      </c>
    </row>
    <row r="7" spans="1:17">
      <c r="A7" s="477" t="s">
        <v>111</v>
      </c>
      <c r="B7" s="478">
        <f>landbouw!B8</f>
        <v>697.68538999999998</v>
      </c>
      <c r="C7" s="478">
        <f>landbouw!C8</f>
        <v>0</v>
      </c>
      <c r="D7" s="478">
        <f>landbouw!D8</f>
        <v>113.95537417000001</v>
      </c>
      <c r="E7" s="478">
        <f>landbouw!E8</f>
        <v>21.774530953641406</v>
      </c>
      <c r="F7" s="478">
        <f>landbouw!F8</f>
        <v>2465.6974557625963</v>
      </c>
      <c r="G7" s="478">
        <f>landbouw!G8</f>
        <v>0</v>
      </c>
      <c r="H7" s="478">
        <f>landbouw!H8</f>
        <v>0</v>
      </c>
      <c r="I7" s="478">
        <f>landbouw!I8</f>
        <v>0</v>
      </c>
      <c r="J7" s="478">
        <f>landbouw!J8</f>
        <v>192.21716335077613</v>
      </c>
      <c r="K7" s="478">
        <f>landbouw!K8</f>
        <v>0</v>
      </c>
      <c r="L7" s="478">
        <f>landbouw!L8</f>
        <v>0</v>
      </c>
      <c r="M7" s="478">
        <f>landbouw!M8</f>
        <v>0</v>
      </c>
      <c r="N7" s="478">
        <f>landbouw!N8</f>
        <v>0</v>
      </c>
      <c r="O7" s="478">
        <f>landbouw!O8</f>
        <v>0</v>
      </c>
      <c r="P7" s="479">
        <f>landbouw!P8</f>
        <v>0</v>
      </c>
      <c r="Q7" s="477">
        <f t="shared" si="0"/>
        <v>3491.3299142370138</v>
      </c>
    </row>
    <row r="8" spans="1:17">
      <c r="A8" s="477" t="s">
        <v>629</v>
      </c>
      <c r="B8" s="478">
        <f>industrie!B18</f>
        <v>911.40943100000004</v>
      </c>
      <c r="C8" s="478">
        <f>industrie!C18</f>
        <v>0</v>
      </c>
      <c r="D8" s="478">
        <f>industrie!D18</f>
        <v>752.66146232200003</v>
      </c>
      <c r="E8" s="478">
        <f>industrie!E18</f>
        <v>122.26663935491017</v>
      </c>
      <c r="F8" s="478">
        <f>industrie!F18</f>
        <v>387.12417469638945</v>
      </c>
      <c r="G8" s="478">
        <f>industrie!G18</f>
        <v>0</v>
      </c>
      <c r="H8" s="478">
        <f>industrie!H18</f>
        <v>0</v>
      </c>
      <c r="I8" s="478">
        <f>industrie!I18</f>
        <v>0</v>
      </c>
      <c r="J8" s="478">
        <f>industrie!J18</f>
        <v>3.1445374446728138</v>
      </c>
      <c r="K8" s="478">
        <f>industrie!K18</f>
        <v>0</v>
      </c>
      <c r="L8" s="478">
        <f>industrie!L18</f>
        <v>0</v>
      </c>
      <c r="M8" s="478">
        <f>industrie!M18</f>
        <v>0</v>
      </c>
      <c r="N8" s="478">
        <f>industrie!N18</f>
        <v>51.090324551212632</v>
      </c>
      <c r="O8" s="478">
        <f>industrie!O18</f>
        <v>0</v>
      </c>
      <c r="P8" s="479">
        <f>industrie!P18</f>
        <v>0</v>
      </c>
      <c r="Q8" s="477">
        <f t="shared" si="0"/>
        <v>2227.6965693691855</v>
      </c>
    </row>
    <row r="9" spans="1:17" s="483" customFormat="1">
      <c r="A9" s="481" t="s">
        <v>555</v>
      </c>
      <c r="B9" s="482">
        <f>transport!B14</f>
        <v>15.442133363888887</v>
      </c>
      <c r="C9" s="482">
        <f>transport!C14</f>
        <v>0</v>
      </c>
      <c r="D9" s="482">
        <f>transport!D14</f>
        <v>66.621944784779998</v>
      </c>
      <c r="E9" s="482">
        <f>transport!E14</f>
        <v>50.77925193977778</v>
      </c>
      <c r="F9" s="482">
        <f>transport!F14</f>
        <v>0</v>
      </c>
      <c r="G9" s="482">
        <f>transport!G14</f>
        <v>19585.172062312653</v>
      </c>
      <c r="H9" s="482">
        <f>transport!H14</f>
        <v>4944.181051956075</v>
      </c>
      <c r="I9" s="482">
        <f>transport!I14</f>
        <v>0</v>
      </c>
      <c r="J9" s="482">
        <f>transport!J14</f>
        <v>0</v>
      </c>
      <c r="K9" s="482">
        <f>transport!K14</f>
        <v>0</v>
      </c>
      <c r="L9" s="482">
        <f>transport!L14</f>
        <v>0</v>
      </c>
      <c r="M9" s="482">
        <f>transport!M14</f>
        <v>1454.2717653581731</v>
      </c>
      <c r="N9" s="482">
        <f>transport!N14</f>
        <v>0</v>
      </c>
      <c r="O9" s="482">
        <f>transport!O14</f>
        <v>0</v>
      </c>
      <c r="P9" s="482">
        <f>transport!P14</f>
        <v>0</v>
      </c>
      <c r="Q9" s="481">
        <f>SUM(B9:P9)</f>
        <v>26116.468209715349</v>
      </c>
    </row>
    <row r="10" spans="1:17">
      <c r="A10" s="477" t="s">
        <v>545</v>
      </c>
      <c r="B10" s="478">
        <f>transport!B54</f>
        <v>0</v>
      </c>
      <c r="C10" s="478">
        <f>transport!C54</f>
        <v>0</v>
      </c>
      <c r="D10" s="478">
        <f>transport!D54</f>
        <v>0</v>
      </c>
      <c r="E10" s="478">
        <f>transport!E54</f>
        <v>0</v>
      </c>
      <c r="F10" s="478">
        <f>transport!F54</f>
        <v>0</v>
      </c>
      <c r="G10" s="478">
        <f>transport!G54</f>
        <v>418.93085768689679</v>
      </c>
      <c r="H10" s="478">
        <f>transport!H54</f>
        <v>0</v>
      </c>
      <c r="I10" s="478">
        <f>transport!I54</f>
        <v>0</v>
      </c>
      <c r="J10" s="478">
        <f>transport!J54</f>
        <v>0</v>
      </c>
      <c r="K10" s="478">
        <f>transport!K54</f>
        <v>0</v>
      </c>
      <c r="L10" s="478">
        <f>transport!L54</f>
        <v>0</v>
      </c>
      <c r="M10" s="478">
        <f>transport!M54</f>
        <v>23.28422342239077</v>
      </c>
      <c r="N10" s="478">
        <f>transport!N54</f>
        <v>0</v>
      </c>
      <c r="O10" s="478">
        <f>transport!O54</f>
        <v>0</v>
      </c>
      <c r="P10" s="479">
        <f>transport!P54</f>
        <v>0</v>
      </c>
      <c r="Q10" s="477">
        <f t="shared" si="0"/>
        <v>442.21508110928755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227.170928</v>
      </c>
      <c r="C14" s="485"/>
      <c r="D14" s="485">
        <f>'SEAP template'!E25</f>
        <v>480.19240200000002</v>
      </c>
      <c r="E14" s="485"/>
      <c r="F14" s="485"/>
      <c r="G14" s="485"/>
      <c r="H14" s="485"/>
      <c r="I14" s="485"/>
      <c r="J14" s="485"/>
      <c r="K14" s="485"/>
      <c r="L14" s="485"/>
      <c r="M14" s="485"/>
      <c r="N14" s="485"/>
      <c r="O14" s="485"/>
      <c r="P14" s="486"/>
      <c r="Q14" s="477">
        <f t="shared" si="0"/>
        <v>707.36333000000002</v>
      </c>
    </row>
    <row r="15" spans="1:17" s="489" customFormat="1">
      <c r="A15" s="487" t="s">
        <v>549</v>
      </c>
      <c r="B15" s="488">
        <f ca="1">SUM(B4:B14)</f>
        <v>17743.784572248711</v>
      </c>
      <c r="C15" s="488">
        <f t="shared" ref="C15:Q15" ca="1" si="1">SUM(C4:C14)</f>
        <v>0</v>
      </c>
      <c r="D15" s="488">
        <f t="shared" ca="1" si="1"/>
        <v>18358.308459746786</v>
      </c>
      <c r="E15" s="488">
        <f t="shared" si="1"/>
        <v>3526.0543055012668</v>
      </c>
      <c r="F15" s="488">
        <f t="shared" ca="1" si="1"/>
        <v>23406.284112251062</v>
      </c>
      <c r="G15" s="488">
        <f t="shared" si="1"/>
        <v>20004.10291999955</v>
      </c>
      <c r="H15" s="488">
        <f t="shared" si="1"/>
        <v>4944.181051956075</v>
      </c>
      <c r="I15" s="488">
        <f t="shared" si="1"/>
        <v>0</v>
      </c>
      <c r="J15" s="488">
        <f t="shared" si="1"/>
        <v>4002.4910168473816</v>
      </c>
      <c r="K15" s="488">
        <f t="shared" si="1"/>
        <v>0</v>
      </c>
      <c r="L15" s="488">
        <f t="shared" ca="1" si="1"/>
        <v>0</v>
      </c>
      <c r="M15" s="488">
        <f t="shared" si="1"/>
        <v>1477.5559887805639</v>
      </c>
      <c r="N15" s="488">
        <f t="shared" ca="1" si="1"/>
        <v>5636.2483882945608</v>
      </c>
      <c r="O15" s="488">
        <f t="shared" si="1"/>
        <v>192.44394728054206</v>
      </c>
      <c r="P15" s="488">
        <f t="shared" si="1"/>
        <v>326.5527385382357</v>
      </c>
      <c r="Q15" s="488">
        <f t="shared" ca="1" si="1"/>
        <v>99618.007501444721</v>
      </c>
    </row>
    <row r="17" spans="1:17">
      <c r="A17" s="490" t="s">
        <v>550</v>
      </c>
      <c r="B17" s="807">
        <f ca="1">huishoudens!B10</f>
        <v>0.19921590130681122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2518.5148738583721</v>
      </c>
      <c r="C22" s="478">
        <f t="shared" ref="C22:C32" ca="1" si="3">C4*$C$17</f>
        <v>0</v>
      </c>
      <c r="D22" s="478">
        <f t="shared" ref="D22:D32" si="4">D4*$D$17</f>
        <v>3014.8117876478809</v>
      </c>
      <c r="E22" s="478">
        <f t="shared" ref="E22:E32" si="5">E4*$E$17</f>
        <v>749.10475370836286</v>
      </c>
      <c r="F22" s="478">
        <f t="shared" ref="F22:F32" si="6">F4*$F$17</f>
        <v>5397.6929329719787</v>
      </c>
      <c r="G22" s="478">
        <f t="shared" ref="G22:G32" si="7">G4*$G$17</f>
        <v>0</v>
      </c>
      <c r="H22" s="478">
        <f t="shared" ref="H22:H32" si="8">H4*$H$17</f>
        <v>0</v>
      </c>
      <c r="I22" s="478">
        <f t="shared" ref="I22:I32" si="9">I4*$I$17</f>
        <v>0</v>
      </c>
      <c r="J22" s="478">
        <f t="shared" ref="J22:J32" si="10">J4*$J$17</f>
        <v>1347.7205234160622</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13027.844871602658</v>
      </c>
    </row>
    <row r="23" spans="1:17">
      <c r="A23" s="477" t="s">
        <v>155</v>
      </c>
      <c r="B23" s="478">
        <f t="shared" ca="1" si="2"/>
        <v>557.87502656497566</v>
      </c>
      <c r="C23" s="478">
        <f t="shared" ca="1" si="3"/>
        <v>0</v>
      </c>
      <c r="D23" s="478">
        <f t="shared" ca="1" si="4"/>
        <v>408.05342219906004</v>
      </c>
      <c r="E23" s="478">
        <f t="shared" si="5"/>
        <v>7.0853377900539867</v>
      </c>
      <c r="F23" s="478">
        <f t="shared" ca="1" si="6"/>
        <v>90.081549666505907</v>
      </c>
      <c r="G23" s="478">
        <f t="shared" si="7"/>
        <v>0</v>
      </c>
      <c r="H23" s="478">
        <f t="shared" si="8"/>
        <v>0</v>
      </c>
      <c r="I23" s="478">
        <f t="shared" si="9"/>
        <v>0</v>
      </c>
      <c r="J23" s="478">
        <f t="shared" si="10"/>
        <v>3.2544663218466384E-3</v>
      </c>
      <c r="K23" s="478">
        <f t="shared" si="11"/>
        <v>0</v>
      </c>
      <c r="L23" s="478">
        <f t="shared" ca="1" si="12"/>
        <v>0</v>
      </c>
      <c r="M23" s="478">
        <f t="shared" si="13"/>
        <v>0</v>
      </c>
      <c r="N23" s="478">
        <f t="shared" ca="1" si="14"/>
        <v>0</v>
      </c>
      <c r="O23" s="478">
        <f t="shared" si="15"/>
        <v>0</v>
      </c>
      <c r="P23" s="479">
        <f t="shared" si="16"/>
        <v>0</v>
      </c>
      <c r="Q23" s="477">
        <f t="shared" ref="Q23:Q31" ca="1" si="17">SUM(B23:P23)</f>
        <v>1063.0985906869173</v>
      </c>
    </row>
    <row r="24" spans="1:17">
      <c r="A24" s="477" t="s">
        <v>193</v>
      </c>
      <c r="B24" s="478">
        <f t="shared" ca="1" si="2"/>
        <v>89.564480989022712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89.564480989022712</v>
      </c>
    </row>
    <row r="25" spans="1:17">
      <c r="A25" s="477" t="s">
        <v>111</v>
      </c>
      <c r="B25" s="478">
        <f t="shared" ca="1" si="2"/>
        <v>138.99002379744408</v>
      </c>
      <c r="C25" s="478">
        <f t="shared" ca="1" si="3"/>
        <v>0</v>
      </c>
      <c r="D25" s="478">
        <f t="shared" si="4"/>
        <v>23.018985582340004</v>
      </c>
      <c r="E25" s="478">
        <f t="shared" si="5"/>
        <v>4.9428185264765991</v>
      </c>
      <c r="F25" s="478">
        <f t="shared" si="6"/>
        <v>658.34122068861325</v>
      </c>
      <c r="G25" s="478">
        <f t="shared" si="7"/>
        <v>0</v>
      </c>
      <c r="H25" s="478">
        <f t="shared" si="8"/>
        <v>0</v>
      </c>
      <c r="I25" s="478">
        <f t="shared" si="9"/>
        <v>0</v>
      </c>
      <c r="J25" s="478">
        <f t="shared" si="10"/>
        <v>68.044875826174746</v>
      </c>
      <c r="K25" s="478">
        <f t="shared" si="11"/>
        <v>0</v>
      </c>
      <c r="L25" s="478">
        <f t="shared" si="12"/>
        <v>0</v>
      </c>
      <c r="M25" s="478">
        <f t="shared" si="13"/>
        <v>0</v>
      </c>
      <c r="N25" s="478">
        <f t="shared" si="14"/>
        <v>0</v>
      </c>
      <c r="O25" s="478">
        <f t="shared" si="15"/>
        <v>0</v>
      </c>
      <c r="P25" s="479">
        <f t="shared" si="16"/>
        <v>0</v>
      </c>
      <c r="Q25" s="477">
        <f t="shared" ca="1" si="17"/>
        <v>893.33792442104868</v>
      </c>
    </row>
    <row r="26" spans="1:17">
      <c r="A26" s="477" t="s">
        <v>629</v>
      </c>
      <c r="B26" s="478">
        <f t="shared" ca="1" si="2"/>
        <v>181.56725125619298</v>
      </c>
      <c r="C26" s="478">
        <f t="shared" ca="1" si="3"/>
        <v>0</v>
      </c>
      <c r="D26" s="478">
        <f t="shared" si="4"/>
        <v>152.03761538904402</v>
      </c>
      <c r="E26" s="478">
        <f t="shared" si="5"/>
        <v>27.754527133564608</v>
      </c>
      <c r="F26" s="478">
        <f t="shared" si="6"/>
        <v>103.36215464393599</v>
      </c>
      <c r="G26" s="478">
        <f t="shared" si="7"/>
        <v>0</v>
      </c>
      <c r="H26" s="478">
        <f t="shared" si="8"/>
        <v>0</v>
      </c>
      <c r="I26" s="478">
        <f t="shared" si="9"/>
        <v>0</v>
      </c>
      <c r="J26" s="478">
        <f t="shared" si="10"/>
        <v>1.1131662554141761</v>
      </c>
      <c r="K26" s="478">
        <f t="shared" si="11"/>
        <v>0</v>
      </c>
      <c r="L26" s="478">
        <f t="shared" si="12"/>
        <v>0</v>
      </c>
      <c r="M26" s="478">
        <f t="shared" si="13"/>
        <v>0</v>
      </c>
      <c r="N26" s="478">
        <f t="shared" si="14"/>
        <v>0</v>
      </c>
      <c r="O26" s="478">
        <f t="shared" si="15"/>
        <v>0</v>
      </c>
      <c r="P26" s="479">
        <f t="shared" si="16"/>
        <v>0</v>
      </c>
      <c r="Q26" s="477">
        <f t="shared" ca="1" si="17"/>
        <v>465.83471467815178</v>
      </c>
    </row>
    <row r="27" spans="1:17" s="483" customFormat="1">
      <c r="A27" s="481" t="s">
        <v>555</v>
      </c>
      <c r="B27" s="801">
        <f t="shared" ca="1" si="2"/>
        <v>3.0763185161871052</v>
      </c>
      <c r="C27" s="482">
        <f t="shared" ca="1" si="3"/>
        <v>0</v>
      </c>
      <c r="D27" s="482">
        <f t="shared" si="4"/>
        <v>13.457632846525561</v>
      </c>
      <c r="E27" s="482">
        <f t="shared" si="5"/>
        <v>11.526890190329556</v>
      </c>
      <c r="F27" s="482">
        <f t="shared" si="6"/>
        <v>0</v>
      </c>
      <c r="G27" s="482">
        <f t="shared" si="7"/>
        <v>5229.2409406374791</v>
      </c>
      <c r="H27" s="482">
        <f t="shared" si="8"/>
        <v>1231.1010819370626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6488.4028641275836</v>
      </c>
    </row>
    <row r="28" spans="1:17" ht="16.5" customHeight="1">
      <c r="A28" s="477" t="s">
        <v>545</v>
      </c>
      <c r="B28" s="478">
        <f t="shared" ca="1" si="2"/>
        <v>0</v>
      </c>
      <c r="C28" s="478">
        <f t="shared" ca="1" si="3"/>
        <v>0</v>
      </c>
      <c r="D28" s="478">
        <f t="shared" si="4"/>
        <v>0</v>
      </c>
      <c r="E28" s="478">
        <f t="shared" si="5"/>
        <v>0</v>
      </c>
      <c r="F28" s="478">
        <f t="shared" si="6"/>
        <v>0</v>
      </c>
      <c r="G28" s="478">
        <f t="shared" si="7"/>
        <v>111.85453900240145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111.85453900240145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45.256061172224719</v>
      </c>
      <c r="C32" s="478">
        <f t="shared" ca="1" si="3"/>
        <v>0</v>
      </c>
      <c r="D32" s="478">
        <f t="shared" si="4"/>
        <v>96.998865204000012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142.25492637622472</v>
      </c>
    </row>
    <row r="33" spans="1:17" s="489" customFormat="1">
      <c r="A33" s="487" t="s">
        <v>549</v>
      </c>
      <c r="B33" s="488">
        <f ca="1">SUM(B22:B32)</f>
        <v>3534.844036154419</v>
      </c>
      <c r="C33" s="488">
        <f t="shared" ref="C33:Q33" ca="1" si="19">SUM(C22:C32)</f>
        <v>0</v>
      </c>
      <c r="D33" s="488">
        <f t="shared" ca="1" si="19"/>
        <v>3708.3783088688506</v>
      </c>
      <c r="E33" s="488">
        <f t="shared" si="19"/>
        <v>800.41432734878765</v>
      </c>
      <c r="F33" s="488">
        <f t="shared" ca="1" si="19"/>
        <v>6249.4778579710337</v>
      </c>
      <c r="G33" s="488">
        <f t="shared" si="19"/>
        <v>5341.0954796398801</v>
      </c>
      <c r="H33" s="488">
        <f t="shared" si="19"/>
        <v>1231.1010819370626</v>
      </c>
      <c r="I33" s="488">
        <f t="shared" si="19"/>
        <v>0</v>
      </c>
      <c r="J33" s="488">
        <f t="shared" si="19"/>
        <v>1416.8818199639729</v>
      </c>
      <c r="K33" s="488">
        <f t="shared" si="19"/>
        <v>0</v>
      </c>
      <c r="L33" s="488">
        <f t="shared" ca="1" si="19"/>
        <v>0</v>
      </c>
      <c r="M33" s="488">
        <f t="shared" si="19"/>
        <v>0</v>
      </c>
      <c r="N33" s="488">
        <f t="shared" ca="1" si="19"/>
        <v>0</v>
      </c>
      <c r="O33" s="488">
        <f t="shared" si="19"/>
        <v>0</v>
      </c>
      <c r="P33" s="488">
        <f t="shared" si="19"/>
        <v>0</v>
      </c>
      <c r="Q33" s="488">
        <f t="shared" ca="1" si="19"/>
        <v>22282.192911884005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1749.0151778848276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1749.0151778848276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0.19921590130681122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0.19921590130681122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2019-08-12T08:41:09Z</dcterms:modified>
</cp:coreProperties>
</file>