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O15" i="48"/>
  <c r="E27" i="14"/>
  <c r="C10" i="18"/>
  <c r="B15" i="48"/>
  <c r="D15"/>
  <c r="O33"/>
  <c r="I76" i="14"/>
  <c r="I8" i="59" s="1"/>
  <c r="I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32"/>
  <c r="C26"/>
  <c r="F27" i="14"/>
  <c r="F63" s="1"/>
  <c r="C78"/>
  <c r="B78"/>
  <c r="B12" i="6" l="1"/>
  <c r="B16" i="22" s="1"/>
  <c r="B18" s="1"/>
  <c r="B4" i="6"/>
  <c r="C22" i="48"/>
  <c r="C33" s="1"/>
  <c r="C28"/>
  <c r="C23"/>
  <c r="C30"/>
  <c r="C27"/>
  <c r="C29"/>
  <c r="C25"/>
  <c r="C31"/>
  <c r="B18" i="15"/>
  <c r="B20" s="1"/>
  <c r="B20" i="16" l="1"/>
  <c r="B22" s="1"/>
  <c r="C43" i="14" s="1"/>
  <c r="R43" s="1"/>
  <c r="B17" i="19"/>
  <c r="B19" s="1"/>
  <c r="C12" i="59"/>
  <c r="B29" i="20"/>
  <c r="B31" s="1"/>
  <c r="B10" i="9"/>
  <c r="B12" s="1"/>
  <c r="C55" i="14"/>
  <c r="R55" s="1"/>
  <c r="B10" i="13"/>
  <c r="B12" s="1"/>
  <c r="B56" i="22"/>
  <c r="B58" s="1"/>
  <c r="C49" i="14" s="1"/>
  <c r="R49" s="1"/>
  <c r="B17" i="49"/>
  <c r="B19" s="1"/>
  <c r="C42" i="14" s="1"/>
  <c r="R42" s="1"/>
  <c r="B10" i="17"/>
  <c r="B12" s="1"/>
  <c r="C54" i="14" s="1"/>
  <c r="R54" s="1"/>
  <c r="R56" s="1"/>
  <c r="C39"/>
  <c r="R39" s="1"/>
  <c r="C48"/>
  <c r="R48" s="1"/>
  <c r="C50"/>
  <c r="R50" s="1"/>
  <c r="C40"/>
  <c r="R40" s="1"/>
  <c r="B17" i="48" l="1"/>
  <c r="B32" s="1"/>
  <c r="Q32" s="1"/>
  <c r="R52" i="14"/>
  <c r="C52"/>
  <c r="C41"/>
  <c r="R41" s="1"/>
  <c r="R46" s="1"/>
  <c r="B26" i="48"/>
  <c r="Q26" s="1"/>
  <c r="B31"/>
  <c r="Q31" s="1"/>
  <c r="B22"/>
  <c r="B25" l="1"/>
  <c r="Q25" s="1"/>
  <c r="B29"/>
  <c r="Q29" s="1"/>
  <c r="B30"/>
  <c r="Q30" s="1"/>
  <c r="B28"/>
  <c r="Q28" s="1"/>
  <c r="B27"/>
  <c r="Q27" s="1"/>
  <c r="B24"/>
  <c r="Q24" s="1"/>
  <c r="B23"/>
  <c r="Q23"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<sst xmlns="http://schemas.openxmlformats.org/spreadsheetml/2006/main" count="2420" uniqueCount="899">
  <si>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</si>
  <si>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</si>
  <si>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</si>
  <si>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</si>
  <si>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</si>
  <si>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</si>
  <si>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</si>
  <si>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</si>
  <si>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</si>
  <si>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</si>
  <si>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</si>
  <si>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</si>
  <si>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</si>
  <si>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</si>
  <si>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</si>
  <si>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</si>
  <si>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</si>
  <si>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</si>
  <si>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</si>
  <si>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</si>
  <si>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</si>
  <si>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</si>
  <si>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</si>
  <si>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</si>
  <si>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</si>
  <si>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</si>
  <si>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</si>
  <si>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</si>
  <si>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</si>
  <si>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</si>
  <si>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</si>
  <si>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</si>
  <si>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</si>
  <si>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</si>
  <si>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</si>
  <si>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</si>
  <si>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</si>
  <si>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</si>
  <si>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</si>
  <si>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</si>
  <si>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</si>
  <si>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</si>
  <si>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</si>
  <si>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</si>
  <si>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</si>
  <si>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</si>
  <si>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</si>
  <si>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</si>
  <si>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</si>
  <si>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</si>
  <si>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</si>
  <si>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</si>
  <si>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</si>
  <si>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</si>
  <si>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</si>
  <si>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</si>
  <si>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</si>
  <si>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</si>
  <si>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</si>
  <si>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</si>
  <si>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</si>
  <si>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</si>
  <si>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</si>
  <si>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</si>
  <si>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</si>
  <si>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</si>
  <si>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</si>
  <si>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</si>
  <si>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</si>
  <si>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</si>
  <si>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</si>
  <si>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</si>
  <si>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</si>
  <si>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</si>
  <si>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</si>
  <si>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</si>
  <si>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</si>
  <si>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</si>
  <si>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</si>
  <si>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</si>
  <si>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</si>
  <si>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</si>
  <si>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</si>
  <si>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</si>
  <si>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</si>
  <si>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</si>
  <si>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</si>
  <si>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</si>
  <si>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</si>
  <si>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</si>
  <si>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</si>
  <si>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</si>
  <si>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</si>
  <si>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</si>
  <si>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</si>
  <si>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</si>
  <si>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</si>
  <si>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</si>
  <si>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</si>
  <si>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</si>
  <si>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</si>
  <si>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</si>
  <si>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</si>
  <si>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</si>
  <si>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</si>
  <si>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</si>
  <si>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</si>
  <si>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</si>
  <si>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</si>
  <si>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</si>
  <si>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</si>
  <si>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</si>
  <si>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</si>
  <si>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</si>
  <si>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</si>
  <si>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</si>
  <si>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</si>
  <si>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</si>
  <si>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</si>
  <si>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</si>
  <si>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</si>
  <si>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</si>
  <si>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</si>
  <si>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</si>
  <si>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</si>
  <si>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</si>
  <si>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</si>
  <si>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</si>
  <si>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</si>
  <si>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</si>
  <si>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</si>
  <si>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</si>
  <si>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</si>
  <si>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</si>
  <si>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</si>
  <si>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</si>
  <si>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</si>
  <si>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</si>
  <si>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</si>
  <si>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</si>
  <si>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</si>
  <si>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</si>
  <si>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</si>
  <si>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</si>
  <si>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</si>
  <si>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</si>
  <si>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</si>
  <si>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</si>
  <si>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</si>
  <si>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</si>
  <si>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</si>
  <si>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</si>
  <si>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</si>
  <si>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</si>
  <si>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</si>
  <si>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</si>
  <si>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</si>
  <si>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</si>
  <si>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</si>
  <si>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</si>
  <si>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</si>
  <si>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</si>
  <si>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</si>
  <si>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</si>
  <si>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</si>
  <si>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</si>
  <si>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</si>
  <si>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</si>
  <si>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</si>
  <si>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</si>
  <si>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</si>
  <si>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</si>
  <si>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</si>
  <si>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</si>
  <si>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</si>
  <si>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</si>
  <si>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</si>
  <si>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</si>
  <si>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</si>
  <si>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</si>
  <si>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</si>
  <si>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</si>
  <si>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</si>
  <si>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</si>
  <si>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</si>
  <si>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</si>
  <si>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</si>
  <si>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</si>
  <si>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</si>
  <si>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</si>
  <si>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</si>
  <si>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</si>
  <si>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</si>
  <si>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</si>
  <si>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</si>
  <si>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</si>
  <si>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</si>
  <si>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</si>
  <si>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</si>
  <si>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</si>
  <si>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</si>
  <si>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</si>
  <si>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</si>
  <si>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</si>
  <si>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</si>
  <si>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</si>
  <si>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</si>
  <si>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</si>
  <si>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</si>
  <si>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</si>
  <si>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</si>
  <si>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</si>
  <si>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</si>
  <si>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</si>
  <si>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</si>
  <si>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</si>
  <si>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</si>
  <si>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</si>
  <si>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</si>
  <si>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</si>
  <si>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</si>
  <si>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</si>
  <si>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</si>
  <si>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</si>
  <si>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</si>
  <si>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</si>
  <si>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</si>
  <si>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</si>
  <si>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</si>
  <si>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</si>
  <si>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</si>
  <si>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</si>
  <si>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</si>
  <si>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</si>
  <si>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</si>
  <si>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</si>
  <si>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</si>
  <si>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</si>
  <si>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</si>
  <si>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</si>
  <si>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</si>
  <si>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</si>
  <si>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</si>
  <si>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</si>
  <si>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</si>
  <si>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</si>
  <si>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</si>
  <si>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</si>
  <si>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</si>
  <si>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</si>
  <si>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</si>
  <si>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</si>
  <si>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</si>
  <si>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</si>
  <si>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</si>
  <si>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</si>
  <si>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</si>
  <si>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</si>
  <si>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</si>
  <si>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</si>
  <si>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</si>
  <si>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</si>
  <si>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</si>
  <si>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</si>
  <si>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</si>
  <si>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</si>
  <si>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</si>
  <si>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</si>
  <si>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</si>
  <si>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</si>
  <si>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</si>
  <si>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</si>
  <si>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</si>
  <si>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</si>
  <si>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</si>
  <si>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</si>
  <si>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</si>
  <si>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</si>
  <si>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</si>
  <si>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</si>
  <si>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</si>
  <si>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</si>
  <si>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</si>
  <si>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</si>
  <si>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</si>
  <si>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</si>
  <si>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</si>
  <si>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</si>
  <si>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</si>
  <si>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</si>
  <si>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</si>
  <si>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</si>
  <si>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</si>
  <si>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</si>
  <si>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</si>
  <si>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</si>
  <si>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</si>
  <si>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</si>
  <si>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</si>
  <si>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</si>
  <si>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</si>
  <si>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</si>
  <si>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</si>
  <si>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</si>
  <si>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</si>
  <si>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</si>
  <si>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</si>
  <si>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</si>
  <si>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</si>
  <si>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</si>
  <si>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</si>
  <si>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</si>
  <si>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</si>
  <si>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</si>
  <si>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</si>
  <si>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</si>
  <si>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</si>
  <si>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</si>
  <si>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</si>
  <si>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</si>
  <si>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</si>
  <si>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</si>
  <si>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</si>
  <si>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</si>
  <si>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</si>
  <si>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</si>
  <si>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</si>
  <si>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</si>
  <si>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</si>
  <si>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</si>
  <si>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</si>
  <si>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</si>
  <si>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</si>
  <si>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</si>
  <si>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</si>
  <si>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</si>
  <si>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</si>
  <si>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</si>
  <si>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</si>
  <si>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</si>
  <si>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</si>
  <si>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</si>
  <si>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</si>
  <si>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</si>
  <si>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</si>
  <si>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</si>
  <si>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</si>
  <si>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</si>
  <si>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</si>
  <si>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</si>
  <si>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</si>
  <si>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</si>
  <si>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</si>
  <si>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</si>
  <si>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</si>
  <si>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</si>
  <si>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</si>
  <si>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</si>
  <si>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</si>
  <si>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</si>
  <si>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</si>
  <si>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</si>
  <si>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</si>
  <si>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</si>
  <si>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</si>
  <si>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</si>
  <si>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</si>
  <si>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</si>
  <si>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</si>
  <si>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</si>
  <si>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</si>
  <si>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</si>
  <si>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</si>
  <si>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</si>
  <si>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</si>
  <si>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</si>
  <si>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</si>
  <si>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</si>
  <si>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</si>
  <si>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</si>
  <si>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</si>
  <si>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</si>
  <si>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</si>
  <si>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</si>
  <si>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</si>
  <si>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</si>
  <si>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</si>
  <si>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</si>
  <si>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</si>
  <si>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</si>
  <si>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</si>
  <si>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</si>
  <si>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</si>
  <si>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</si>
  <si>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</si>
  <si>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</si>
  <si>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</si>
  <si>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</si>
  <si>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</si>
  <si>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</si>
  <si>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</si>
  <si>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</si>
  <si>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</si>
  <si>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</si>
  <si>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</si>
  <si>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</si>
  <si>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</si>
  <si>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</si>
  <si>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</si>
  <si>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</si>
  <si>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</si>
  <si>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</si>
  <si>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</si>
  <si>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</si>
  <si>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</si>
  <si>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</si>
  <si>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</si>
  <si>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</si>
  <si>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</si>
  <si>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</si>
  <si>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</si>
  <si>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</si>
  <si>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</si>
  <si>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</si>
  <si>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</si>
  <si>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</si>
  <si>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</si>
  <si>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</si>
  <si>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</si>
  <si>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</si>
  <si>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</si>
  <si>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</si>
  <si>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</si>
  <si>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</si>
  <si>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</si>
  <si>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</si>
  <si>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</si>
  <si>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</si>
  <si>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</si>
  <si>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</si>
  <si>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</si>
  <si>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</si>
  <si>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</si>
  <si>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</si>
  <si>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</si>
  <si>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</si>
  <si>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</si>
  <si>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</si>
  <si>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</si>
  <si>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</si>
  <si>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</si>
  <si>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</si>
  <si>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</si>
  <si>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</si>
  <si>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</si>
  <si>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</si>
  <si>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</si>
  <si>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</si>
  <si>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</si>
  <si>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</si>
  <si>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</si>
  <si>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</si>
  <si>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</si>
  <si>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</si>
  <si>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</si>
  <si>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</si>
  <si>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</si>
  <si>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</si>
  <si>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</si>
  <si>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</si>
  <si>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</si>
  <si>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</si>
  <si>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</si>
  <si>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</si>
  <si>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</si>
  <si>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</si>
  <si>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</si>
  <si>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</si>
  <si>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</si>
  <si>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</si>
  <si>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</si>
  <si>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</si>
  <si>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</si>
  <si>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</si>
  <si>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</si>
  <si>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</si>
  <si>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</si>
  <si>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</si>
  <si>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</si>
  <si>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</si>
  <si>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</si>
  <si>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</si>
  <si>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</si>
  <si>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</si>
  <si>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</si>
  <si>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</si>
  <si>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</si>
  <si>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</si>
  <si>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</si>
  <si>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</si>
  <si>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</si>
  <si>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</si>
  <si>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</si>
  <si>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</si>
  <si>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</si>
  <si>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</si>
  <si>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</si>
  <si>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</si>
  <si>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</si>
  <si>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</si>
  <si>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</si>
  <si>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</si>
  <si>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</si>
  <si>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</si>
  <si>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</si>
  <si>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</si>
  <si>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</si>
  <si>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</si>
  <si>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</si>
  <si>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</si>
  <si>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</si>
  <si>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</si>
  <si>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</si>
  <si>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</si>
  <si>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</si>
  <si>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</si>
  <si>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</si>
  <si>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</si>
  <si>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</si>
  <si>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</si>
  <si>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</si>
  <si>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</si>
  <si>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</si>
  <si>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</si>
  <si>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</si>
  <si>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</si>
  <si>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</si>
  <si>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</si>
  <si>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</si>
  <si>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</si>
  <si>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</si>
  <si>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</si>
  <si>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</si>
  <si>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</si>
  <si>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</si>
  <si>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</si>
  <si>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</si>
  <si>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</si>
  <si>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</si>
  <si>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</si>
  <si>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</si>
  <si>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</si>
  <si>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</si>
  <si>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</si>
  <si>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</si>
  <si>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</si>
  <si>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</si>
  <si>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</si>
  <si>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</si>
  <si>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</si>
  <si>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</si>
  <si>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</si>
  <si>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</si>
  <si>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</si>
  <si>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</si>
  <si>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</si>
  <si>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</si>
  <si>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</si>
  <si>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</si>
  <si>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</si>
  <si>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</si>
  <si>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</si>
  <si>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</si>
  <si>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</si>
  <si>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</si>
  <si>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</si>
  <si>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</si>
  <si>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</si>
  <si>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</si>
  <si>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</si>
  <si>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</si>
  <si>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</si>
  <si>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</si>
  <si>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</si>
  <si>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</si>
  <si>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</si>
  <si>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</si>
  <si>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</si>
  <si>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</si>
  <si>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</si>
  <si>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</si>
  <si>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</si>
  <si>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</si>
  <si>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</si>
  <si>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</si>
  <si>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</si>
  <si>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</si>
  <si>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</si>
  <si>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</si>
  <si>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</si>
  <si>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</si>
  <si>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</si>
  <si>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</si>
  <si>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</si>
  <si>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</si>
  <si>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</si>
  <si>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</si>
  <si>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</si>
  <si>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</si>
  <si>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</si>
  <si>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</si>
  <si>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</si>
  <si>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</si>
  <si>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</si>
  <si>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</si>
  <si>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</si>
  <si>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</si>
  <si>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</si>
  <si>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</si>
  <si>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</si>
  <si>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</si>
  <si>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</si>
  <si>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</si>
  <si>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</si>
  <si>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</si>
  <si>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</si>
  <si>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</si>
  <si>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</si>
  <si>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</si>
  <si>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</si>
  <si>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</si>
  <si>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</si>
  <si>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</si>
  <si>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</si>
  <si>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</si>
  <si>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</si>
  <si>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</si>
  <si>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</si>
  <si>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</si>
  <si>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</si>
  <si>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</si>
  <si>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</si>
  <si>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</si>
  <si>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</si>
  <si>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</si>
  <si>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</si>
  <si>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</si>
  <si>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</si>
  <si>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</si>
  <si>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</si>
  <si>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</si>
  <si>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</si>
  <si>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</si>
  <si>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</si>
  <si>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</si>
  <si>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</si>
  <si>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</si>
  <si>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</si>
  <si>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</si>
  <si>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</si>
  <si>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</si>
  <si>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</si>
  <si>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</si>
  <si>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</si>
  <si>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</si>
  <si>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</si>
  <si>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</si>
  <si>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</si>
  <si>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</si>
  <si>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</si>
  <si>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</si>
  <si>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</si>
  <si>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</si>
  <si>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</si>
  <si>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</si>
  <si>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</si>
  <si>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</si>
  <si>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</si>
  <si>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</si>
  <si>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</si>
  <si>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</si>
  <si>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</si>
  <si>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</si>
  <si>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</si>
  <si>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</si>
  <si>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</si>
  <si>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</si>
  <si>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</si>
  <si>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</si>
  <si>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</si>
  <si>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</si>
  <si>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</si>
  <si>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</si>
  <si>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</si>
  <si>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</si>
  <si>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</si>
  <si>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</si>
  <si>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</si>
  <si>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</si>
  <si>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</si>
  <si>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</si>
  <si>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</si>
  <si>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</si>
  <si>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</si>
  <si>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</si>
  <si>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</si>
  <si>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</si>
  <si>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</si>
  <si>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</si>
  <si>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</si>
  <si>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</si>
  <si>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</si>
  <si>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</si>
  <si>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</si>
  <si>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</si>
  <si>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</si>
  <si>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</si>
  <si>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</si>
  <si>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</si>
  <si>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</si>
  <si>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</si>
  <si>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</si>
  <si>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</si>
  <si>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</si>
  <si>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</si>
  <si>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</si>
  <si>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</si>
  <si>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</si>
  <si>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</si>
  <si>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</si>
  <si>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</si>
  <si>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</si>
  <si>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</si>
  <si>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</si>
  <si>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</si>
  <si>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</si>
  <si>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</si>
  <si>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</si>
  <si>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</si>
  <si>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</si>
  <si>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</si>
  <si>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</si>
  <si>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</si>
  <si>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</si>
  <si>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</si>
  <si>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</si>
  <si>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</si>
  <si>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</si>
  <si>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</si>
  <si>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</si>
  <si>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</si>
  <si>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</si>
  <si>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</si>
  <si>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</si>
  <si>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</si>
  <si>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</si>
  <si>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</si>
  <si>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</si>
  <si>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</si>
  <si>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</si>
  <si>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</si>
  <si>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</si>
  <si>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</si>
  <si>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</si>
  <si>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</si>
  <si>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</si>
  <si>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</si>
  <si>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</si>
  <si>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</si>
  <si>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</si>
  <si>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</si>
  <si>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</si>
  <si>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</si>
  <si>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</si>
  <si>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</si>
  <si>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</si>
  <si>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</si>
  <si>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</si>
  <si>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</si>
  <si>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</si>
  <si>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</si>
  <si>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</si>
  <si>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</si>
  <si>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</si>
  <si>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</si>
  <si>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</si>
  <si>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</si>
  <si>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</si>
  <si>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</si>
  <si>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</si>
  <si>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</si>
  <si>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</si>
  <si>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</si>
  <si>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</si>
  <si>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</si>
  <si>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</si>
  <si>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</si>
  <si>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</si>
  <si>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</si>
  <si>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</si>
  <si>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</si>
  <si>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</si>
  <si>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</si>
  <si>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</si>
  <si>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</si>
  <si>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</si>
  <si>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</si>
  <si>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</si>
  <si>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</si>
  <si>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</si>
  <si>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</si>
  <si>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</si>
  <si>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</si>
  <si>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</si>
  <si>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</si>
  <si>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</si>
  <si>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</si>
  <si>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</si>
  <si>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</si>
  <si>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</si>
  <si>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</si>
  <si>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</si>
  <si>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</si>
  <si>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</si>
  <si>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</si>
  <si>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</si>
  <si>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</si>
  <si>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</si>
  <si>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</si>
  <si>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</si>
  <si>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</si>
  <si>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</si>
  <si>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</si>
  <si>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</si>
  <si>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</si>
  <si>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</si>
  <si>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</si>
  <si>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</si>
  <si>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</si>
  <si>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</si>
  <si>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</si>
  <si>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</si>
  <si>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</si>
  <si>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</si>
  <si>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</si>
  <si>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</si>
  <si>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</si>
  <si>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</si>
  <si>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</si>
  <si>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</si>
  <si>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</si>
  <si>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</si>
  <si>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</si>
  <si>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</si>
  <si>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</si>
  <si>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</si>
  <si>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</si>
  <si>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</si>
  <si>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</si>
  <si>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</si>
  <si>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</si>
  <si>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</si>
  <si>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</si>
  <si>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</si>
  <si>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</si>
  <si>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</si>
  <si>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</si>
  <si>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</si>
  <si>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</si>
  <si>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</si>
  <si>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</si>
  <si>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</si>
  <si>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</si>
  <si>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</si>
  <si>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</si>
  <si>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</si>
  <si>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</si>
  <si>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</si>
  <si>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44080</t>
  </si>
  <si>
    <t>ZOMERGEM</t>
  </si>
  <si>
    <t>Mestbank (maart 2019)</t>
  </si>
  <si>
    <t>Fluvius (februari 2019)</t>
  </si>
  <si>
    <t>referentietaak LNE (2017); Jaarverslag De Lijn (2018)</t>
  </si>
  <si>
    <t>VEA (30 april 2019)</t>
  </si>
  <si>
    <t>VEA (mei 2018)</t>
  </si>
  <si>
    <t>VEA (mei 2019)</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</si>
  <si>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</si>
  <si>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</si>
  <si>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</si>
  <si>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</si>
  <si>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</si>
  <si>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</si>
  <si>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</si>
  <si>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</si>
  <si>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</si>
  <si>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</si>
  <si>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</si>
  <si>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</si>
  <si>
    <t>WKK-0508 Agro-Energiek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</si>
</sst>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72509.036418222851</c:v>
                </c:pt>
                <c:pt idx="1">
                  <c:v>16254.194620034637</c:v>
                </c:pt>
                <c:pt idx="2">
                  <c:v>657.63199999999995</c:v>
                </c:pt>
                <c:pt idx="3">
                  <c:v>44173.902342804162</c:v>
                </c:pt>
                <c:pt idx="4">
                  <c:v>3909.7727108469712</c:v>
                </c:pt>
                <c:pt idx="5">
                  <c:v>37305.897107184697</c:v>
                </c:pt>
                <c:pt idx="6">
                  <c:v>593.90716797820903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72509.036418222851</c:v>
                </c:pt>
                <c:pt idx="1">
                  <c:v>16254.194620034637</c:v>
                </c:pt>
                <c:pt idx="2">
                  <c:v>657.63199999999995</c:v>
                </c:pt>
                <c:pt idx="3">
                  <c:v>44173.902342804162</c:v>
                </c:pt>
                <c:pt idx="4">
                  <c:v>3909.7727108469712</c:v>
                </c:pt>
                <c:pt idx="5">
                  <c:v>37305.897107184697</c:v>
                </c:pt>
                <c:pt idx="6">
                  <c:v>593.90716797820903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10729.296975054296</c:v>
                </c:pt>
                <c:pt idx="1">
                  <c:v>1912.6442749329817</c:v>
                </c:pt>
                <c:pt idx="2">
                  <c:v>7.8199041624040397</c:v>
                </c:pt>
                <c:pt idx="3">
                  <c:v>2495.9567507993161</c:v>
                </c:pt>
                <c:pt idx="4">
                  <c:v>523.02023175870806</c:v>
                </c:pt>
                <c:pt idx="5">
                  <c:v>9237.1243859355272</c:v>
                </c:pt>
                <c:pt idx="6">
                  <c:v>150.22376061391444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10729.296975054296</c:v>
                </c:pt>
                <c:pt idx="1">
                  <c:v>1912.6442749329817</c:v>
                </c:pt>
                <c:pt idx="2">
                  <c:v>7.8199041624040397</c:v>
                </c:pt>
                <c:pt idx="3">
                  <c:v>2495.9567507993161</c:v>
                </c:pt>
                <c:pt idx="4">
                  <c:v>523.02023175870806</c:v>
                </c:pt>
                <c:pt idx="5">
                  <c:v>9237.1243859355272</c:v>
                </c:pt>
                <c:pt idx="6">
                  <c:v>150.22376061391444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44080</v>
      </c>
      <c r="B6" s="415"/>
      <c r="C6" s="416"/>
    </row>
    <row r="7" spans="1:7" s="413" customFormat="1" ht="15.75" customHeight="1">
      <c r="A7" s="417" t="str">
        <f>txtMunicipality</f>
        <v>ZOMERGEM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1.1891003117859289E-2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1.1891003117859289E-2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3511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2758.97</v>
      </c>
    </row>
    <row r="15" spans="1:6">
      <c r="A15" s="348" t="s">
        <v>183</v>
      </c>
      <c r="B15" s="334">
        <v>60</v>
      </c>
    </row>
    <row r="16" spans="1:6">
      <c r="A16" s="348" t="s">
        <v>6</v>
      </c>
      <c r="B16" s="334">
        <v>2839</v>
      </c>
    </row>
    <row r="17" spans="1:6">
      <c r="A17" s="348" t="s">
        <v>7</v>
      </c>
      <c r="B17" s="334">
        <v>560</v>
      </c>
    </row>
    <row r="18" spans="1:6">
      <c r="A18" s="348" t="s">
        <v>8</v>
      </c>
      <c r="B18" s="334">
        <v>1906</v>
      </c>
    </row>
    <row r="19" spans="1:6">
      <c r="A19" s="348" t="s">
        <v>9</v>
      </c>
      <c r="B19" s="334">
        <v>1940</v>
      </c>
    </row>
    <row r="20" spans="1:6">
      <c r="A20" s="348" t="s">
        <v>10</v>
      </c>
      <c r="B20" s="334">
        <v>1272</v>
      </c>
    </row>
    <row r="21" spans="1:6">
      <c r="A21" s="348" t="s">
        <v>11</v>
      </c>
      <c r="B21" s="334">
        <v>2397</v>
      </c>
    </row>
    <row r="22" spans="1:6">
      <c r="A22" s="348" t="s">
        <v>12</v>
      </c>
      <c r="B22" s="334">
        <v>10273</v>
      </c>
    </row>
    <row r="23" spans="1:6">
      <c r="A23" s="348" t="s">
        <v>13</v>
      </c>
      <c r="B23" s="334">
        <v>74</v>
      </c>
    </row>
    <row r="24" spans="1:6">
      <c r="A24" s="348" t="s">
        <v>14</v>
      </c>
      <c r="B24" s="334">
        <v>4</v>
      </c>
    </row>
    <row r="25" spans="1:6">
      <c r="A25" s="348" t="s">
        <v>15</v>
      </c>
      <c r="B25" s="334">
        <v>593</v>
      </c>
    </row>
    <row r="26" spans="1:6">
      <c r="A26" s="348" t="s">
        <v>16</v>
      </c>
      <c r="B26" s="334">
        <v>50</v>
      </c>
    </row>
    <row r="27" spans="1:6">
      <c r="A27" s="348" t="s">
        <v>17</v>
      </c>
      <c r="B27" s="334">
        <v>1052</v>
      </c>
    </row>
    <row r="28" spans="1:6" s="356" customFormat="1">
      <c r="A28" s="355" t="s">
        <v>18</v>
      </c>
      <c r="B28" s="355">
        <v>114891</v>
      </c>
    </row>
    <row r="29" spans="1:6">
      <c r="A29" s="355" t="s">
        <v>713</v>
      </c>
      <c r="B29" s="355">
        <v>79</v>
      </c>
      <c r="C29" s="356"/>
      <c r="D29" s="356"/>
      <c r="E29" s="356"/>
      <c r="F29" s="356"/>
    </row>
    <row r="30" spans="1:6">
      <c r="A30" s="341" t="s">
        <v>714</v>
      </c>
      <c r="B30" s="341">
        <v>23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5</v>
      </c>
      <c r="F38" s="334">
        <v>126080.935</v>
      </c>
    </row>
    <row r="39" spans="1:6">
      <c r="A39" s="348" t="s">
        <v>29</v>
      </c>
      <c r="B39" s="348" t="s">
        <v>30</v>
      </c>
      <c r="C39" s="334">
        <v>1661</v>
      </c>
      <c r="D39" s="334">
        <v>24870589.370000001</v>
      </c>
      <c r="E39" s="334">
        <v>3204</v>
      </c>
      <c r="F39" s="334">
        <v>13167421.9</v>
      </c>
    </row>
    <row r="40" spans="1:6">
      <c r="A40" s="348" t="s">
        <v>29</v>
      </c>
      <c r="B40" s="348" t="s">
        <v>28</v>
      </c>
      <c r="C40" s="334">
        <v>0</v>
      </c>
      <c r="D40" s="334">
        <v>0</v>
      </c>
      <c r="E40" s="334">
        <v>0</v>
      </c>
      <c r="F40" s="334">
        <v>0</v>
      </c>
    </row>
    <row r="41" spans="1:6">
      <c r="A41" s="348" t="s">
        <v>31</v>
      </c>
      <c r="B41" s="348" t="s">
        <v>32</v>
      </c>
      <c r="C41" s="334">
        <v>28</v>
      </c>
      <c r="D41" s="334">
        <v>582890.87100000004</v>
      </c>
      <c r="E41" s="334">
        <v>93</v>
      </c>
      <c r="F41" s="334">
        <v>725400.35600000003</v>
      </c>
    </row>
    <row r="42" spans="1:6">
      <c r="A42" s="348" t="s">
        <v>31</v>
      </c>
      <c r="B42" s="348" t="s">
        <v>33</v>
      </c>
      <c r="C42" s="334">
        <v>0</v>
      </c>
      <c r="D42" s="334">
        <v>0</v>
      </c>
      <c r="E42" s="334">
        <v>3</v>
      </c>
      <c r="F42" s="334">
        <v>13717.105</v>
      </c>
    </row>
    <row r="43" spans="1:6">
      <c r="A43" s="348" t="s">
        <v>31</v>
      </c>
      <c r="B43" s="348" t="s">
        <v>34</v>
      </c>
      <c r="C43" s="334">
        <v>0</v>
      </c>
      <c r="D43" s="334">
        <v>0</v>
      </c>
      <c r="E43" s="334">
        <v>0</v>
      </c>
      <c r="F43" s="334">
        <v>0</v>
      </c>
    </row>
    <row r="44" spans="1:6">
      <c r="A44" s="348" t="s">
        <v>31</v>
      </c>
      <c r="B44" s="348" t="s">
        <v>35</v>
      </c>
      <c r="C44" s="334">
        <v>3</v>
      </c>
      <c r="D44" s="334">
        <v>62891.534</v>
      </c>
      <c r="E44" s="334">
        <v>3</v>
      </c>
      <c r="F44" s="334">
        <v>153974.43400000001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31</v>
      </c>
      <c r="D48" s="334">
        <v>782531.66899999999</v>
      </c>
      <c r="E48" s="334">
        <v>55</v>
      </c>
      <c r="F48" s="334">
        <v>499711.27799999999</v>
      </c>
    </row>
    <row r="49" spans="1:6">
      <c r="A49" s="348" t="s">
        <v>31</v>
      </c>
      <c r="B49" s="348" t="s">
        <v>39</v>
      </c>
      <c r="C49" s="334">
        <v>0</v>
      </c>
      <c r="D49" s="334">
        <v>0</v>
      </c>
      <c r="E49" s="334">
        <v>0</v>
      </c>
      <c r="F49" s="334">
        <v>0</v>
      </c>
    </row>
    <row r="50" spans="1:6">
      <c r="A50" s="348" t="s">
        <v>31</v>
      </c>
      <c r="B50" s="348" t="s">
        <v>40</v>
      </c>
      <c r="C50" s="334">
        <v>0</v>
      </c>
      <c r="D50" s="334">
        <v>0</v>
      </c>
      <c r="E50" s="334">
        <v>4</v>
      </c>
      <c r="F50" s="334">
        <v>197265.16200000001</v>
      </c>
    </row>
    <row r="51" spans="1:6">
      <c r="A51" s="348" t="s">
        <v>41</v>
      </c>
      <c r="B51" s="348" t="s">
        <v>42</v>
      </c>
      <c r="C51" s="334">
        <v>0</v>
      </c>
      <c r="D51" s="334">
        <v>0</v>
      </c>
      <c r="E51" s="334">
        <v>105</v>
      </c>
      <c r="F51" s="334">
        <v>2031485.423</v>
      </c>
    </row>
    <row r="52" spans="1:6">
      <c r="A52" s="348" t="s">
        <v>41</v>
      </c>
      <c r="B52" s="348" t="s">
        <v>28</v>
      </c>
      <c r="C52" s="334">
        <v>8</v>
      </c>
      <c r="D52" s="334">
        <v>171902.29</v>
      </c>
      <c r="E52" s="334">
        <v>14</v>
      </c>
      <c r="F52" s="334">
        <v>293395.34399999998</v>
      </c>
    </row>
    <row r="53" spans="1:6">
      <c r="A53" s="348" t="s">
        <v>43</v>
      </c>
      <c r="B53" s="348" t="s">
        <v>44</v>
      </c>
      <c r="C53" s="334">
        <v>38</v>
      </c>
      <c r="D53" s="334">
        <v>561162.799</v>
      </c>
      <c r="E53" s="334">
        <v>121</v>
      </c>
      <c r="F53" s="334">
        <v>386644.80599999998</v>
      </c>
    </row>
    <row r="54" spans="1:6">
      <c r="A54" s="348" t="s">
        <v>45</v>
      </c>
      <c r="B54" s="348" t="s">
        <v>46</v>
      </c>
      <c r="C54" s="334">
        <v>0</v>
      </c>
      <c r="D54" s="334">
        <v>0</v>
      </c>
      <c r="E54" s="334">
        <v>1</v>
      </c>
      <c r="F54" s="334">
        <v>657632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v>
      </c>
      <c r="D57" s="334">
        <v>1473309.648</v>
      </c>
      <c r="E57" s="334">
        <v>31</v>
      </c>
      <c r="F57" s="334">
        <v>799112.01800000004</v>
      </c>
    </row>
    <row r="58" spans="1:6">
      <c r="A58" s="348" t="s">
        <v>48</v>
      </c>
      <c r="B58" s="348" t="s">
        <v>50</v>
      </c>
      <c r="C58" s="334">
        <v>10</v>
      </c>
      <c r="D58" s="334">
        <v>1778638.0530000001</v>
      </c>
      <c r="E58" s="334">
        <v>19</v>
      </c>
      <c r="F58" s="334">
        <v>105832.803</v>
      </c>
    </row>
    <row r="59" spans="1:6">
      <c r="A59" s="348" t="s">
        <v>48</v>
      </c>
      <c r="B59" s="348" t="s">
        <v>51</v>
      </c>
      <c r="C59" s="334">
        <v>15</v>
      </c>
      <c r="D59" s="334">
        <v>759535.576</v>
      </c>
      <c r="E59" s="334">
        <v>49</v>
      </c>
      <c r="F59" s="334">
        <v>1553895.11</v>
      </c>
    </row>
    <row r="60" spans="1:6">
      <c r="A60" s="348" t="s">
        <v>48</v>
      </c>
      <c r="B60" s="348" t="s">
        <v>52</v>
      </c>
      <c r="C60" s="334">
        <v>13</v>
      </c>
      <c r="D60" s="334">
        <v>686536.55900000001</v>
      </c>
      <c r="E60" s="334">
        <v>21</v>
      </c>
      <c r="F60" s="334">
        <v>512849.46299999999</v>
      </c>
    </row>
    <row r="61" spans="1:6">
      <c r="A61" s="348" t="s">
        <v>48</v>
      </c>
      <c r="B61" s="348" t="s">
        <v>53</v>
      </c>
      <c r="C61" s="334">
        <v>77</v>
      </c>
      <c r="D61" s="334">
        <v>1971774.3</v>
      </c>
      <c r="E61" s="334">
        <v>172</v>
      </c>
      <c r="F61" s="334">
        <v>1130518.1159999999</v>
      </c>
    </row>
    <row r="62" spans="1:6">
      <c r="A62" s="348" t="s">
        <v>48</v>
      </c>
      <c r="B62" s="348" t="s">
        <v>54</v>
      </c>
      <c r="C62" s="334">
        <v>0</v>
      </c>
      <c r="D62" s="334">
        <v>0</v>
      </c>
      <c r="E62" s="334">
        <v>3</v>
      </c>
      <c r="F62" s="334">
        <v>12380.398999999999</v>
      </c>
    </row>
    <row r="63" spans="1:6">
      <c r="A63" s="348" t="s">
        <v>48</v>
      </c>
      <c r="B63" s="348" t="s">
        <v>28</v>
      </c>
      <c r="C63" s="334">
        <v>76</v>
      </c>
      <c r="D63" s="334">
        <v>2147221.1630000002</v>
      </c>
      <c r="E63" s="334">
        <v>159</v>
      </c>
      <c r="F63" s="334">
        <v>2532670.0329999998</v>
      </c>
    </row>
    <row r="64" spans="1:6">
      <c r="A64" s="348" t="s">
        <v>55</v>
      </c>
      <c r="B64" s="348" t="s">
        <v>56</v>
      </c>
      <c r="C64" s="334">
        <v>0</v>
      </c>
      <c r="D64" s="334">
        <v>0</v>
      </c>
      <c r="E64" s="334">
        <v>0</v>
      </c>
      <c r="F64" s="334">
        <v>0</v>
      </c>
    </row>
    <row r="65" spans="1:6">
      <c r="A65" s="348" t="s">
        <v>55</v>
      </c>
      <c r="B65" s="348" t="s">
        <v>28</v>
      </c>
      <c r="C65" s="334">
        <v>3</v>
      </c>
      <c r="D65" s="334">
        <v>103725.22900000001</v>
      </c>
      <c r="E65" s="334">
        <v>1</v>
      </c>
      <c r="F65" s="334">
        <v>86492.875</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3</v>
      </c>
      <c r="D68" s="334">
        <v>55960.775000000001</v>
      </c>
      <c r="E68" s="334">
        <v>12</v>
      </c>
      <c r="F68" s="334">
        <v>56533.91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13055551</v>
      </c>
      <c r="E73" s="476"/>
    </row>
    <row r="74" spans="1:6">
      <c r="A74" s="348" t="s">
        <v>63</v>
      </c>
      <c r="B74" s="348" t="s">
        <v>651</v>
      </c>
      <c r="C74" s="1307" t="s">
        <v>653</v>
      </c>
      <c r="D74" s="476">
        <v>953065.5</v>
      </c>
      <c r="E74" s="476"/>
    </row>
    <row r="75" spans="1:6">
      <c r="A75" s="348" t="s">
        <v>64</v>
      </c>
      <c r="B75" s="348" t="s">
        <v>650</v>
      </c>
      <c r="C75" s="1307" t="s">
        <v>654</v>
      </c>
      <c r="D75" s="476">
        <v>26620163</v>
      </c>
      <c r="E75" s="476"/>
    </row>
    <row r="76" spans="1:6">
      <c r="A76" s="348" t="s">
        <v>64</v>
      </c>
      <c r="B76" s="348" t="s">
        <v>651</v>
      </c>
      <c r="C76" s="1307" t="s">
        <v>655</v>
      </c>
      <c r="D76" s="476">
        <v>725842.5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164995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1912.3132460905024</v>
      </c>
    </row>
    <row r="92" spans="1:6">
      <c r="A92" s="341" t="s">
        <v>68</v>
      </c>
      <c r="B92" s="342">
        <v>423.27870749782051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570</v>
      </c>
    </row>
    <row r="98" spans="1:6">
      <c r="A98" s="348" t="s">
        <v>71</v>
      </c>
      <c r="B98" s="334">
        <v>0</v>
      </c>
    </row>
    <row r="99" spans="1:6">
      <c r="A99" s="348" t="s">
        <v>72</v>
      </c>
      <c r="B99" s="334">
        <v>92</v>
      </c>
    </row>
    <row r="100" spans="1:6">
      <c r="A100" s="348" t="s">
        <v>73</v>
      </c>
      <c r="B100" s="334">
        <v>401</v>
      </c>
    </row>
    <row r="101" spans="1:6">
      <c r="A101" s="348" t="s">
        <v>74</v>
      </c>
      <c r="B101" s="334">
        <v>96</v>
      </c>
    </row>
    <row r="102" spans="1:6">
      <c r="A102" s="348" t="s">
        <v>75</v>
      </c>
      <c r="B102" s="334">
        <v>61</v>
      </c>
    </row>
    <row r="103" spans="1:6">
      <c r="A103" s="348" t="s">
        <v>76</v>
      </c>
      <c r="B103" s="334">
        <v>146</v>
      </c>
    </row>
    <row r="104" spans="1:6">
      <c r="A104" s="348" t="s">
        <v>77</v>
      </c>
      <c r="B104" s="334">
        <v>1746</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27</v>
      </c>
      <c r="C123" s="334">
        <v>21</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140</v>
      </c>
    </row>
    <row r="130" spans="1:6">
      <c r="A130" s="348" t="s">
        <v>294</v>
      </c>
      <c r="B130" s="334">
        <v>3</v>
      </c>
    </row>
    <row r="131" spans="1:6">
      <c r="A131" s="348" t="s">
        <v>295</v>
      </c>
      <c r="B131" s="334">
        <v>1</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26707.765112998834</v>
      </c>
      <c r="C3" s="43" t="s">
        <v>169</v>
      </c>
      <c r="D3" s="43"/>
      <c r="E3" s="154"/>
      <c r="F3" s="43"/>
      <c r="G3" s="43"/>
      <c r="H3" s="43"/>
      <c r="I3" s="43"/>
      <c r="J3" s="43"/>
      <c r="K3" s="96"/>
    </row>
    <row r="4" spans="1:11">
      <c r="A4" s="383" t="s">
        <v>170</v>
      </c>
      <c r="B4" s="49">
        <f>IF(ISERROR('SEAP template'!B78+'SEAP template'!C78),0,'SEAP template'!B78+'SEAP template'!C78)</f>
        <v>25270.741953588324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1.1891003117859289E-2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32764.499999999996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657.63199999999995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657.63199999999995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1.1891003117859289E-2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7.8199041624040397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13167.421900000001</v>
      </c>
      <c r="C5" s="17">
        <f>IF(ISERROR('Eigen informatie GS &amp; warmtenet'!B59),0,'Eigen informatie GS &amp; warmtenet'!B59)</f>
        <v>0</v>
      </c>
      <c r="D5" s="30">
        <f>(SUM(HH_hh_gas_kWh,HH_rest_gas_kWh)/1000)*0.902</f>
        <v>22433.271611740001</v>
      </c>
      <c r="E5" s="17">
        <f>B46*B57</f>
        <v>6137.2495085199071</v>
      </c>
      <c r="F5" s="17">
        <f>B51*B62</f>
        <v>15887.180403097984</v>
      </c>
      <c r="G5" s="18"/>
      <c r="H5" s="17"/>
      <c r="I5" s="17"/>
      <c r="J5" s="17">
        <f>B50*B61+C50*C61</f>
        <v>1083.1359485394955</v>
      </c>
      <c r="K5" s="17"/>
      <c r="L5" s="17"/>
      <c r="M5" s="17"/>
      <c r="N5" s="17">
        <f>B48*B59+C48*C59</f>
        <v>11082.500440540751</v>
      </c>
      <c r="O5" s="17">
        <f>B69*B70*B71</f>
        <v>321.40123154069914</v>
      </c>
      <c r="P5" s="17">
        <f>B77*B78*B79/1000-B77*B78*B79/1000/B80</f>
        <v>484.56212815351103</v>
      </c>
    </row>
    <row r="6" spans="1:16">
      <c r="A6" s="16" t="s">
        <v>615</v>
      </c>
      <c r="B6" s="809">
        <f>kWh_PV_kleiner_dan_10kW</f>
        <v>1912.3132460905024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15079.735146090503</v>
      </c>
      <c r="C8" s="21">
        <f>C5</f>
        <v>0</v>
      </c>
      <c r="D8" s="21">
        <f>D5</f>
        <v>22433.271611740001</v>
      </c>
      <c r="E8" s="21">
        <f>E5</f>
        <v>6137.2495085199071</v>
      </c>
      <c r="F8" s="21">
        <f>F5</f>
        <v>15887.180403097984</v>
      </c>
      <c r="G8" s="21"/>
      <c r="H8" s="21"/>
      <c r="I8" s="21"/>
      <c r="J8" s="21">
        <f>J5</f>
        <v>1083.1359485394955</v>
      </c>
      <c r="K8" s="21"/>
      <c r="L8" s="21">
        <f>L5</f>
        <v>0</v>
      </c>
      <c r="M8" s="21">
        <f>M5</f>
        <v>0</v>
      </c>
      <c r="N8" s="21">
        <f>N5</f>
        <v>11082.500440540751</v>
      </c>
      <c r="O8" s="21">
        <f>O5</f>
        <v>321.40123154069914</v>
      </c>
      <c r="P8" s="21">
        <f>P5</f>
        <v>484.56212815351103</v>
      </c>
    </row>
    <row r="9" spans="1:16">
      <c r="B9" s="19"/>
      <c r="C9" s="19"/>
      <c r="D9" s="258"/>
      <c r="E9" s="19"/>
      <c r="F9" s="19"/>
      <c r="G9" s="19"/>
      <c r="H9" s="19"/>
      <c r="I9" s="19"/>
      <c r="J9" s="19"/>
      <c r="K9" s="19"/>
      <c r="L9" s="19"/>
      <c r="M9" s="19"/>
      <c r="N9" s="19"/>
      <c r="O9" s="19"/>
      <c r="P9" s="19"/>
    </row>
    <row r="10" spans="1:16">
      <c r="A10" s="24" t="s">
        <v>213</v>
      </c>
      <c r="B10" s="25">
        <f ca="1">'EF ele_warmte'!B12</f>
        <v>1.1891003117859289E-2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179.31317763865448</v>
      </c>
      <c r="C12" s="23">
        <f ca="1">C10*C8</f>
        <v>0</v>
      </c>
      <c r="D12" s="23">
        <f>D8*D10</f>
        <v>4531.5208655714805</v>
      </c>
      <c r="E12" s="23">
        <f>E10*E8</f>
        <v>1393.155638434019</v>
      </c>
      <c r="F12" s="23">
        <f>F10*F8</f>
        <v>4241.8771676271617</v>
      </c>
      <c r="G12" s="23"/>
      <c r="H12" s="23"/>
      <c r="I12" s="23"/>
      <c r="J12" s="23">
        <f>J10*J8</f>
        <v>383.43012578298141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570</v>
      </c>
      <c r="C18" s="166" t="s">
        <v>110</v>
      </c>
      <c r="D18" s="228"/>
      <c r="E18" s="15"/>
    </row>
    <row r="19" spans="1:7">
      <c r="A19" s="171" t="s">
        <v>71</v>
      </c>
      <c r="B19" s="37">
        <f>aantalw2001_ander</f>
        <v>0</v>
      </c>
      <c r="C19" s="166" t="s">
        <v>110</v>
      </c>
      <c r="D19" s="229"/>
      <c r="E19" s="15"/>
    </row>
    <row r="20" spans="1:7">
      <c r="A20" s="171" t="s">
        <v>72</v>
      </c>
      <c r="B20" s="37">
        <f>aantalw2001_propaan</f>
        <v>92</v>
      </c>
      <c r="C20" s="167">
        <f>IF(ISERROR(B20/SUM($B$20,$B$21,$B$22)*100),0,B20/SUM($B$20,$B$21,$B$22)*100)</f>
        <v>15.619694397283531</v>
      </c>
      <c r="D20" s="229"/>
      <c r="E20" s="15"/>
    </row>
    <row r="21" spans="1:7">
      <c r="A21" s="171" t="s">
        <v>73</v>
      </c>
      <c r="B21" s="37">
        <f>aantalw2001_elektriciteit</f>
        <v>401</v>
      </c>
      <c r="C21" s="167">
        <f>IF(ISERROR(B21/SUM($B$20,$B$21,$B$22)*100),0,B21/SUM($B$20,$B$21,$B$22)*100)</f>
        <v>68.081494057724953</v>
      </c>
      <c r="D21" s="229"/>
      <c r="E21" s="15"/>
    </row>
    <row r="22" spans="1:7">
      <c r="A22" s="171" t="s">
        <v>74</v>
      </c>
      <c r="B22" s="37">
        <f>aantalw2001_hout</f>
        <v>96</v>
      </c>
      <c r="C22" s="167">
        <f>IF(ISERROR(B22/SUM($B$20,$B$21,$B$22)*100),0,B22/SUM($B$20,$B$21,$B$22)*100)</f>
        <v>16.298811544991512</v>
      </c>
      <c r="D22" s="229"/>
      <c r="E22" s="15"/>
    </row>
    <row r="23" spans="1:7">
      <c r="A23" s="171" t="s">
        <v>75</v>
      </c>
      <c r="B23" s="37">
        <f>aantalw2001_niet_gespec</f>
        <v>61</v>
      </c>
      <c r="C23" s="166" t="s">
        <v>110</v>
      </c>
      <c r="D23" s="228"/>
      <c r="E23" s="15"/>
    </row>
    <row r="24" spans="1:7">
      <c r="A24" s="171" t="s">
        <v>76</v>
      </c>
      <c r="B24" s="37">
        <f>aantalw2001_steenkool</f>
        <v>146</v>
      </c>
      <c r="C24" s="166" t="s">
        <v>110</v>
      </c>
      <c r="D24" s="229"/>
      <c r="E24" s="15"/>
    </row>
    <row r="25" spans="1:7">
      <c r="A25" s="171" t="s">
        <v>77</v>
      </c>
      <c r="B25" s="37">
        <f>aantalw2001_stookolie</f>
        <v>1746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3511</v>
      </c>
      <c r="C28" s="36"/>
      <c r="D28" s="228"/>
    </row>
    <row r="29" spans="1:7" s="15" customFormat="1">
      <c r="A29" s="230" t="s">
        <v>837</v>
      </c>
      <c r="B29" s="37">
        <f>SUM(HH_hh_gas_aantal,HH_rest_gas_aantal)</f>
        <v>1661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1661</v>
      </c>
      <c r="C32" s="167">
        <f>IF(ISERROR(B32/SUM($B$32,$B$34,$B$35,$B$36,$B$38,$B$39)*100),0,B32/SUM($B$32,$B$34,$B$35,$B$36,$B$38,$B$39)*100)</f>
        <v>47.936507936507937</v>
      </c>
      <c r="D32" s="233"/>
      <c r="G32" s="15"/>
    </row>
    <row r="33" spans="1:7">
      <c r="A33" s="171" t="s">
        <v>71</v>
      </c>
      <c r="B33" s="34" t="s">
        <v>110</v>
      </c>
      <c r="C33" s="167"/>
      <c r="D33" s="233"/>
      <c r="G33" s="15"/>
    </row>
    <row r="34" spans="1:7">
      <c r="A34" s="171" t="s">
        <v>72</v>
      </c>
      <c r="B34" s="33">
        <f>IF((($B$28-$B$32-$B$39-$B$77-$B$38)*C20/100)&lt;0,0,($B$28-$B$32-$B$39-$B$77-$B$38)*C20/100)</f>
        <v>156.66553480475383</v>
      </c>
      <c r="C34" s="167">
        <f>IF(ISERROR(B34/SUM($B$32,$B$34,$B$35,$B$36,$B$38,$B$39)*100),0,B34/SUM($B$32,$B$34,$B$35,$B$36,$B$38,$B$39)*100)</f>
        <v>4.5213718558370513</v>
      </c>
      <c r="D34" s="233"/>
      <c r="G34" s="15"/>
    </row>
    <row r="35" spans="1:7">
      <c r="A35" s="171" t="s">
        <v>73</v>
      </c>
      <c r="B35" s="33">
        <f>IF((($B$28-$B$32-$B$39-$B$77-$B$38)*C21/100)&lt;0,0,($B$28-$B$32-$B$39-$B$77-$B$38)*C21/100)</f>
        <v>682.85738539898148</v>
      </c>
      <c r="C35" s="167">
        <f>IF(ISERROR(B35/SUM($B$32,$B$34,$B$35,$B$36,$B$38,$B$39)*100),0,B35/SUM($B$32,$B$34,$B$35,$B$36,$B$38,$B$39)*100)</f>
        <v>19.707283849898456</v>
      </c>
      <c r="D35" s="233"/>
      <c r="G35" s="15"/>
    </row>
    <row r="36" spans="1:7">
      <c r="A36" s="171" t="s">
        <v>74</v>
      </c>
      <c r="B36" s="33">
        <f>IF((($B$28-$B$32-$B$39-$B$77-$B$38)*C22/100)&lt;0,0,($B$28-$B$32-$B$39-$B$77-$B$38)*C22/100)</f>
        <v>163.47707979626489</v>
      </c>
      <c r="C36" s="167">
        <f>IF(ISERROR(B36/SUM($B$32,$B$34,$B$35,$B$36,$B$38,$B$39)*100),0,B36/SUM($B$32,$B$34,$B$35,$B$36,$B$38,$B$39)*100)</f>
        <v>4.7179532408734453</v>
      </c>
      <c r="D36" s="233"/>
      <c r="G36" s="15"/>
    </row>
    <row r="37" spans="1:7">
      <c r="A37" s="171" t="s">
        <v>75</v>
      </c>
      <c r="B37" s="34" t="s">
        <v>110</v>
      </c>
      <c r="C37" s="167"/>
      <c r="D37" s="173"/>
      <c r="G37" s="15"/>
    </row>
    <row r="38" spans="1:7">
      <c r="A38" s="171" t="s">
        <v>76</v>
      </c>
      <c r="B38" s="33">
        <f>IF((B24-(B29-B18)*0.1)&lt;0,0,B24-(B29-B18)*0.1)</f>
        <v>36.899999999999991</v>
      </c>
      <c r="C38" s="167">
        <f>IF(ISERROR(B38/SUM($B$32,$B$34,$B$35,$B$36,$B$38,$B$39)*100),0,B38/SUM($B$32,$B$34,$B$35,$B$36,$B$38,$B$39)*100)</f>
        <v>1.0649350649350646</v>
      </c>
      <c r="D38" s="234"/>
      <c r="G38" s="15"/>
    </row>
    <row r="39" spans="1:7">
      <c r="A39" s="171" t="s">
        <v>77</v>
      </c>
      <c r="B39" s="33">
        <f>IF((B25-(B29-B18))&lt;0,0,B25-(B29-B18)*0.9)</f>
        <v>764.1</v>
      </c>
      <c r="C39" s="167">
        <f>IF(ISERROR(B39/SUM($B$32,$B$34,$B$35,$B$36,$B$38,$B$39)*100),0,B39/SUM($B$32,$B$34,$B$35,$B$36,$B$38,$B$39)*100)</f>
        <v>22.051948051948052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1661</v>
      </c>
      <c r="C44" s="34" t="s">
        <v>110</v>
      </c>
      <c r="D44" s="174"/>
    </row>
    <row r="45" spans="1:7">
      <c r="A45" s="171" t="s">
        <v>71</v>
      </c>
      <c r="B45" s="33" t="str">
        <f t="shared" si="0"/>
        <v>-</v>
      </c>
      <c r="C45" s="34" t="s">
        <v>110</v>
      </c>
      <c r="D45" s="174"/>
    </row>
    <row r="46" spans="1:7">
      <c r="A46" s="171" t="s">
        <v>72</v>
      </c>
      <c r="B46" s="33">
        <f t="shared" si="0"/>
        <v>156.66553480475383</v>
      </c>
      <c r="C46" s="34" t="s">
        <v>110</v>
      </c>
      <c r="D46" s="174"/>
    </row>
    <row r="47" spans="1:7">
      <c r="A47" s="171" t="s">
        <v>73</v>
      </c>
      <c r="B47" s="33">
        <f t="shared" si="0"/>
        <v>682.85738539898148</v>
      </c>
      <c r="C47" s="34" t="s">
        <v>110</v>
      </c>
      <c r="D47" s="174"/>
    </row>
    <row r="48" spans="1:7">
      <c r="A48" s="171" t="s">
        <v>74</v>
      </c>
      <c r="B48" s="33">
        <f t="shared" si="0"/>
        <v>163.47707979626489</v>
      </c>
      <c r="C48" s="33">
        <f>B48*10</f>
        <v>1634.7707979626489</v>
      </c>
      <c r="D48" s="234"/>
    </row>
    <row r="49" spans="1:6">
      <c r="A49" s="171" t="s">
        <v>75</v>
      </c>
      <c r="B49" s="33" t="str">
        <f t="shared" si="0"/>
        <v>-</v>
      </c>
      <c r="C49" s="34" t="s">
        <v>110</v>
      </c>
      <c r="D49" s="234"/>
    </row>
    <row r="50" spans="1:6">
      <c r="A50" s="171" t="s">
        <v>76</v>
      </c>
      <c r="B50" s="33">
        <f t="shared" si="0"/>
        <v>36.899999999999991</v>
      </c>
      <c r="C50" s="33">
        <f>B50*2</f>
        <v>73.799999999999983</v>
      </c>
      <c r="D50" s="234"/>
    </row>
    <row r="51" spans="1:6">
      <c r="A51" s="171" t="s">
        <v>77</v>
      </c>
      <c r="B51" s="33">
        <f t="shared" si="0"/>
        <v>764.1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6647.2579420000002</v>
      </c>
      <c r="C5" s="17">
        <f>IF(ISERROR('Eigen informatie GS &amp; warmtenet'!B60),0,'Eigen informatie GS &amp; warmtenet'!B60)</f>
        <v>0</v>
      </c>
      <c r="D5" s="30">
        <f>SUM(D6:D12)</f>
        <v>7952.9477996980004</v>
      </c>
      <c r="E5" s="17">
        <f>SUM(E6:E12)</f>
        <v>90.744124296792762</v>
      </c>
      <c r="F5" s="17">
        <f>SUM(F6:F12)</f>
        <v>773.41130248315176</v>
      </c>
      <c r="G5" s="18"/>
      <c r="H5" s="17"/>
      <c r="I5" s="17"/>
      <c r="J5" s="17">
        <f>SUM(J6:J12)</f>
        <v>1.8419497387563495E-2</v>
      </c>
      <c r="K5" s="17"/>
      <c r="L5" s="17"/>
      <c r="M5" s="17"/>
      <c r="N5" s="17">
        <f>SUM(N6:N12)</f>
        <v>722.58411145528726</v>
      </c>
      <c r="O5" s="17">
        <f>B38*B39*B40</f>
        <v>14.691782297523464</v>
      </c>
      <c r="P5" s="17">
        <f>B46*B47*B48/1000-B46*B47*B48/1000/B49</f>
        <v>52.539138306495019</v>
      </c>
      <c r="R5" s="32"/>
    </row>
    <row r="6" spans="1:18">
      <c r="A6" s="32" t="s">
        <v>53</v>
      </c>
      <c r="B6" s="37">
        <f>B26</f>
        <v>1130.518116</v>
      </c>
      <c r="C6" s="33"/>
      <c r="D6" s="37">
        <f>IF(ISERROR(TER_kantoor_gas_kWh/1000),0,TER_kantoor_gas_kWh/1000)*0.902</f>
        <v>1778.5404186000001</v>
      </c>
      <c r="E6" s="33">
        <f>$C$26*'E Balans VL '!I12/100/3.6*1000000</f>
        <v>9.0969168067875472</v>
      </c>
      <c r="F6" s="33">
        <f>$C$26*('E Balans VL '!L12+'E Balans VL '!N12)/100/3.6*1000000</f>
        <v>138.2177323508287</v>
      </c>
      <c r="G6" s="34"/>
      <c r="H6" s="33"/>
      <c r="I6" s="33"/>
      <c r="J6" s="33">
        <f>$C$26*('E Balans VL '!D12+'E Balans VL '!E12)/100/3.6*1000000</f>
        <v>0</v>
      </c>
      <c r="K6" s="33"/>
      <c r="L6" s="33"/>
      <c r="M6" s="33"/>
      <c r="N6" s="33">
        <f>$C$26*'E Balans VL '!Y12/100/3.6*1000000</f>
        <v>0.60759781535841717</v>
      </c>
      <c r="O6" s="33"/>
      <c r="P6" s="33"/>
      <c r="R6" s="32"/>
    </row>
    <row r="7" spans="1:18">
      <c r="A7" s="32" t="s">
        <v>52</v>
      </c>
      <c r="B7" s="37">
        <f t="shared" ref="B7:B12" si="0">B27</f>
        <v>512.84946300000001</v>
      </c>
      <c r="C7" s="33"/>
      <c r="D7" s="37">
        <f>IF(ISERROR(TER_horeca_gas_kWh/1000),0,TER_horeca_gas_kWh/1000)*0.902</f>
        <v>619.255976218</v>
      </c>
      <c r="E7" s="33">
        <f>$C$27*'E Balans VL '!I9/100/3.6*1000000</f>
        <v>5.5067438945067746</v>
      </c>
      <c r="F7" s="33">
        <f>$C$27*('E Balans VL '!L9+'E Balans VL '!N9)/100/3.6*1000000</f>
        <v>61.68335446986756</v>
      </c>
      <c r="G7" s="34"/>
      <c r="H7" s="33"/>
      <c r="I7" s="33"/>
      <c r="J7" s="33">
        <f>$C$27*('E Balans VL '!D9+'E Balans VL '!E9)/100/3.6*1000000</f>
        <v>0</v>
      </c>
      <c r="K7" s="33"/>
      <c r="L7" s="33"/>
      <c r="M7" s="33"/>
      <c r="N7" s="33">
        <f>$C$27*'E Balans VL '!Y9/100/3.6*1000000</f>
        <v>7.6886528755557612E-2</v>
      </c>
      <c r="O7" s="33"/>
      <c r="P7" s="33"/>
      <c r="R7" s="32"/>
    </row>
    <row r="8" spans="1:18">
      <c r="A8" s="6" t="s">
        <v>51</v>
      </c>
      <c r="B8" s="37">
        <f t="shared" si="0"/>
        <v>1553.8951100000002</v>
      </c>
      <c r="C8" s="33"/>
      <c r="D8" s="37">
        <f>IF(ISERROR(TER_handel_gas_kWh/1000),0,TER_handel_gas_kWh/1000)*0.902</f>
        <v>685.10108955199996</v>
      </c>
      <c r="E8" s="33">
        <f>$C$28*'E Balans VL '!I13/100/3.6*1000000</f>
        <v>41.701787548669387</v>
      </c>
      <c r="F8" s="33">
        <f>$C$28*('E Balans VL '!L13+'E Balans VL '!N13)/100/3.6*1000000</f>
        <v>148.28948577618087</v>
      </c>
      <c r="G8" s="34"/>
      <c r="H8" s="33"/>
      <c r="I8" s="33"/>
      <c r="J8" s="33">
        <f>$C$28*('E Balans VL '!D13+'E Balans VL '!E13)/100/3.6*1000000</f>
        <v>0</v>
      </c>
      <c r="K8" s="33"/>
      <c r="L8" s="33"/>
      <c r="M8" s="33"/>
      <c r="N8" s="33">
        <f>$C$28*'E Balans VL '!Y13/100/3.6*1000000</f>
        <v>0.61598168999039726</v>
      </c>
      <c r="O8" s="33"/>
      <c r="P8" s="33"/>
      <c r="R8" s="32"/>
    </row>
    <row r="9" spans="1:18">
      <c r="A9" s="32" t="s">
        <v>50</v>
      </c>
      <c r="B9" s="37">
        <f t="shared" si="0"/>
        <v>105.832803</v>
      </c>
      <c r="C9" s="33"/>
      <c r="D9" s="37">
        <f>IF(ISERROR(TER_gezond_gas_kWh/1000),0,TER_gezond_gas_kWh/1000)*0.902</f>
        <v>1604.3315238060002</v>
      </c>
      <c r="E9" s="33">
        <f>$C$29*'E Balans VL '!I10/100/3.6*1000000</f>
        <v>0.19836513347906939</v>
      </c>
      <c r="F9" s="33">
        <f>$C$29*('E Balans VL '!L10+'E Balans VL '!N10)/100/3.6*1000000</f>
        <v>8.7004220565208481</v>
      </c>
      <c r="G9" s="34"/>
      <c r="H9" s="33"/>
      <c r="I9" s="33"/>
      <c r="J9" s="33">
        <f>$C$29*('E Balans VL '!D10+'E Balans VL '!E10)/100/3.6*1000000</f>
        <v>0</v>
      </c>
      <c r="K9" s="33"/>
      <c r="L9" s="33"/>
      <c r="M9" s="33"/>
      <c r="N9" s="33">
        <f>$C$29*'E Balans VL '!Y10/100/3.6*1000000</f>
        <v>0.82345816995693588</v>
      </c>
      <c r="O9" s="33"/>
      <c r="P9" s="33"/>
      <c r="R9" s="32"/>
    </row>
    <row r="10" spans="1:18">
      <c r="A10" s="32" t="s">
        <v>49</v>
      </c>
      <c r="B10" s="37">
        <f t="shared" si="0"/>
        <v>799.11201800000003</v>
      </c>
      <c r="C10" s="33"/>
      <c r="D10" s="37">
        <f>IF(ISERROR(TER_ander_gas_kWh/1000),0,TER_ander_gas_kWh/1000)*0.902</f>
        <v>1328.9253024960001</v>
      </c>
      <c r="E10" s="33">
        <f>$C$30*'E Balans VL '!I14/100/3.6*1000000</f>
        <v>1.2318392730239651</v>
      </c>
      <c r="F10" s="33">
        <f>$C$30*('E Balans VL '!L14+'E Balans VL '!N14)/100/3.6*1000000</f>
        <v>124.06236140150129</v>
      </c>
      <c r="G10" s="34"/>
      <c r="H10" s="33"/>
      <c r="I10" s="33"/>
      <c r="J10" s="33">
        <f>$C$30*('E Balans VL '!D14+'E Balans VL '!E14)/100/3.6*1000000</f>
        <v>1.3565769268902027E-2</v>
      </c>
      <c r="K10" s="33"/>
      <c r="L10" s="33"/>
      <c r="M10" s="33"/>
      <c r="N10" s="33">
        <f>$C$30*'E Balans VL '!Y14/100/3.6*1000000</f>
        <v>528.66689976087139</v>
      </c>
      <c r="O10" s="33"/>
      <c r="P10" s="33"/>
      <c r="R10" s="32"/>
    </row>
    <row r="11" spans="1:18">
      <c r="A11" s="32" t="s">
        <v>54</v>
      </c>
      <c r="B11" s="37">
        <f t="shared" si="0"/>
        <v>12.380398999999999</v>
      </c>
      <c r="C11" s="33"/>
      <c r="D11" s="37">
        <f>IF(ISERROR(TER_onderwijs_gas_kWh/1000),0,TER_onderwijs_gas_kWh/1000)*0.902</f>
        <v>0</v>
      </c>
      <c r="E11" s="33">
        <f>$C$31*'E Balans VL '!I11/100/3.6*1000000</f>
        <v>0.31578473332383727</v>
      </c>
      <c r="F11" s="33">
        <f>$C$31*('E Balans VL '!L11+'E Balans VL '!N11)/100/3.6*1000000</f>
        <v>1.4888595085029579</v>
      </c>
      <c r="G11" s="34"/>
      <c r="H11" s="33"/>
      <c r="I11" s="33"/>
      <c r="J11" s="33">
        <f>$C$31*('E Balans VL '!D11+'E Balans VL '!E11)/100/3.6*1000000</f>
        <v>0</v>
      </c>
      <c r="K11" s="33"/>
      <c r="L11" s="33"/>
      <c r="M11" s="33"/>
      <c r="N11" s="33">
        <f>$C$31*'E Balans VL '!Y11/100/3.6*1000000</f>
        <v>2.7533705291661426E-2</v>
      </c>
      <c r="O11" s="33"/>
      <c r="P11" s="33"/>
      <c r="R11" s="32"/>
    </row>
    <row r="12" spans="1:18">
      <c r="A12" s="32" t="s">
        <v>259</v>
      </c>
      <c r="B12" s="37">
        <f t="shared" si="0"/>
        <v>2532.6700329999999</v>
      </c>
      <c r="C12" s="33"/>
      <c r="D12" s="37">
        <f>IF(ISERROR(TER_rest_gas_kWh/1000),0,TER_rest_gas_kWh/1000)*0.902</f>
        <v>1936.7934890260001</v>
      </c>
      <c r="E12" s="33">
        <f>$C$32*'E Balans VL '!I8/100/3.6*1000000</f>
        <v>32.692686907002184</v>
      </c>
      <c r="F12" s="33">
        <f>$C$32*('E Balans VL '!L8+'E Balans VL '!N8)/100/3.6*1000000</f>
        <v>290.96908691974949</v>
      </c>
      <c r="G12" s="34"/>
      <c r="H12" s="33"/>
      <c r="I12" s="33"/>
      <c r="J12" s="33">
        <f>$C$32*('E Balans VL '!D8+'E Balans VL '!E8)/100/3.6*1000000</f>
        <v>4.8537281186614694E-3</v>
      </c>
      <c r="K12" s="33"/>
      <c r="L12" s="33"/>
      <c r="M12" s="33"/>
      <c r="N12" s="33">
        <f>$C$32*'E Balans VL '!Y8/100/3.6*1000000</f>
        <v>191.76575378506294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6647.2579420000002</v>
      </c>
      <c r="C16" s="21">
        <f t="shared" ca="1" si="1"/>
        <v>0</v>
      </c>
      <c r="D16" s="21">
        <f t="shared" ca="1" si="1"/>
        <v>7952.9477996980004</v>
      </c>
      <c r="E16" s="21">
        <f t="shared" si="1"/>
        <v>90.744124296792762</v>
      </c>
      <c r="F16" s="21">
        <f t="shared" ca="1" si="1"/>
        <v>773.41130248315176</v>
      </c>
      <c r="G16" s="21">
        <f t="shared" si="1"/>
        <v>0</v>
      </c>
      <c r="H16" s="21">
        <f t="shared" si="1"/>
        <v>0</v>
      </c>
      <c r="I16" s="21">
        <f t="shared" si="1"/>
        <v>0</v>
      </c>
      <c r="J16" s="21">
        <f t="shared" si="1"/>
        <v>1.8419497387563495E-2</v>
      </c>
      <c r="K16" s="21">
        <f t="shared" si="1"/>
        <v>0</v>
      </c>
      <c r="L16" s="21">
        <f t="shared" ca="1" si="1"/>
        <v>0</v>
      </c>
      <c r="M16" s="21">
        <f t="shared" si="1"/>
        <v>0</v>
      </c>
      <c r="N16" s="21">
        <f t="shared" ca="1" si="1"/>
        <v>722.58411145528726</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1.1891003117859289E-2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79.042564913536921</v>
      </c>
      <c r="C20" s="23">
        <f t="shared" ref="C20:P20" ca="1" si="2">C16*C18</f>
        <v>0</v>
      </c>
      <c r="D20" s="23">
        <f t="shared" ca="1" si="2"/>
        <v>1606.4954555389961</v>
      </c>
      <c r="E20" s="23">
        <f t="shared" si="2"/>
        <v>20.598916215371958</v>
      </c>
      <c r="F20" s="23">
        <f t="shared" ca="1" si="2"/>
        <v>206.50081776300152</v>
      </c>
      <c r="G20" s="23">
        <f t="shared" si="2"/>
        <v>0</v>
      </c>
      <c r="H20" s="23">
        <f t="shared" si="2"/>
        <v>0</v>
      </c>
      <c r="I20" s="23">
        <f t="shared" si="2"/>
        <v>0</v>
      </c>
      <c r="J20" s="23">
        <f t="shared" si="2"/>
        <v>6.5205020751974768E-3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1130.518116</v>
      </c>
      <c r="C26" s="39">
        <f>IF(ISERROR(B26*3.6/1000000/'E Balans VL '!Z12*100),0,B26*3.6/1000000/'E Balans VL '!Z12*100)</f>
        <v>2.3982907525636935E-2</v>
      </c>
      <c r="D26" s="237" t="s">
        <v>716</v>
      </c>
      <c r="F26" s="6"/>
    </row>
    <row r="27" spans="1:18">
      <c r="A27" s="231" t="s">
        <v>52</v>
      </c>
      <c r="B27" s="33">
        <f>IF(ISERROR(TER_horeca_ele_kWh/1000),0,TER_horeca_ele_kWh/1000)</f>
        <v>512.84946300000001</v>
      </c>
      <c r="C27" s="39">
        <f>IF(ISERROR(B27*3.6/1000000/'E Balans VL '!Z9*100),0,B27*3.6/1000000/'E Balans VL '!Z9*100)</f>
        <v>3.8622107644231046E-2</v>
      </c>
      <c r="D27" s="237" t="s">
        <v>716</v>
      </c>
      <c r="F27" s="6"/>
    </row>
    <row r="28" spans="1:18">
      <c r="A28" s="171" t="s">
        <v>51</v>
      </c>
      <c r="B28" s="33">
        <f>IF(ISERROR(TER_handel_ele_kWh/1000),0,TER_handel_ele_kWh/1000)</f>
        <v>1553.8951100000002</v>
      </c>
      <c r="C28" s="39">
        <f>IF(ISERROR(B28*3.6/1000000/'E Balans VL '!Z13*100),0,B28*3.6/1000000/'E Balans VL '!Z13*100)</f>
        <v>4.510406916334659E-2</v>
      </c>
      <c r="D28" s="237" t="s">
        <v>716</v>
      </c>
      <c r="F28" s="6"/>
    </row>
    <row r="29" spans="1:18">
      <c r="A29" s="231" t="s">
        <v>50</v>
      </c>
      <c r="B29" s="33">
        <f>IF(ISERROR(TER_gezond_ele_kWh/1000),0,TER_gezond_ele_kWh/1000)</f>
        <v>105.832803</v>
      </c>
      <c r="C29" s="39">
        <f>IF(ISERROR(B29*3.6/1000000/'E Balans VL '!Z10*100),0,B29*3.6/1000000/'E Balans VL '!Z10*100)</f>
        <v>1.067336439330803E-2</v>
      </c>
      <c r="D29" s="237" t="s">
        <v>716</v>
      </c>
      <c r="F29" s="6"/>
    </row>
    <row r="30" spans="1:18">
      <c r="A30" s="231" t="s">
        <v>49</v>
      </c>
      <c r="B30" s="33">
        <f>IF(ISERROR(TER_ander_ele_kWh/1000),0,TER_ander_ele_kWh/1000)</f>
        <v>799.11201800000003</v>
      </c>
      <c r="C30" s="39">
        <f>IF(ISERROR(B30*3.6/1000000/'E Balans VL '!Z14*100),0,B30*3.6/1000000/'E Balans VL '!Z14*100)</f>
        <v>5.7986478792741901E-2</v>
      </c>
      <c r="D30" s="237" t="s">
        <v>716</v>
      </c>
      <c r="F30" s="6"/>
    </row>
    <row r="31" spans="1:18">
      <c r="A31" s="231" t="s">
        <v>54</v>
      </c>
      <c r="B31" s="33">
        <f>IF(ISERROR(TER_onderwijs_ele_kWh/1000),0,TER_onderwijs_ele_kWh/1000)</f>
        <v>12.380398999999999</v>
      </c>
      <c r="C31" s="39">
        <f>IF(ISERROR(B31*3.6/1000000/'E Balans VL '!Z11*100),0,B31*3.6/1000000/'E Balans VL '!Z11*100)</f>
        <v>3.5289178683224859E-3</v>
      </c>
      <c r="D31" s="237" t="s">
        <v>716</v>
      </c>
    </row>
    <row r="32" spans="1:18">
      <c r="A32" s="231" t="s">
        <v>259</v>
      </c>
      <c r="B32" s="33">
        <f>IF(ISERROR(TER_rest_ele_kWh/1000),0,TER_rest_ele_kWh/1000)</f>
        <v>2532.6700329999999</v>
      </c>
      <c r="C32" s="39">
        <f>IF(ISERROR(B32*3.6/1000000/'E Balans VL '!Z8*100),0,B32*3.6/1000000/'E Balans VL '!Z8*100)</f>
        <v>2.0747117029602708E-2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1590.0683349999999</v>
      </c>
      <c r="C5" s="17">
        <f>IF(ISERROR('Eigen informatie GS &amp; warmtenet'!B61),0,'Eigen informatie GS &amp; warmtenet'!B61)</f>
        <v>0</v>
      </c>
      <c r="D5" s="30">
        <f>SUM(D6:D15)</f>
        <v>1288.3392947480002</v>
      </c>
      <c r="E5" s="17">
        <f>SUM(E6:E15)</f>
        <v>226.12585245386407</v>
      </c>
      <c r="F5" s="17">
        <f>SUM(F6:F15)</f>
        <v>715.43597133067954</v>
      </c>
      <c r="G5" s="18"/>
      <c r="H5" s="17"/>
      <c r="I5" s="17"/>
      <c r="J5" s="17">
        <f>SUM(J6:J15)</f>
        <v>4.2830899384157304</v>
      </c>
      <c r="K5" s="17"/>
      <c r="L5" s="17"/>
      <c r="M5" s="17"/>
      <c r="N5" s="17">
        <f>SUM(N6:N15)</f>
        <v>85.520167376011912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153.974434</v>
      </c>
      <c r="C8" s="33"/>
      <c r="D8" s="37">
        <f>IF( ISERROR(IND_metaal_Gas_kWH/1000),0,IND_metaal_Gas_kWH/1000)*0.902</f>
        <v>56.728163668000001</v>
      </c>
      <c r="E8" s="33">
        <f>C30*'E Balans VL '!I18/100/3.6*1000000</f>
        <v>1.1108174719521042</v>
      </c>
      <c r="F8" s="33">
        <f>C30*'E Balans VL '!L18/100/3.6*1000000+C30*'E Balans VL '!N18/100/3.6*1000000</f>
        <v>14.563142366715878</v>
      </c>
      <c r="G8" s="34"/>
      <c r="H8" s="33"/>
      <c r="I8" s="33"/>
      <c r="J8" s="40">
        <f>C30*'E Balans VL '!D18/100/3.6*1000000+C30*'E Balans VL '!E18/100/3.6*1000000</f>
        <v>0.15486838049314097</v>
      </c>
      <c r="K8" s="33"/>
      <c r="L8" s="33"/>
      <c r="M8" s="33"/>
      <c r="N8" s="33">
        <f>C30*'E Balans VL '!Y18/100/3.6*1000000</f>
        <v>1.9466442218935642</v>
      </c>
      <c r="O8" s="33"/>
      <c r="P8" s="33"/>
      <c r="R8" s="32"/>
    </row>
    <row r="9" spans="1:18">
      <c r="A9" s="6" t="s">
        <v>32</v>
      </c>
      <c r="B9" s="37">
        <f t="shared" si="0"/>
        <v>725.40035599999999</v>
      </c>
      <c r="C9" s="33"/>
      <c r="D9" s="37">
        <f>IF( ISERROR(IND_andere_gas_kWh/1000),0,IND_andere_gas_kWh/1000)*0.902</f>
        <v>525.76756564200002</v>
      </c>
      <c r="E9" s="33">
        <f>C31*'E Balans VL '!I19/100/3.6*1000000</f>
        <v>201.01813846557451</v>
      </c>
      <c r="F9" s="33">
        <f>C31*'E Balans VL '!L19/100/3.6*1000000+C31*'E Balans VL '!N19/100/3.6*1000000</f>
        <v>601.21338265505062</v>
      </c>
      <c r="G9" s="34"/>
      <c r="H9" s="33"/>
      <c r="I9" s="33"/>
      <c r="J9" s="40">
        <f>C31*'E Balans VL '!D19/100/3.6*1000000+C31*'E Balans VL '!E19/100/3.6*1000000</f>
        <v>0</v>
      </c>
      <c r="K9" s="33"/>
      <c r="L9" s="33"/>
      <c r="M9" s="33"/>
      <c r="N9" s="33">
        <f>C31*'E Balans VL '!Y19/100/3.6*1000000</f>
        <v>52.655193238713103</v>
      </c>
      <c r="O9" s="33"/>
      <c r="P9" s="33"/>
      <c r="R9" s="32"/>
    </row>
    <row r="10" spans="1:18">
      <c r="A10" s="6" t="s">
        <v>40</v>
      </c>
      <c r="B10" s="37">
        <f t="shared" si="0"/>
        <v>197.265162</v>
      </c>
      <c r="C10" s="33"/>
      <c r="D10" s="37">
        <f>IF( ISERROR(IND_voed_gas_kWh/1000),0,IND_voed_gas_kWh/1000)*0.902</f>
        <v>0</v>
      </c>
      <c r="E10" s="33">
        <f>C32*'E Balans VL '!I20/100/3.6*1000000</f>
        <v>0.34922615473426238</v>
      </c>
      <c r="F10" s="33">
        <f>C32*'E Balans VL '!L20/100/3.6*1000000+C32*'E Balans VL '!N20/100/3.6*1000000</f>
        <v>10.654067093447892</v>
      </c>
      <c r="G10" s="34"/>
      <c r="H10" s="33"/>
      <c r="I10" s="33"/>
      <c r="J10" s="40">
        <f>C32*'E Balans VL '!D20/100/3.6*1000000+C32*'E Balans VL '!E20/100/3.6*1000000</f>
        <v>0</v>
      </c>
      <c r="K10" s="33"/>
      <c r="L10" s="33"/>
      <c r="M10" s="33"/>
      <c r="N10" s="33">
        <f>C32*'E Balans VL '!Y20/100/3.6*1000000</f>
        <v>11.462612445014933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13.717105</v>
      </c>
      <c r="C14" s="33"/>
      <c r="D14" s="37">
        <f>IF( ISERROR(IND_chemie_gas_kWh/1000),0,IND_chemie_gas_kWh/1000)*0.902</f>
        <v>0</v>
      </c>
      <c r="E14" s="33">
        <f>C36*'E Balans VL '!I24/100/3.6*1000000</f>
        <v>3.1025328623730981E-2</v>
      </c>
      <c r="F14" s="33">
        <f>C36*'E Balans VL '!L24/100/3.6*1000000+C36*'E Balans VL '!N24/100/3.6*1000000</f>
        <v>0.16195746377521622</v>
      </c>
      <c r="G14" s="34"/>
      <c r="H14" s="33"/>
      <c r="I14" s="33"/>
      <c r="J14" s="40">
        <f>C36*'E Balans VL '!D24/100/3.6*1000000+C36*'E Balans VL '!E24/100/3.6*1000000</f>
        <v>0</v>
      </c>
      <c r="K14" s="33"/>
      <c r="L14" s="33"/>
      <c r="M14" s="33"/>
      <c r="N14" s="33">
        <f>C36*'E Balans VL '!Y24/100/3.6*1000000</f>
        <v>7.534600463452468E-3</v>
      </c>
      <c r="O14" s="33"/>
      <c r="P14" s="33"/>
      <c r="R14" s="32"/>
    </row>
    <row r="15" spans="1:18">
      <c r="A15" s="6" t="s">
        <v>269</v>
      </c>
      <c r="B15" s="37">
        <f t="shared" si="0"/>
        <v>499.71127799999999</v>
      </c>
      <c r="C15" s="33"/>
      <c r="D15" s="37">
        <f>IF( ISERROR(IND_rest_gas_kWh/1000),0,IND_rest_gas_kWh/1000)*0.902</f>
        <v>705.84356543800004</v>
      </c>
      <c r="E15" s="33">
        <f>C37*'E Balans VL '!I15/100/3.6*1000000</f>
        <v>23.616645032979456</v>
      </c>
      <c r="F15" s="33">
        <f>C37*'E Balans VL '!L15/100/3.6*1000000+C37*'E Balans VL '!N15/100/3.6*1000000</f>
        <v>88.843421751689903</v>
      </c>
      <c r="G15" s="34"/>
      <c r="H15" s="33"/>
      <c r="I15" s="33"/>
      <c r="J15" s="40">
        <f>C37*'E Balans VL '!D15/100/3.6*1000000+C37*'E Balans VL '!E15/100/3.6*1000000</f>
        <v>4.1282215579225898</v>
      </c>
      <c r="K15" s="33"/>
      <c r="L15" s="33"/>
      <c r="M15" s="33"/>
      <c r="N15" s="33">
        <f>C37*'E Balans VL '!Y15/100/3.6*1000000</f>
        <v>19.448182869926853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1590.0683349999999</v>
      </c>
      <c r="C18" s="21">
        <f>C5+C16</f>
        <v>0</v>
      </c>
      <c r="D18" s="21">
        <f>MAX((D5+D16),0)</f>
        <v>1288.3392947480002</v>
      </c>
      <c r="E18" s="21">
        <f>MAX((E5+E16),0)</f>
        <v>226.12585245386407</v>
      </c>
      <c r="F18" s="21">
        <f>MAX((F5+F16),0)</f>
        <v>715.43597133067954</v>
      </c>
      <c r="G18" s="21"/>
      <c r="H18" s="21"/>
      <c r="I18" s="21"/>
      <c r="J18" s="21">
        <f>MAX((J5+J16),0)</f>
        <v>4.2830899384157304</v>
      </c>
      <c r="K18" s="21"/>
      <c r="L18" s="21">
        <f>MAX((L5+L16),0)</f>
        <v>0</v>
      </c>
      <c r="M18" s="21"/>
      <c r="N18" s="21">
        <f>MAX((N5+N16),0)</f>
        <v>85.520167376011912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1.1891003117859289E-2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18.907507529094328</v>
      </c>
      <c r="C22" s="23">
        <f ca="1">C18*C20</f>
        <v>0</v>
      </c>
      <c r="D22" s="23">
        <f>D18*D20</f>
        <v>260.24453753909603</v>
      </c>
      <c r="E22" s="23">
        <f>E18*E20</f>
        <v>51.330568507027145</v>
      </c>
      <c r="F22" s="23">
        <f>F18*F20</f>
        <v>191.02140434529144</v>
      </c>
      <c r="G22" s="23"/>
      <c r="H22" s="23"/>
      <c r="I22" s="23"/>
      <c r="J22" s="23">
        <f>J18*J20</f>
        <v>1.5162138381991686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153.974434</v>
      </c>
      <c r="C30" s="39">
        <f>IF(ISERROR(B30*3.6/1000000/'E Balans VL '!Z18*100),0,B30*3.6/1000000/'E Balans VL '!Z18*100)</f>
        <v>8.8887038211710092E-3</v>
      </c>
      <c r="D30" s="237" t="s">
        <v>716</v>
      </c>
    </row>
    <row r="31" spans="1:18">
      <c r="A31" s="6" t="s">
        <v>32</v>
      </c>
      <c r="B31" s="37">
        <f>IF( ISERROR(IND_ander_ele_kWh/1000),0,IND_ander_ele_kWh/1000)</f>
        <v>725.40035599999999</v>
      </c>
      <c r="C31" s="39">
        <f>IF(ISERROR(B31*3.6/1000000/'E Balans VL '!Z19*100),0,B31*3.6/1000000/'E Balans VL '!Z19*100)</f>
        <v>3.6485286612590428E-2</v>
      </c>
      <c r="D31" s="237" t="s">
        <v>716</v>
      </c>
    </row>
    <row r="32" spans="1:18">
      <c r="A32" s="171" t="s">
        <v>40</v>
      </c>
      <c r="B32" s="37">
        <f>IF( ISERROR(IND_voed_ele_kWh/1000),0,IND_voed_ele_kWh/1000)</f>
        <v>197.265162</v>
      </c>
      <c r="C32" s="39">
        <f>IF(ISERROR(B32*3.6/1000000/'E Balans VL '!Z20*100),0,B32*3.6/1000000/'E Balans VL '!Z20*100)</f>
        <v>6.570101304070557E-3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13.717105</v>
      </c>
      <c r="C36" s="39">
        <f>IF(ISERROR(B36*3.6/1000000/'E Balans VL '!Z24*100),0,B36*3.6/1000000/'E Balans VL '!Z24*100)</f>
        <v>3.6180554446350372E-4</v>
      </c>
      <c r="D36" s="237" t="s">
        <v>716</v>
      </c>
    </row>
    <row r="37" spans="1:5">
      <c r="A37" s="171" t="s">
        <v>269</v>
      </c>
      <c r="B37" s="37">
        <f>IF( ISERROR(IND_rest_ele_kWh/1000),0,IND_rest_ele_kWh/1000)</f>
        <v>499.71127799999999</v>
      </c>
      <c r="C37" s="39">
        <f>IF(ISERROR(B37*3.6/1000000/'E Balans VL '!Z15*100),0,B37*3.6/1000000/'E Balans VL '!Z15*100)</f>
        <v>3.8991144944483676E-3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2324.8807670000001</v>
      </c>
      <c r="C5" s="17">
        <f>'Eigen informatie GS &amp; warmtenet'!B62</f>
        <v>0</v>
      </c>
      <c r="D5" s="30">
        <f>IF(ISERROR(SUM(LB_lb_gas_kWh,LB_rest_gas_kWh)/1000),0,SUM(LB_lb_gas_kWh,LB_rest_gas_kWh)/1000)*0.902</f>
        <v>155.05586558000002</v>
      </c>
      <c r="E5" s="17">
        <f>B17*'E Balans VL '!I25/3.6*1000000/100</f>
        <v>72.558762086973161</v>
      </c>
      <c r="F5" s="17">
        <f>B17*('E Balans VL '!L25/3.6*1000000+'E Balans VL '!N25/3.6*1000000)/100</f>
        <v>8216.3861739218792</v>
      </c>
      <c r="G5" s="18"/>
      <c r="H5" s="17"/>
      <c r="I5" s="17"/>
      <c r="J5" s="17">
        <f>('E Balans VL '!D25+'E Balans VL '!E25)/3.6*1000000*landbouw!B17/100</f>
        <v>640.52077421531897</v>
      </c>
      <c r="K5" s="17"/>
      <c r="L5" s="17">
        <f>L6*(-1)</f>
        <v>0</v>
      </c>
      <c r="M5" s="17"/>
      <c r="N5" s="17">
        <f>N6*(-1)</f>
        <v>65529</v>
      </c>
      <c r="O5" s="17"/>
      <c r="P5" s="17"/>
      <c r="R5" s="32"/>
    </row>
    <row r="6" spans="1:18">
      <c r="A6" s="16" t="s">
        <v>482</v>
      </c>
      <c r="B6" s="17" t="s">
        <v>210</v>
      </c>
      <c r="C6" s="17">
        <f>'lokale energieproductie'!O92+'lokale energieproductie'!O61</f>
        <v>32764.499999999996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-65529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2324.8807670000001</v>
      </c>
      <c r="C8" s="21">
        <f>C5+C6</f>
        <v>32764.499999999996</v>
      </c>
      <c r="D8" s="21">
        <f>MAX((D5+D6),0)</f>
        <v>155.05586558000002</v>
      </c>
      <c r="E8" s="21">
        <f>MAX((E5+E6),0)</f>
        <v>72.558762086973161</v>
      </c>
      <c r="F8" s="21">
        <f>MAX((F5+F6),0)</f>
        <v>8216.3861739218792</v>
      </c>
      <c r="G8" s="21"/>
      <c r="H8" s="21"/>
      <c r="I8" s="21"/>
      <c r="J8" s="21">
        <f>MAX((J5+J6),0)</f>
        <v>640.52077421531897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1.1891003117859289E-2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27.645164449048096</v>
      </c>
      <c r="C12" s="23">
        <f ca="1">C8*C10</f>
        <v>0</v>
      </c>
      <c r="D12" s="23">
        <f>D8*D10</f>
        <v>31.321284847160005</v>
      </c>
      <c r="E12" s="23">
        <f>E8*E10</f>
        <v>16.470838993742909</v>
      </c>
      <c r="F12" s="23">
        <f>F8*F10</f>
        <v>2193.7751084371421</v>
      </c>
      <c r="G12" s="23"/>
      <c r="H12" s="23"/>
      <c r="I12" s="23"/>
      <c r="J12" s="23">
        <f>J8*J10</f>
        <v>226.7443540722229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0.34561019233855833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735.01334729948383</v>
      </c>
      <c r="C26" s="247">
        <f>B26*'GWP N2O_CH4'!B5</f>
        <v>15435.280293289161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192.27967419228523</v>
      </c>
      <c r="C27" s="247">
        <f>B27*'GWP N2O_CH4'!B5</f>
        <v>4037.8731580379899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8.4227760179749378</v>
      </c>
      <c r="C28" s="247">
        <f>B28*'GWP N2O_CH4'!B4</f>
        <v>2611.0605655722306</v>
      </c>
      <c r="D28" s="50"/>
    </row>
    <row r="29" spans="1:4">
      <c r="A29" s="41" t="s">
        <v>276</v>
      </c>
      <c r="B29" s="247">
        <f>B34*'ha_N2O bodem landbouw'!B4</f>
        <v>18.628175405167717</v>
      </c>
      <c r="C29" s="247">
        <f>B29*'GWP N2O_CH4'!B4</f>
        <v>5774.7343756019918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4.0848234735963544E-3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7.7566020870000005E-5</v>
      </c>
      <c r="C5" s="463" t="s">
        <v>210</v>
      </c>
      <c r="D5" s="448">
        <f>SUM(D6:D11)</f>
        <v>4.0900325093350804E-4</v>
      </c>
      <c r="E5" s="448">
        <f>SUM(E6:E11)</f>
        <v>3.0382436067177501E-4</v>
      </c>
      <c r="F5" s="461" t="s">
        <v>210</v>
      </c>
      <c r="G5" s="448">
        <f>SUM(G6:G11)</f>
        <v>9.5919038894375613E-2</v>
      </c>
      <c r="H5" s="448">
        <f>SUM(H6:H11)</f>
        <v>3.0083354539006183E-2</v>
      </c>
      <c r="I5" s="463" t="s">
        <v>210</v>
      </c>
      <c r="J5" s="463" t="s">
        <v>210</v>
      </c>
      <c r="K5" s="463" t="s">
        <v>210</v>
      </c>
      <c r="L5" s="463" t="s">
        <v>210</v>
      </c>
      <c r="M5" s="448">
        <f>SUM(M6:M11)</f>
        <v>7.5084425200078264E-3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2.5523602204999998E-5</v>
      </c>
      <c r="C6" s="449"/>
      <c r="D6" s="917">
        <f>vkm_2011_GW_PW*SUMIFS(TableVerdeelsleutelVkm[CNG],TableVerdeelsleutelVkm[Voertuigtype],"Lichte voertuigen")*SUMIFS(TableECFTransport[EnergieConsumptieFactor (PJ per km)],TableECFTransport[Index],CONCATENATE($A6,"_CNG_CNG"))</f>
        <v>8.8749912365268012E-5</v>
      </c>
      <c r="E6" s="917">
        <f>vkm_2011_GW_PW*SUMIFS(TableVerdeelsleutelVkm[LPG],TableVerdeelsleutelVkm[Voertuigtype],"Lichte voertuigen")*SUMIFS(TableECFTransport[EnergieConsumptieFactor (PJ per km)],TableECFTransport[Index],CONCATENATE($A6,"_LPG_LPG"))</f>
        <v>6.9920308935599997E-5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1.9033121086521897E-2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6.6603282300896896E-3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1.5353450889405249E-3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9.0161436553947427E-3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2.2714571307429075E-6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5.1989901156442768E-4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5.2042418665000001E-5</v>
      </c>
      <c r="C8" s="449"/>
      <c r="D8" s="451">
        <f>vkm_2011_NGW_PW*SUMIFS(TableVerdeelsleutelVkm[CNG],TableVerdeelsleutelVkm[Voertuigtype],"Lichte voertuigen")*SUMIFS(TableECFTransport[EnergieConsumptieFactor (PJ per km)],TableECFTransport[Index],CONCATENATE($A8,"_CNG_CNG"))</f>
        <v>3.2025333856824001E-4</v>
      </c>
      <c r="E8" s="451">
        <f>vkm_2011_NGW_PW*SUMIFS(TableVerdeelsleutelVkm[LPG],TableVerdeelsleutelVkm[Voertuigtype],"Lichte voertuigen")*SUMIFS(TableECFTransport[EnergieConsumptieFactor (PJ per km)],TableECFTransport[Index],CONCATENATE($A8,"_LPG_LPG"))</f>
        <v>2.33904051736175E-4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5.9085120889691665E-2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2.3418666635700251E-2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4.9466560851722024E-3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8.7846532627673113E-3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2.0882160854996999E-6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5.0654233433067102E-4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21.546116908333335</v>
      </c>
      <c r="C14" s="21"/>
      <c r="D14" s="21">
        <f t="shared" ref="D14:M14" si="0">((D5)*10^9/3600)+D12</f>
        <v>113.61201414819668</v>
      </c>
      <c r="E14" s="21">
        <f t="shared" si="0"/>
        <v>84.395655742159718</v>
      </c>
      <c r="F14" s="21"/>
      <c r="G14" s="21">
        <f t="shared" si="0"/>
        <v>26644.177470659892</v>
      </c>
      <c r="H14" s="21">
        <f t="shared" si="0"/>
        <v>8356.487371946163</v>
      </c>
      <c r="I14" s="21"/>
      <c r="J14" s="21"/>
      <c r="K14" s="21"/>
      <c r="L14" s="21"/>
      <c r="M14" s="21">
        <f t="shared" si="0"/>
        <v>2085.6784777799517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1.1891003117859289E-2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0.25620494333475241</v>
      </c>
      <c r="C18" s="23"/>
      <c r="D18" s="23">
        <f t="shared" ref="D18:M18" si="1">D14*D16</f>
        <v>22.94962685793573</v>
      </c>
      <c r="E18" s="23">
        <f t="shared" si="1"/>
        <v>19.157813853470255</v>
      </c>
      <c r="F18" s="23"/>
      <c r="G18" s="23">
        <f t="shared" si="1"/>
        <v>7113.9953846661911</v>
      </c>
      <c r="H18" s="23">
        <f t="shared" si="1"/>
        <v>2080.7653556145947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2.0254889071539021E-3</v>
      </c>
      <c r="H50" s="321">
        <f t="shared" si="2"/>
        <v>0</v>
      </c>
      <c r="I50" s="321">
        <f t="shared" si="2"/>
        <v>0</v>
      </c>
      <c r="J50" s="321">
        <f t="shared" si="2"/>
        <v>0</v>
      </c>
      <c r="K50" s="321">
        <f t="shared" si="2"/>
        <v>0</v>
      </c>
      <c r="L50" s="321">
        <f t="shared" si="2"/>
        <v>0</v>
      </c>
      <c r="M50" s="321">
        <f t="shared" si="2"/>
        <v>1.1257689756765009E-4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2.0254889071539021E-3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1.1257689756765009E-4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562.63580754275063</v>
      </c>
      <c r="H54" s="21">
        <f t="shared" si="3"/>
        <v>0</v>
      </c>
      <c r="I54" s="21">
        <f t="shared" si="3"/>
        <v>0</v>
      </c>
      <c r="J54" s="21">
        <f t="shared" si="3"/>
        <v>0</v>
      </c>
      <c r="K54" s="21">
        <f t="shared" si="3"/>
        <v>0</v>
      </c>
      <c r="L54" s="21">
        <f t="shared" si="3"/>
        <v>0</v>
      </c>
      <c r="M54" s="21">
        <f t="shared" si="3"/>
        <v>31.271360435458355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1.1891003117859289E-2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150.22376061391444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7304.8899419999998</v>
      </c>
      <c r="D10" s="712">
        <f ca="1">tertiair!C16</f>
        <v>0</v>
      </c>
      <c r="E10" s="712">
        <f ca="1">tertiair!D16</f>
        <v>7952.9477996980004</v>
      </c>
      <c r="F10" s="712">
        <f>tertiair!E16</f>
        <v>90.744124296792762</v>
      </c>
      <c r="G10" s="712">
        <f ca="1">tertiair!F16</f>
        <v>773.41130248315176</v>
      </c>
      <c r="H10" s="712">
        <f>tertiair!G16</f>
        <v>0</v>
      </c>
      <c r="I10" s="712">
        <f>tertiair!H16</f>
        <v>0</v>
      </c>
      <c r="J10" s="712">
        <f>tertiair!I16</f>
        <v>0</v>
      </c>
      <c r="K10" s="712">
        <f>tertiair!J16</f>
        <v>1.8419497387563495E-2</v>
      </c>
      <c r="L10" s="712">
        <f>tertiair!K16</f>
        <v>0</v>
      </c>
      <c r="M10" s="712">
        <f ca="1">tertiair!L16</f>
        <v>0</v>
      </c>
      <c r="N10" s="712">
        <f>tertiair!M16</f>
        <v>0</v>
      </c>
      <c r="O10" s="712">
        <f ca="1">tertiair!N16</f>
        <v>722.58411145528726</v>
      </c>
      <c r="P10" s="712">
        <f>tertiair!O16</f>
        <v>14.691782297523464</v>
      </c>
      <c r="Q10" s="713">
        <f>tertiair!P16</f>
        <v>52.539138306495019</v>
      </c>
      <c r="R10" s="715">
        <f ca="1">SUM(C10:Q10)</f>
        <v>16911.826620034637</v>
      </c>
      <c r="S10" s="67"/>
    </row>
    <row r="11" spans="1:19" s="474" customFormat="1">
      <c r="A11" s="834" t="s">
        <v>224</v>
      </c>
      <c r="B11" s="839"/>
      <c r="C11" s="712">
        <f>huishoudens!B8</f>
        <v>15079.735146090503</v>
      </c>
      <c r="D11" s="712">
        <f>huishoudens!C8</f>
        <v>0</v>
      </c>
      <c r="E11" s="712">
        <f>huishoudens!D8</f>
        <v>22433.271611740001</v>
      </c>
      <c r="F11" s="712">
        <f>huishoudens!E8</f>
        <v>6137.2495085199071</v>
      </c>
      <c r="G11" s="712">
        <f>huishoudens!F8</f>
        <v>15887.180403097984</v>
      </c>
      <c r="H11" s="712">
        <f>huishoudens!G8</f>
        <v>0</v>
      </c>
      <c r="I11" s="712">
        <f>huishoudens!H8</f>
        <v>0</v>
      </c>
      <c r="J11" s="712">
        <f>huishoudens!I8</f>
        <v>0</v>
      </c>
      <c r="K11" s="712">
        <f>huishoudens!J8</f>
        <v>1083.1359485394955</v>
      </c>
      <c r="L11" s="712">
        <f>huishoudens!K8</f>
        <v>0</v>
      </c>
      <c r="M11" s="712">
        <f>huishoudens!L8</f>
        <v>0</v>
      </c>
      <c r="N11" s="712">
        <f>huishoudens!M8</f>
        <v>0</v>
      </c>
      <c r="O11" s="712">
        <f>huishoudens!N8</f>
        <v>11082.500440540751</v>
      </c>
      <c r="P11" s="712">
        <f>huishoudens!O8</f>
        <v>321.40123154069914</v>
      </c>
      <c r="Q11" s="713">
        <f>huishoudens!P8</f>
        <v>484.56212815351103</v>
      </c>
      <c r="R11" s="715">
        <f>SUM(C11:Q11)</f>
        <v>72509.036418222851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1590.0683349999999</v>
      </c>
      <c r="D13" s="712">
        <f>industrie!C18</f>
        <v>0</v>
      </c>
      <c r="E13" s="712">
        <f>industrie!D18</f>
        <v>1288.3392947480002</v>
      </c>
      <c r="F13" s="712">
        <f>industrie!E18</f>
        <v>226.12585245386407</v>
      </c>
      <c r="G13" s="712">
        <f>industrie!F18</f>
        <v>715.43597133067954</v>
      </c>
      <c r="H13" s="712">
        <f>industrie!G18</f>
        <v>0</v>
      </c>
      <c r="I13" s="712">
        <f>industrie!H18</f>
        <v>0</v>
      </c>
      <c r="J13" s="712">
        <f>industrie!I18</f>
        <v>0</v>
      </c>
      <c r="K13" s="712">
        <f>industrie!J18</f>
        <v>4.2830899384157304</v>
      </c>
      <c r="L13" s="712">
        <f>industrie!K18</f>
        <v>0</v>
      </c>
      <c r="M13" s="712">
        <f>industrie!L18</f>
        <v>0</v>
      </c>
      <c r="N13" s="712">
        <f>industrie!M18</f>
        <v>0</v>
      </c>
      <c r="O13" s="712">
        <f>industrie!N18</f>
        <v>85.520167376011912</v>
      </c>
      <c r="P13" s="712">
        <f>industrie!O18</f>
        <v>0</v>
      </c>
      <c r="Q13" s="713">
        <f>industrie!P18</f>
        <v>0</v>
      </c>
      <c r="R13" s="715">
        <f>SUM(C13:Q13)</f>
        <v>3909.7727108469712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23974.693423090503</v>
      </c>
      <c r="D16" s="748">
        <f t="shared" ref="D16:R16" ca="1" si="0">SUM(D9:D15)</f>
        <v>0</v>
      </c>
      <c r="E16" s="748">
        <f t="shared" ca="1" si="0"/>
        <v>31674.558706186002</v>
      </c>
      <c r="F16" s="748">
        <f t="shared" si="0"/>
        <v>6454.1194852705639</v>
      </c>
      <c r="G16" s="748">
        <f t="shared" ca="1" si="0"/>
        <v>17376.027676911817</v>
      </c>
      <c r="H16" s="748">
        <f t="shared" si="0"/>
        <v>0</v>
      </c>
      <c r="I16" s="748">
        <f t="shared" si="0"/>
        <v>0</v>
      </c>
      <c r="J16" s="748">
        <f t="shared" si="0"/>
        <v>0</v>
      </c>
      <c r="K16" s="748">
        <f t="shared" si="0"/>
        <v>1087.4374579752989</v>
      </c>
      <c r="L16" s="748">
        <f t="shared" si="0"/>
        <v>0</v>
      </c>
      <c r="M16" s="748">
        <f t="shared" ca="1" si="0"/>
        <v>0</v>
      </c>
      <c r="N16" s="748">
        <f t="shared" si="0"/>
        <v>0</v>
      </c>
      <c r="O16" s="748">
        <f t="shared" ca="1" si="0"/>
        <v>11890.60471937205</v>
      </c>
      <c r="P16" s="748">
        <f t="shared" si="0"/>
        <v>336.09301383822259</v>
      </c>
      <c r="Q16" s="748">
        <f t="shared" si="0"/>
        <v>537.10126646000606</v>
      </c>
      <c r="R16" s="748">
        <f t="shared" ca="1" si="0"/>
        <v>93330.635749104462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562.63580754275063</v>
      </c>
      <c r="I19" s="712">
        <f>transport!H54</f>
        <v>0</v>
      </c>
      <c r="J19" s="712">
        <f>transport!I54</f>
        <v>0</v>
      </c>
      <c r="K19" s="712">
        <f>transport!J54</f>
        <v>0</v>
      </c>
      <c r="L19" s="712">
        <f>transport!K54</f>
        <v>0</v>
      </c>
      <c r="M19" s="712">
        <f>transport!L54</f>
        <v>0</v>
      </c>
      <c r="N19" s="712">
        <f>transport!M54</f>
        <v>31.271360435458355</v>
      </c>
      <c r="O19" s="712">
        <f>transport!N54</f>
        <v>0</v>
      </c>
      <c r="P19" s="712">
        <f>transport!O54</f>
        <v>0</v>
      </c>
      <c r="Q19" s="713">
        <f>transport!P54</f>
        <v>0</v>
      </c>
      <c r="R19" s="715">
        <f>SUM(C19:Q19)</f>
        <v>593.90716797820903</v>
      </c>
      <c r="S19" s="67"/>
    </row>
    <row r="20" spans="1:19" s="474" customFormat="1">
      <c r="A20" s="834" t="s">
        <v>306</v>
      </c>
      <c r="B20" s="839"/>
      <c r="C20" s="712">
        <f>transport!B14</f>
        <v>21.546116908333335</v>
      </c>
      <c r="D20" s="712">
        <f>transport!C14</f>
        <v>0</v>
      </c>
      <c r="E20" s="712">
        <f>transport!D14</f>
        <v>113.61201414819668</v>
      </c>
      <c r="F20" s="712">
        <f>transport!E14</f>
        <v>84.395655742159718</v>
      </c>
      <c r="G20" s="712">
        <f>transport!F14</f>
        <v>0</v>
      </c>
      <c r="H20" s="712">
        <f>transport!G14</f>
        <v>26644.177470659892</v>
      </c>
      <c r="I20" s="712">
        <f>transport!H14</f>
        <v>8356.487371946163</v>
      </c>
      <c r="J20" s="712">
        <f>transport!I14</f>
        <v>0</v>
      </c>
      <c r="K20" s="712">
        <f>transport!J14</f>
        <v>0</v>
      </c>
      <c r="L20" s="712">
        <f>transport!K14</f>
        <v>0</v>
      </c>
      <c r="M20" s="712">
        <f>transport!L14</f>
        <v>0</v>
      </c>
      <c r="N20" s="712">
        <f>transport!M14</f>
        <v>2085.6784777799517</v>
      </c>
      <c r="O20" s="712">
        <f>transport!N14</f>
        <v>0</v>
      </c>
      <c r="P20" s="712">
        <f>transport!O14</f>
        <v>0</v>
      </c>
      <c r="Q20" s="713">
        <f>transport!P14</f>
        <v>0</v>
      </c>
      <c r="R20" s="715">
        <f>SUM(C20:Q20)</f>
        <v>37305.897107184697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21.546116908333335</v>
      </c>
      <c r="D22" s="837">
        <f t="shared" ref="D22:R22" si="1">SUM(D18:D21)</f>
        <v>0</v>
      </c>
      <c r="E22" s="837">
        <f t="shared" si="1"/>
        <v>113.61201414819668</v>
      </c>
      <c r="F22" s="837">
        <f t="shared" si="1"/>
        <v>84.395655742159718</v>
      </c>
      <c r="G22" s="837">
        <f t="shared" si="1"/>
        <v>0</v>
      </c>
      <c r="H22" s="837">
        <f t="shared" si="1"/>
        <v>27206.813278202644</v>
      </c>
      <c r="I22" s="837">
        <f t="shared" si="1"/>
        <v>8356.487371946163</v>
      </c>
      <c r="J22" s="837">
        <f t="shared" si="1"/>
        <v>0</v>
      </c>
      <c r="K22" s="837">
        <f t="shared" si="1"/>
        <v>0</v>
      </c>
      <c r="L22" s="837">
        <f t="shared" si="1"/>
        <v>0</v>
      </c>
      <c r="M22" s="837">
        <f t="shared" si="1"/>
        <v>0</v>
      </c>
      <c r="N22" s="837">
        <f t="shared" si="1"/>
        <v>2116.9498382154102</v>
      </c>
      <c r="O22" s="837">
        <f t="shared" si="1"/>
        <v>0</v>
      </c>
      <c r="P22" s="837">
        <f t="shared" si="1"/>
        <v>0</v>
      </c>
      <c r="Q22" s="837">
        <f t="shared" si="1"/>
        <v>0</v>
      </c>
      <c r="R22" s="837">
        <f t="shared" si="1"/>
        <v>37899.804275162904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2324.8807670000001</v>
      </c>
      <c r="D24" s="712">
        <f>+landbouw!C8</f>
        <v>32764.499999999996</v>
      </c>
      <c r="E24" s="712">
        <f>+landbouw!D8</f>
        <v>155.05586558000002</v>
      </c>
      <c r="F24" s="712">
        <f>+landbouw!E8</f>
        <v>72.558762086973161</v>
      </c>
      <c r="G24" s="712">
        <f>+landbouw!F8</f>
        <v>8216.3861739218792</v>
      </c>
      <c r="H24" s="712">
        <f>+landbouw!G8</f>
        <v>0</v>
      </c>
      <c r="I24" s="712">
        <f>+landbouw!H8</f>
        <v>0</v>
      </c>
      <c r="J24" s="712">
        <f>+landbouw!I8</f>
        <v>0</v>
      </c>
      <c r="K24" s="712">
        <f>+landbouw!J8</f>
        <v>640.52077421531897</v>
      </c>
      <c r="L24" s="712">
        <f>+landbouw!K8</f>
        <v>0</v>
      </c>
      <c r="M24" s="712">
        <f>+landbouw!L8</f>
        <v>0</v>
      </c>
      <c r="N24" s="712">
        <f>+landbouw!M8</f>
        <v>0</v>
      </c>
      <c r="O24" s="712">
        <f>+landbouw!N8</f>
        <v>0</v>
      </c>
      <c r="P24" s="712">
        <f>+landbouw!O8</f>
        <v>0</v>
      </c>
      <c r="Q24" s="713">
        <f>+landbouw!P8</f>
        <v>0</v>
      </c>
      <c r="R24" s="715">
        <f>SUM(C24:Q24)</f>
        <v>44173.902342804162</v>
      </c>
      <c r="S24" s="67"/>
    </row>
    <row r="25" spans="1:19" s="474" customFormat="1" ht="15" thickBot="1">
      <c r="A25" s="856" t="s">
        <v>734</v>
      </c>
      <c r="B25" s="982"/>
      <c r="C25" s="983">
        <f>IF(Onbekend_ele_kWh="---",0,Onbekend_ele_kWh)/1000+IF(REST_rest_ele_kWh="---",0,REST_rest_ele_kWh)/1000</f>
        <v>386.64480599999996</v>
      </c>
      <c r="D25" s="983"/>
      <c r="E25" s="983">
        <f>IF(onbekend_gas_kWh="---",0,onbekend_gas_kWh)/1000+IF(REST_rest_gas_kWh="---",0,REST_rest_gas_kWh)/1000</f>
        <v>561.16279899999995</v>
      </c>
      <c r="F25" s="983"/>
      <c r="G25" s="983"/>
      <c r="H25" s="983"/>
      <c r="I25" s="983"/>
      <c r="J25" s="983"/>
      <c r="K25" s="983"/>
      <c r="L25" s="983"/>
      <c r="M25" s="983"/>
      <c r="N25" s="983"/>
      <c r="O25" s="983"/>
      <c r="P25" s="983"/>
      <c r="Q25" s="984"/>
      <c r="R25" s="715">
        <f>SUM(C25:Q25)</f>
        <v>947.80760499999997</v>
      </c>
      <c r="S25" s="67"/>
    </row>
    <row r="26" spans="1:19" s="474" customFormat="1" ht="15.75" thickBot="1">
      <c r="A26" s="720" t="s">
        <v>735</v>
      </c>
      <c r="B26" s="842"/>
      <c r="C26" s="837">
        <f>SUM(C24:C25)</f>
        <v>2711.5255729999999</v>
      </c>
      <c r="D26" s="837">
        <f t="shared" ref="D26:R26" si="2">SUM(D24:D25)</f>
        <v>32764.499999999996</v>
      </c>
      <c r="E26" s="837">
        <f t="shared" si="2"/>
        <v>716.21866458</v>
      </c>
      <c r="F26" s="837">
        <f t="shared" si="2"/>
        <v>72.558762086973161</v>
      </c>
      <c r="G26" s="837">
        <f t="shared" si="2"/>
        <v>8216.3861739218792</v>
      </c>
      <c r="H26" s="837">
        <f t="shared" si="2"/>
        <v>0</v>
      </c>
      <c r="I26" s="837">
        <f t="shared" si="2"/>
        <v>0</v>
      </c>
      <c r="J26" s="837">
        <f t="shared" si="2"/>
        <v>0</v>
      </c>
      <c r="K26" s="837">
        <f t="shared" si="2"/>
        <v>640.52077421531897</v>
      </c>
      <c r="L26" s="837">
        <f t="shared" si="2"/>
        <v>0</v>
      </c>
      <c r="M26" s="837">
        <f t="shared" si="2"/>
        <v>0</v>
      </c>
      <c r="N26" s="837">
        <f t="shared" si="2"/>
        <v>0</v>
      </c>
      <c r="O26" s="837">
        <f t="shared" si="2"/>
        <v>0</v>
      </c>
      <c r="P26" s="837">
        <f t="shared" si="2"/>
        <v>0</v>
      </c>
      <c r="Q26" s="837">
        <f t="shared" si="2"/>
        <v>0</v>
      </c>
      <c r="R26" s="837">
        <f t="shared" si="2"/>
        <v>45121.709947804164</v>
      </c>
      <c r="S26" s="67"/>
    </row>
    <row r="27" spans="1:19" s="474" customFormat="1" ht="17.25" thickTop="1" thickBot="1">
      <c r="A27" s="721" t="s">
        <v>115</v>
      </c>
      <c r="B27" s="829"/>
      <c r="C27" s="722">
        <f ca="1">C22+C16+C26</f>
        <v>26707.765112998834</v>
      </c>
      <c r="D27" s="722">
        <f t="shared" ref="D27:R27" ca="1" si="3">D22+D16+D26</f>
        <v>32764.499999999996</v>
      </c>
      <c r="E27" s="722">
        <f t="shared" ca="1" si="3"/>
        <v>32504.389384914197</v>
      </c>
      <c r="F27" s="722">
        <f t="shared" si="3"/>
        <v>6611.0739030996965</v>
      </c>
      <c r="G27" s="722">
        <f t="shared" ca="1" si="3"/>
        <v>25592.413850833698</v>
      </c>
      <c r="H27" s="722">
        <f t="shared" si="3"/>
        <v>27206.813278202644</v>
      </c>
      <c r="I27" s="722">
        <f t="shared" si="3"/>
        <v>8356.487371946163</v>
      </c>
      <c r="J27" s="722">
        <f t="shared" si="3"/>
        <v>0</v>
      </c>
      <c r="K27" s="722">
        <f t="shared" si="3"/>
        <v>1727.9582321906178</v>
      </c>
      <c r="L27" s="722">
        <f t="shared" si="3"/>
        <v>0</v>
      </c>
      <c r="M27" s="722">
        <f t="shared" ca="1" si="3"/>
        <v>0</v>
      </c>
      <c r="N27" s="722">
        <f t="shared" si="3"/>
        <v>2116.9498382154102</v>
      </c>
      <c r="O27" s="722">
        <f t="shared" ca="1" si="3"/>
        <v>11890.60471937205</v>
      </c>
      <c r="P27" s="722">
        <f t="shared" si="3"/>
        <v>336.09301383822259</v>
      </c>
      <c r="Q27" s="722">
        <f t="shared" si="3"/>
        <v>537.10126646000606</v>
      </c>
      <c r="R27" s="722">
        <f t="shared" ca="1" si="3"/>
        <v>176352.14997207152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86.862469075940965</v>
      </c>
      <c r="D40" s="712">
        <f ca="1">tertiair!C20</f>
        <v>0</v>
      </c>
      <c r="E40" s="712">
        <f ca="1">tertiair!D20</f>
        <v>1606.4954555389961</v>
      </c>
      <c r="F40" s="712">
        <f>tertiair!E20</f>
        <v>20.598916215371958</v>
      </c>
      <c r="G40" s="712">
        <f ca="1">tertiair!F20</f>
        <v>206.50081776300152</v>
      </c>
      <c r="H40" s="712">
        <f>tertiair!G20</f>
        <v>0</v>
      </c>
      <c r="I40" s="712">
        <f>tertiair!H20</f>
        <v>0</v>
      </c>
      <c r="J40" s="712">
        <f>tertiair!I20</f>
        <v>0</v>
      </c>
      <c r="K40" s="712">
        <f>tertiair!J20</f>
        <v>6.5205020751974768E-3</v>
      </c>
      <c r="L40" s="712">
        <f>tertiair!K20</f>
        <v>0</v>
      </c>
      <c r="M40" s="712">
        <f ca="1">tertiair!L20</f>
        <v>0</v>
      </c>
      <c r="N40" s="712">
        <f>tertiair!M20</f>
        <v>0</v>
      </c>
      <c r="O40" s="712">
        <f ca="1">tertiair!N20</f>
        <v>0</v>
      </c>
      <c r="P40" s="712">
        <f>tertiair!O20</f>
        <v>0</v>
      </c>
      <c r="Q40" s="795">
        <f>tertiair!P20</f>
        <v>0</v>
      </c>
      <c r="R40" s="875">
        <f t="shared" ca="1" si="4"/>
        <v>1920.4641790953856</v>
      </c>
    </row>
    <row r="41" spans="1:18">
      <c r="A41" s="847" t="s">
        <v>224</v>
      </c>
      <c r="B41" s="854"/>
      <c r="C41" s="712">
        <f ca="1">huishoudens!B12</f>
        <v>179.31317763865448</v>
      </c>
      <c r="D41" s="712">
        <f ca="1">huishoudens!C12</f>
        <v>0</v>
      </c>
      <c r="E41" s="712">
        <f>huishoudens!D12</f>
        <v>4531.5208655714805</v>
      </c>
      <c r="F41" s="712">
        <f>huishoudens!E12</f>
        <v>1393.155638434019</v>
      </c>
      <c r="G41" s="712">
        <f>huishoudens!F12</f>
        <v>4241.8771676271617</v>
      </c>
      <c r="H41" s="712">
        <f>huishoudens!G12</f>
        <v>0</v>
      </c>
      <c r="I41" s="712">
        <f>huishoudens!H12</f>
        <v>0</v>
      </c>
      <c r="J41" s="712">
        <f>huishoudens!I12</f>
        <v>0</v>
      </c>
      <c r="K41" s="712">
        <f>huishoudens!J12</f>
        <v>383.43012578298141</v>
      </c>
      <c r="L41" s="712">
        <f>huishoudens!K12</f>
        <v>0</v>
      </c>
      <c r="M41" s="712">
        <f>huishoudens!L12</f>
        <v>0</v>
      </c>
      <c r="N41" s="712">
        <f>huishoudens!M12</f>
        <v>0</v>
      </c>
      <c r="O41" s="712">
        <f>huishoudens!N12</f>
        <v>0</v>
      </c>
      <c r="P41" s="712">
        <f>huishoudens!O12</f>
        <v>0</v>
      </c>
      <c r="Q41" s="795">
        <f>huishoudens!P12</f>
        <v>0</v>
      </c>
      <c r="R41" s="875">
        <f t="shared" ca="1" si="4"/>
        <v>10729.296975054296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18.907507529094328</v>
      </c>
      <c r="D43" s="712">
        <f ca="1">industrie!C22</f>
        <v>0</v>
      </c>
      <c r="E43" s="712">
        <f>industrie!D22</f>
        <v>260.24453753909603</v>
      </c>
      <c r="F43" s="712">
        <f>industrie!E22</f>
        <v>51.330568507027145</v>
      </c>
      <c r="G43" s="712">
        <f>industrie!F22</f>
        <v>191.02140434529144</v>
      </c>
      <c r="H43" s="712">
        <f>industrie!G22</f>
        <v>0</v>
      </c>
      <c r="I43" s="712">
        <f>industrie!H22</f>
        <v>0</v>
      </c>
      <c r="J43" s="712">
        <f>industrie!I22</f>
        <v>0</v>
      </c>
      <c r="K43" s="712">
        <f>industrie!J22</f>
        <v>1.5162138381991686</v>
      </c>
      <c r="L43" s="712">
        <f>industrie!K22</f>
        <v>0</v>
      </c>
      <c r="M43" s="712">
        <f>industrie!L22</f>
        <v>0</v>
      </c>
      <c r="N43" s="712">
        <f>industrie!M22</f>
        <v>0</v>
      </c>
      <c r="O43" s="712">
        <f>industrie!N22</f>
        <v>0</v>
      </c>
      <c r="P43" s="712">
        <f>industrie!O22</f>
        <v>0</v>
      </c>
      <c r="Q43" s="795">
        <f>industrie!P22</f>
        <v>0</v>
      </c>
      <c r="R43" s="874">
        <f t="shared" ca="1" si="4"/>
        <v>523.02023175870806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285.08315424368982</v>
      </c>
      <c r="D46" s="748">
        <f t="shared" ref="D46:Q46" ca="1" si="5">SUM(D39:D45)</f>
        <v>0</v>
      </c>
      <c r="E46" s="748">
        <f t="shared" ca="1" si="5"/>
        <v>6398.2608586495726</v>
      </c>
      <c r="F46" s="748">
        <f t="shared" si="5"/>
        <v>1465.0851231564181</v>
      </c>
      <c r="G46" s="748">
        <f t="shared" ca="1" si="5"/>
        <v>4639.3993897354549</v>
      </c>
      <c r="H46" s="748">
        <f t="shared" si="5"/>
        <v>0</v>
      </c>
      <c r="I46" s="748">
        <f t="shared" si="5"/>
        <v>0</v>
      </c>
      <c r="J46" s="748">
        <f t="shared" si="5"/>
        <v>0</v>
      </c>
      <c r="K46" s="748">
        <f t="shared" si="5"/>
        <v>384.95286012325579</v>
      </c>
      <c r="L46" s="748">
        <f t="shared" si="5"/>
        <v>0</v>
      </c>
      <c r="M46" s="748">
        <f t="shared" ca="1" si="5"/>
        <v>0</v>
      </c>
      <c r="N46" s="748">
        <f t="shared" si="5"/>
        <v>0</v>
      </c>
      <c r="O46" s="748">
        <f t="shared" ca="1" si="5"/>
        <v>0</v>
      </c>
      <c r="P46" s="748">
        <f t="shared" si="5"/>
        <v>0</v>
      </c>
      <c r="Q46" s="748">
        <f t="shared" si="5"/>
        <v>0</v>
      </c>
      <c r="R46" s="748">
        <f ca="1">SUM(R39:R45)</f>
        <v>13172.781385908389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150.22376061391444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150.22376061391444</v>
      </c>
    </row>
    <row r="50" spans="1:18">
      <c r="A50" s="850" t="s">
        <v>306</v>
      </c>
      <c r="B50" s="860"/>
      <c r="C50" s="718">
        <f ca="1">transport!B18</f>
        <v>0.25620494333475241</v>
      </c>
      <c r="D50" s="718">
        <f>transport!C18</f>
        <v>0</v>
      </c>
      <c r="E50" s="718">
        <f>transport!D18</f>
        <v>22.94962685793573</v>
      </c>
      <c r="F50" s="718">
        <f>transport!E18</f>
        <v>19.157813853470255</v>
      </c>
      <c r="G50" s="718">
        <f>transport!F18</f>
        <v>0</v>
      </c>
      <c r="H50" s="718">
        <f>transport!G18</f>
        <v>7113.9953846661911</v>
      </c>
      <c r="I50" s="718">
        <f>transport!H18</f>
        <v>2080.7653556145947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9237.1243859355272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0.25620494333475241</v>
      </c>
      <c r="D52" s="748">
        <f t="shared" ref="D52:Q52" ca="1" si="6">SUM(D48:D51)</f>
        <v>0</v>
      </c>
      <c r="E52" s="748">
        <f t="shared" si="6"/>
        <v>22.94962685793573</v>
      </c>
      <c r="F52" s="748">
        <f t="shared" si="6"/>
        <v>19.157813853470255</v>
      </c>
      <c r="G52" s="748">
        <f t="shared" si="6"/>
        <v>0</v>
      </c>
      <c r="H52" s="748">
        <f t="shared" si="6"/>
        <v>7264.2191452801053</v>
      </c>
      <c r="I52" s="748">
        <f t="shared" si="6"/>
        <v>2080.7653556145947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9387.3481465494424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27.645164449048096</v>
      </c>
      <c r="D54" s="718">
        <f ca="1">+landbouw!C12</f>
        <v>0</v>
      </c>
      <c r="E54" s="718">
        <f>+landbouw!D12</f>
        <v>31.321284847160005</v>
      </c>
      <c r="F54" s="718">
        <f>+landbouw!E12</f>
        <v>16.470838993742909</v>
      </c>
      <c r="G54" s="718">
        <f>+landbouw!F12</f>
        <v>2193.7751084371421</v>
      </c>
      <c r="H54" s="718">
        <f>+landbouw!G12</f>
        <v>0</v>
      </c>
      <c r="I54" s="718">
        <f>+landbouw!H12</f>
        <v>0</v>
      </c>
      <c r="J54" s="718">
        <f>+landbouw!I12</f>
        <v>0</v>
      </c>
      <c r="K54" s="718">
        <f>+landbouw!J12</f>
        <v>226.7443540722229</v>
      </c>
      <c r="L54" s="718">
        <f>+landbouw!K12</f>
        <v>0</v>
      </c>
      <c r="M54" s="718">
        <f>+landbouw!L12</f>
        <v>0</v>
      </c>
      <c r="N54" s="718">
        <f>+landbouw!M12</f>
        <v>0</v>
      </c>
      <c r="O54" s="718">
        <f>+landbouw!N12</f>
        <v>0</v>
      </c>
      <c r="P54" s="718">
        <f>+landbouw!O12</f>
        <v>0</v>
      </c>
      <c r="Q54" s="719">
        <f>+landbouw!P12</f>
        <v>0</v>
      </c>
      <c r="R54" s="747">
        <f ca="1">SUM(C54:Q54)</f>
        <v>2495.9567507993161</v>
      </c>
    </row>
    <row r="55" spans="1:18" ht="15" thickBot="1">
      <c r="A55" s="850" t="s">
        <v>734</v>
      </c>
      <c r="B55" s="860"/>
      <c r="C55" s="718">
        <f ca="1">C25*'EF ele_warmte'!B12</f>
        <v>4.5975945936500997</v>
      </c>
      <c r="D55" s="718"/>
      <c r="E55" s="718">
        <f>E25*EF_CO2_aardgas</f>
        <v>113.35488539799999</v>
      </c>
      <c r="F55" s="718"/>
      <c r="G55" s="718"/>
      <c r="H55" s="718"/>
      <c r="I55" s="718"/>
      <c r="J55" s="718"/>
      <c r="K55" s="718"/>
      <c r="L55" s="718"/>
      <c r="M55" s="718"/>
      <c r="N55" s="718"/>
      <c r="O55" s="718"/>
      <c r="P55" s="718"/>
      <c r="Q55" s="719"/>
      <c r="R55" s="747">
        <f ca="1">SUM(C55:Q55)</f>
        <v>117.95247999165009</v>
      </c>
    </row>
    <row r="56" spans="1:18" ht="15.75" thickBot="1">
      <c r="A56" s="848" t="s">
        <v>735</v>
      </c>
      <c r="B56" s="861"/>
      <c r="C56" s="748">
        <f ca="1">SUM(C54:C55)</f>
        <v>32.242759042698196</v>
      </c>
      <c r="D56" s="748">
        <f t="shared" ref="D56:Q56" ca="1" si="7">SUM(D54:D55)</f>
        <v>0</v>
      </c>
      <c r="E56" s="748">
        <f t="shared" si="7"/>
        <v>144.67617024515999</v>
      </c>
      <c r="F56" s="748">
        <f t="shared" si="7"/>
        <v>16.470838993742909</v>
      </c>
      <c r="G56" s="748">
        <f t="shared" si="7"/>
        <v>2193.7751084371421</v>
      </c>
      <c r="H56" s="748">
        <f t="shared" si="7"/>
        <v>0</v>
      </c>
      <c r="I56" s="748">
        <f t="shared" si="7"/>
        <v>0</v>
      </c>
      <c r="J56" s="748">
        <f t="shared" si="7"/>
        <v>0</v>
      </c>
      <c r="K56" s="748">
        <f t="shared" si="7"/>
        <v>226.7443540722229</v>
      </c>
      <c r="L56" s="748">
        <f t="shared" si="7"/>
        <v>0</v>
      </c>
      <c r="M56" s="748">
        <f t="shared" si="7"/>
        <v>0</v>
      </c>
      <c r="N56" s="748">
        <f t="shared" si="7"/>
        <v>0</v>
      </c>
      <c r="O56" s="748">
        <f t="shared" si="7"/>
        <v>0</v>
      </c>
      <c r="P56" s="748">
        <f t="shared" si="7"/>
        <v>0</v>
      </c>
      <c r="Q56" s="749">
        <f t="shared" si="7"/>
        <v>0</v>
      </c>
      <c r="R56" s="750">
        <f ca="1">SUM(R54:R55)</f>
        <v>2613.9092307909664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317.58211822972277</v>
      </c>
      <c r="D61" s="756">
        <f t="shared" ref="D61:Q61" ca="1" si="8">D46+D52+D56</f>
        <v>0</v>
      </c>
      <c r="E61" s="756">
        <f t="shared" ca="1" si="8"/>
        <v>6565.886655752669</v>
      </c>
      <c r="F61" s="756">
        <f t="shared" si="8"/>
        <v>1500.7137760036314</v>
      </c>
      <c r="G61" s="756">
        <f t="shared" ca="1" si="8"/>
        <v>6833.1744981725969</v>
      </c>
      <c r="H61" s="756">
        <f t="shared" si="8"/>
        <v>7264.2191452801053</v>
      </c>
      <c r="I61" s="756">
        <f t="shared" si="8"/>
        <v>2080.7653556145947</v>
      </c>
      <c r="J61" s="756">
        <f t="shared" si="8"/>
        <v>0</v>
      </c>
      <c r="K61" s="756">
        <f t="shared" si="8"/>
        <v>611.69721419547864</v>
      </c>
      <c r="L61" s="756">
        <f t="shared" si="8"/>
        <v>0</v>
      </c>
      <c r="M61" s="756">
        <f t="shared" ca="1" si="8"/>
        <v>0</v>
      </c>
      <c r="N61" s="756">
        <f t="shared" si="8"/>
        <v>0</v>
      </c>
      <c r="O61" s="756">
        <f t="shared" ca="1" si="8"/>
        <v>0</v>
      </c>
      <c r="P61" s="756">
        <f t="shared" si="8"/>
        <v>0</v>
      </c>
      <c r="Q61" s="756">
        <f t="shared" si="8"/>
        <v>0</v>
      </c>
      <c r="R61" s="756">
        <f ca="1">R46+R52+R56</f>
        <v>25174.038763248798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1.1891003117859292E-2</v>
      </c>
      <c r="D63" s="802">
        <f t="shared" ca="1" si="9"/>
        <v>0</v>
      </c>
      <c r="E63" s="1008">
        <f t="shared" ca="1" si="9"/>
        <v>0.20200000000000004</v>
      </c>
      <c r="F63" s="802">
        <f t="shared" si="9"/>
        <v>0.22700000000000006</v>
      </c>
      <c r="G63" s="802">
        <f t="shared" ca="1" si="9"/>
        <v>0.26699999999999996</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2335.5919535883231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22935.15</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26982.529411764714</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25270.741953588324</v>
      </c>
      <c r="C78" s="774">
        <f>SUM(C72:C77)</f>
        <v>0</v>
      </c>
      <c r="D78" s="775">
        <f t="shared" ref="D78:H78" si="10">SUM(D76:D77)</f>
        <v>0</v>
      </c>
      <c r="E78" s="775">
        <f t="shared" si="10"/>
        <v>0</v>
      </c>
      <c r="F78" s="775">
        <f t="shared" si="10"/>
        <v>0</v>
      </c>
      <c r="G78" s="775">
        <f t="shared" si="10"/>
        <v>0</v>
      </c>
      <c r="H78" s="775">
        <f t="shared" si="10"/>
        <v>0</v>
      </c>
      <c r="I78" s="775">
        <f>SUM(I76:I77)</f>
        <v>0</v>
      </c>
      <c r="J78" s="775">
        <f>SUM(J76:J77)</f>
        <v>26982.529411764714</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32764.499999999996</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38546.470588235294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32764.499999999996</v>
      </c>
      <c r="C90" s="774">
        <f>SUM(C87:C89)</f>
        <v>0</v>
      </c>
      <c r="D90" s="774">
        <f t="shared" ref="D90:H90" si="12">SUM(D87:D89)</f>
        <v>0</v>
      </c>
      <c r="E90" s="774">
        <f t="shared" si="12"/>
        <v>0</v>
      </c>
      <c r="F90" s="774">
        <f t="shared" si="12"/>
        <v>0</v>
      </c>
      <c r="G90" s="774">
        <f t="shared" si="12"/>
        <v>0</v>
      </c>
      <c r="H90" s="774">
        <f t="shared" si="12"/>
        <v>0</v>
      </c>
      <c r="I90" s="774">
        <f>SUM(I87:I89)</f>
        <v>0</v>
      </c>
      <c r="J90" s="774">
        <f>SUM(J87:J89)</f>
        <v>38546.470588235294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2335.5919535883231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22935.15</v>
      </c>
      <c r="C8" s="574">
        <f>B101</f>
        <v>0</v>
      </c>
      <c r="D8" s="575"/>
      <c r="E8" s="575">
        <f>E101</f>
        <v>0</v>
      </c>
      <c r="F8" s="576"/>
      <c r="G8" s="577"/>
      <c r="H8" s="575">
        <f>I101</f>
        <v>0</v>
      </c>
      <c r="I8" s="575">
        <f>G101+F101</f>
        <v>0</v>
      </c>
      <c r="J8" s="575">
        <f>H101+D101+C101</f>
        <v>26982.529411764714</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25270.741953588324</v>
      </c>
      <c r="C10" s="589">
        <f t="shared" ref="C10:L10" si="0">SUM(C8:C9)</f>
        <v>0</v>
      </c>
      <c r="D10" s="589">
        <f t="shared" si="0"/>
        <v>0</v>
      </c>
      <c r="E10" s="589">
        <f t="shared" si="0"/>
        <v>0</v>
      </c>
      <c r="F10" s="589">
        <f t="shared" si="0"/>
        <v>0</v>
      </c>
      <c r="G10" s="589">
        <f t="shared" si="0"/>
        <v>0</v>
      </c>
      <c r="H10" s="589">
        <f t="shared" si="0"/>
        <v>0</v>
      </c>
      <c r="I10" s="589">
        <f t="shared" si="0"/>
        <v>0</v>
      </c>
      <c r="J10" s="589">
        <f t="shared" si="0"/>
        <v>26982.529411764714</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32764.499999999996</v>
      </c>
      <c r="C17" s="605">
        <f>B102</f>
        <v>0</v>
      </c>
      <c r="D17" s="606"/>
      <c r="E17" s="606">
        <f>E102</f>
        <v>0</v>
      </c>
      <c r="F17" s="607"/>
      <c r="G17" s="608"/>
      <c r="H17" s="605">
        <f>I102</f>
        <v>0</v>
      </c>
      <c r="I17" s="606">
        <f>G102+F102</f>
        <v>0</v>
      </c>
      <c r="J17" s="606">
        <f>H102+D102+C102</f>
        <v>38546.470588235294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32764.499999999996</v>
      </c>
      <c r="C20" s="588">
        <f>SUM(C17:C19)</f>
        <v>0</v>
      </c>
      <c r="D20" s="588">
        <f t="shared" ref="D20:L20" si="1">SUM(D17:D19)</f>
        <v>0</v>
      </c>
      <c r="E20" s="588">
        <f t="shared" si="1"/>
        <v>0</v>
      </c>
      <c r="F20" s="588">
        <f t="shared" si="1"/>
        <v>0</v>
      </c>
      <c r="G20" s="588">
        <f t="shared" si="1"/>
        <v>0</v>
      </c>
      <c r="H20" s="588">
        <f t="shared" si="1"/>
        <v>0</v>
      </c>
      <c r="I20" s="588">
        <f t="shared" si="1"/>
        <v>0</v>
      </c>
      <c r="J20" s="588">
        <f t="shared" si="1"/>
        <v>38546.470588235294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44080</v>
      </c>
      <c r="C28" s="817">
        <v>9930</v>
      </c>
      <c r="D28" s="666" t="s">
        <v>886</v>
      </c>
      <c r="E28" s="665" t="s">
        <v>887</v>
      </c>
      <c r="F28" s="665" t="s">
        <v>888</v>
      </c>
      <c r="G28" s="665" t="s">
        <v>889</v>
      </c>
      <c r="H28" s="665" t="s">
        <v>890</v>
      </c>
      <c r="I28" s="665" t="s">
        <v>887</v>
      </c>
      <c r="J28" s="816">
        <v>39702</v>
      </c>
      <c r="K28" s="816">
        <v>39373</v>
      </c>
      <c r="L28" s="665" t="s">
        <v>891</v>
      </c>
      <c r="M28" s="665">
        <v>1038</v>
      </c>
      <c r="N28" s="665">
        <v>4671</v>
      </c>
      <c r="O28" s="665">
        <v>6672.8571428571431</v>
      </c>
      <c r="P28" s="665">
        <v>0</v>
      </c>
      <c r="Q28" s="665">
        <v>13345.714285714286</v>
      </c>
      <c r="R28" s="665">
        <v>0</v>
      </c>
      <c r="S28" s="665">
        <v>0</v>
      </c>
      <c r="T28" s="665">
        <v>0</v>
      </c>
      <c r="U28" s="665">
        <v>0</v>
      </c>
      <c r="V28" s="665">
        <v>0</v>
      </c>
      <c r="W28" s="665">
        <v>0</v>
      </c>
      <c r="X28" s="665">
        <v>10</v>
      </c>
      <c r="Y28" s="665" t="s">
        <v>111</v>
      </c>
      <c r="Z28" s="667" t="s">
        <v>111</v>
      </c>
    </row>
    <row r="29" spans="1:26" s="619" customFormat="1" ht="25.5">
      <c r="A29" s="618"/>
      <c r="B29" s="817">
        <v>44080</v>
      </c>
      <c r="C29" s="817">
        <v>9930</v>
      </c>
      <c r="D29" s="666" t="s">
        <v>892</v>
      </c>
      <c r="E29" s="665" t="s">
        <v>893</v>
      </c>
      <c r="F29" s="665" t="s">
        <v>894</v>
      </c>
      <c r="G29" s="665" t="s">
        <v>889</v>
      </c>
      <c r="H29" s="665" t="s">
        <v>890</v>
      </c>
      <c r="I29" s="665" t="s">
        <v>893</v>
      </c>
      <c r="J29" s="816">
        <v>40744</v>
      </c>
      <c r="K29" s="816">
        <v>40192</v>
      </c>
      <c r="L29" s="665" t="s">
        <v>891</v>
      </c>
      <c r="M29" s="665">
        <v>2860</v>
      </c>
      <c r="N29" s="665">
        <v>12870</v>
      </c>
      <c r="O29" s="665">
        <v>18385.714285714286</v>
      </c>
      <c r="P29" s="665">
        <v>0</v>
      </c>
      <c r="Q29" s="665">
        <v>36771.428571428572</v>
      </c>
      <c r="R29" s="665">
        <v>0</v>
      </c>
      <c r="S29" s="665">
        <v>0</v>
      </c>
      <c r="T29" s="665">
        <v>0</v>
      </c>
      <c r="U29" s="665">
        <v>0</v>
      </c>
      <c r="V29" s="665">
        <v>0</v>
      </c>
      <c r="W29" s="665">
        <v>0</v>
      </c>
      <c r="X29" s="665">
        <v>10</v>
      </c>
      <c r="Y29" s="665" t="s">
        <v>111</v>
      </c>
      <c r="Z29" s="667" t="s">
        <v>111</v>
      </c>
    </row>
    <row r="30" spans="1:26" s="619" customFormat="1" ht="25.5">
      <c r="A30" s="618"/>
      <c r="B30" s="817">
        <v>44080</v>
      </c>
      <c r="C30" s="817">
        <v>9931</v>
      </c>
      <c r="D30" s="666" t="s">
        <v>895</v>
      </c>
      <c r="E30" s="665" t="s">
        <v>896</v>
      </c>
      <c r="F30" s="665" t="s">
        <v>897</v>
      </c>
      <c r="G30" s="665" t="s">
        <v>889</v>
      </c>
      <c r="H30" s="665" t="s">
        <v>890</v>
      </c>
      <c r="I30" s="665" t="s">
        <v>896</v>
      </c>
      <c r="J30" s="816">
        <v>41124</v>
      </c>
      <c r="K30" s="816">
        <v>41244</v>
      </c>
      <c r="L30" s="665" t="s">
        <v>891</v>
      </c>
      <c r="M30" s="665">
        <v>9.6999999999999993</v>
      </c>
      <c r="N30" s="665">
        <v>43.649999999999991</v>
      </c>
      <c r="O30" s="665">
        <v>62.357142857142847</v>
      </c>
      <c r="P30" s="665">
        <v>0</v>
      </c>
      <c r="Q30" s="665">
        <v>124.71428571428569</v>
      </c>
      <c r="R30" s="665">
        <v>0</v>
      </c>
      <c r="S30" s="665">
        <v>0</v>
      </c>
      <c r="T30" s="665">
        <v>0</v>
      </c>
      <c r="U30" s="665">
        <v>0</v>
      </c>
      <c r="V30" s="665">
        <v>0</v>
      </c>
      <c r="W30" s="665">
        <v>0</v>
      </c>
      <c r="X30" s="665">
        <v>10</v>
      </c>
      <c r="Y30" s="665" t="s">
        <v>111</v>
      </c>
      <c r="Z30" s="667" t="s">
        <v>111</v>
      </c>
    </row>
    <row r="31" spans="1:26" s="619" customFormat="1" ht="25.5">
      <c r="A31" s="618"/>
      <c r="B31" s="817">
        <v>44080</v>
      </c>
      <c r="C31" s="817">
        <v>9930</v>
      </c>
      <c r="D31" s="666" t="s">
        <v>886</v>
      </c>
      <c r="E31" s="665" t="s">
        <v>887</v>
      </c>
      <c r="F31" s="665" t="s">
        <v>898</v>
      </c>
      <c r="G31" s="665" t="s">
        <v>889</v>
      </c>
      <c r="H31" s="665" t="s">
        <v>890</v>
      </c>
      <c r="I31" s="665" t="s">
        <v>887</v>
      </c>
      <c r="J31" s="816">
        <v>42172</v>
      </c>
      <c r="K31" s="816">
        <v>42172</v>
      </c>
      <c r="L31" s="665" t="s">
        <v>891</v>
      </c>
      <c r="M31" s="665">
        <v>1189</v>
      </c>
      <c r="N31" s="665">
        <v>5350.5</v>
      </c>
      <c r="O31" s="665">
        <v>7643.5714285714284</v>
      </c>
      <c r="P31" s="665">
        <v>0</v>
      </c>
      <c r="Q31" s="665">
        <v>15287.142857142859</v>
      </c>
      <c r="R31" s="665">
        <v>0</v>
      </c>
      <c r="S31" s="665">
        <v>0</v>
      </c>
      <c r="T31" s="665">
        <v>0</v>
      </c>
      <c r="U31" s="665">
        <v>0</v>
      </c>
      <c r="V31" s="665">
        <v>0</v>
      </c>
      <c r="W31" s="665">
        <v>0</v>
      </c>
      <c r="X31" s="665">
        <v>10</v>
      </c>
      <c r="Y31" s="665" t="s">
        <v>111</v>
      </c>
      <c r="Z31" s="667" t="s">
        <v>111</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5096.7</v>
      </c>
      <c r="N58" s="623">
        <f>SUM(N28:N57)</f>
        <v>22935.15</v>
      </c>
      <c r="O58" s="623">
        <f t="shared" ref="O58:W58" si="2">SUM(O28:O57)</f>
        <v>32764.499999999996</v>
      </c>
      <c r="P58" s="623">
        <f t="shared" si="2"/>
        <v>0</v>
      </c>
      <c r="Q58" s="623">
        <f t="shared" si="2"/>
        <v>65529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5096.7</v>
      </c>
      <c r="N61" s="628">
        <f t="shared" si="4"/>
        <v>22935.15</v>
      </c>
      <c r="O61" s="628">
        <f t="shared" si="4"/>
        <v>32764.499999999996</v>
      </c>
      <c r="P61" s="628">
        <f t="shared" si="4"/>
        <v>0</v>
      </c>
      <c r="Q61" s="628">
        <f t="shared" si="4"/>
        <v>65529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0.41176470588235303</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26982.529411764714</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38546.470588235294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15079.735146090503</v>
      </c>
      <c r="C4" s="478">
        <f>huishoudens!C8</f>
        <v>0</v>
      </c>
      <c r="D4" s="478">
        <f>huishoudens!D8</f>
        <v>22433.271611740001</v>
      </c>
      <c r="E4" s="478">
        <f>huishoudens!E8</f>
        <v>6137.2495085199071</v>
      </c>
      <c r="F4" s="478">
        <f>huishoudens!F8</f>
        <v>15887.180403097984</v>
      </c>
      <c r="G4" s="478">
        <f>huishoudens!G8</f>
        <v>0</v>
      </c>
      <c r="H4" s="478">
        <f>huishoudens!H8</f>
        <v>0</v>
      </c>
      <c r="I4" s="478">
        <f>huishoudens!I8</f>
        <v>0</v>
      </c>
      <c r="J4" s="478">
        <f>huishoudens!J8</f>
        <v>1083.1359485394955</v>
      </c>
      <c r="K4" s="478">
        <f>huishoudens!K8</f>
        <v>0</v>
      </c>
      <c r="L4" s="478">
        <f>huishoudens!L8</f>
        <v>0</v>
      </c>
      <c r="M4" s="478">
        <f>huishoudens!M8</f>
        <v>0</v>
      </c>
      <c r="N4" s="478">
        <f>huishoudens!N8</f>
        <v>11082.500440540751</v>
      </c>
      <c r="O4" s="478">
        <f>huishoudens!O8</f>
        <v>321.40123154069914</v>
      </c>
      <c r="P4" s="479">
        <f>huishoudens!P8</f>
        <v>484.56212815351103</v>
      </c>
      <c r="Q4" s="480">
        <f>SUM(B4:P4)</f>
        <v>72509.036418222851</v>
      </c>
    </row>
    <row r="5" spans="1:17">
      <c r="A5" s="477" t="s">
        <v>155</v>
      </c>
      <c r="B5" s="478">
        <f ca="1">tertiair!B16</f>
        <v>6647.2579420000002</v>
      </c>
      <c r="C5" s="478">
        <f ca="1">tertiair!C16</f>
        <v>0</v>
      </c>
      <c r="D5" s="478">
        <f ca="1">tertiair!D16</f>
        <v>7952.9477996980004</v>
      </c>
      <c r="E5" s="478">
        <f>tertiair!E16</f>
        <v>90.744124296792762</v>
      </c>
      <c r="F5" s="478">
        <f ca="1">tertiair!F16</f>
        <v>773.41130248315176</v>
      </c>
      <c r="G5" s="478">
        <f>tertiair!G16</f>
        <v>0</v>
      </c>
      <c r="H5" s="478">
        <f>tertiair!H16</f>
        <v>0</v>
      </c>
      <c r="I5" s="478">
        <f>tertiair!I16</f>
        <v>0</v>
      </c>
      <c r="J5" s="478">
        <f>tertiair!J16</f>
        <v>1.8419497387563495E-2</v>
      </c>
      <c r="K5" s="478">
        <f>tertiair!K16</f>
        <v>0</v>
      </c>
      <c r="L5" s="478">
        <f ca="1">tertiair!L16</f>
        <v>0</v>
      </c>
      <c r="M5" s="478">
        <f>tertiair!M16</f>
        <v>0</v>
      </c>
      <c r="N5" s="478">
        <f ca="1">tertiair!N16</f>
        <v>722.58411145528726</v>
      </c>
      <c r="O5" s="478">
        <f>tertiair!O16</f>
        <v>14.691782297523464</v>
      </c>
      <c r="P5" s="479">
        <f>tertiair!P16</f>
        <v>52.539138306495019</v>
      </c>
      <c r="Q5" s="477">
        <f t="shared" ref="Q5:Q14" ca="1" si="0">SUM(B5:P5)</f>
        <v>16254.194620034637</v>
      </c>
    </row>
    <row r="6" spans="1:17">
      <c r="A6" s="477" t="s">
        <v>193</v>
      </c>
      <c r="B6" s="478">
        <f>'openbare verlichting'!B8</f>
        <v>657.63199999999995</v>
      </c>
      <c r="C6" s="478"/>
      <c r="D6" s="478"/>
      <c r="E6" s="478"/>
      <c r="F6" s="478"/>
      <c r="G6" s="478"/>
      <c r="H6" s="478"/>
      <c r="I6" s="478"/>
      <c r="J6" s="478"/>
      <c r="K6" s="478"/>
      <c r="L6" s="478"/>
      <c r="M6" s="478"/>
      <c r="N6" s="478"/>
      <c r="O6" s="478"/>
      <c r="P6" s="479"/>
      <c r="Q6" s="477">
        <f t="shared" si="0"/>
        <v>657.63199999999995</v>
      </c>
    </row>
    <row r="7" spans="1:17">
      <c r="A7" s="477" t="s">
        <v>111</v>
      </c>
      <c r="B7" s="478">
        <f>landbouw!B8</f>
        <v>2324.8807670000001</v>
      </c>
      <c r="C7" s="478">
        <f>landbouw!C8</f>
        <v>32764.499999999996</v>
      </c>
      <c r="D7" s="478">
        <f>landbouw!D8</f>
        <v>155.05586558000002</v>
      </c>
      <c r="E7" s="478">
        <f>landbouw!E8</f>
        <v>72.558762086973161</v>
      </c>
      <c r="F7" s="478">
        <f>landbouw!F8</f>
        <v>8216.3861739218792</v>
      </c>
      <c r="G7" s="478">
        <f>landbouw!G8</f>
        <v>0</v>
      </c>
      <c r="H7" s="478">
        <f>landbouw!H8</f>
        <v>0</v>
      </c>
      <c r="I7" s="478">
        <f>landbouw!I8</f>
        <v>0</v>
      </c>
      <c r="J7" s="478">
        <f>landbouw!J8</f>
        <v>640.52077421531897</v>
      </c>
      <c r="K7" s="478">
        <f>landbouw!K8</f>
        <v>0</v>
      </c>
      <c r="L7" s="478">
        <f>landbouw!L8</f>
        <v>0</v>
      </c>
      <c r="M7" s="478">
        <f>landbouw!M8</f>
        <v>0</v>
      </c>
      <c r="N7" s="478">
        <f>landbouw!N8</f>
        <v>0</v>
      </c>
      <c r="O7" s="478">
        <f>landbouw!O8</f>
        <v>0</v>
      </c>
      <c r="P7" s="479">
        <f>landbouw!P8</f>
        <v>0</v>
      </c>
      <c r="Q7" s="477">
        <f t="shared" si="0"/>
        <v>44173.902342804162</v>
      </c>
    </row>
    <row r="8" spans="1:17">
      <c r="A8" s="477" t="s">
        <v>629</v>
      </c>
      <c r="B8" s="478">
        <f>industrie!B18</f>
        <v>1590.0683349999999</v>
      </c>
      <c r="C8" s="478">
        <f>industrie!C18</f>
        <v>0</v>
      </c>
      <c r="D8" s="478">
        <f>industrie!D18</f>
        <v>1288.3392947480002</v>
      </c>
      <c r="E8" s="478">
        <f>industrie!E18</f>
        <v>226.12585245386407</v>
      </c>
      <c r="F8" s="478">
        <f>industrie!F18</f>
        <v>715.43597133067954</v>
      </c>
      <c r="G8" s="478">
        <f>industrie!G18</f>
        <v>0</v>
      </c>
      <c r="H8" s="478">
        <f>industrie!H18</f>
        <v>0</v>
      </c>
      <c r="I8" s="478">
        <f>industrie!I18</f>
        <v>0</v>
      </c>
      <c r="J8" s="478">
        <f>industrie!J18</f>
        <v>4.2830899384157304</v>
      </c>
      <c r="K8" s="478">
        <f>industrie!K18</f>
        <v>0</v>
      </c>
      <c r="L8" s="478">
        <f>industrie!L18</f>
        <v>0</v>
      </c>
      <c r="M8" s="478">
        <f>industrie!M18</f>
        <v>0</v>
      </c>
      <c r="N8" s="478">
        <f>industrie!N18</f>
        <v>85.520167376011912</v>
      </c>
      <c r="O8" s="478">
        <f>industrie!O18</f>
        <v>0</v>
      </c>
      <c r="P8" s="479">
        <f>industrie!P18</f>
        <v>0</v>
      </c>
      <c r="Q8" s="477">
        <f t="shared" si="0"/>
        <v>3909.7727108469712</v>
      </c>
    </row>
    <row r="9" spans="1:17" s="483" customFormat="1">
      <c r="A9" s="481" t="s">
        <v>555</v>
      </c>
      <c r="B9" s="482">
        <f>transport!B14</f>
        <v>21.546116908333335</v>
      </c>
      <c r="C9" s="482">
        <f>transport!C14</f>
        <v>0</v>
      </c>
      <c r="D9" s="482">
        <f>transport!D14</f>
        <v>113.61201414819668</v>
      </c>
      <c r="E9" s="482">
        <f>transport!E14</f>
        <v>84.395655742159718</v>
      </c>
      <c r="F9" s="482">
        <f>transport!F14</f>
        <v>0</v>
      </c>
      <c r="G9" s="482">
        <f>transport!G14</f>
        <v>26644.177470659892</v>
      </c>
      <c r="H9" s="482">
        <f>transport!H14</f>
        <v>8356.487371946163</v>
      </c>
      <c r="I9" s="482">
        <f>transport!I14</f>
        <v>0</v>
      </c>
      <c r="J9" s="482">
        <f>transport!J14</f>
        <v>0</v>
      </c>
      <c r="K9" s="482">
        <f>transport!K14</f>
        <v>0</v>
      </c>
      <c r="L9" s="482">
        <f>transport!L14</f>
        <v>0</v>
      </c>
      <c r="M9" s="482">
        <f>transport!M14</f>
        <v>2085.6784777799517</v>
      </c>
      <c r="N9" s="482">
        <f>transport!N14</f>
        <v>0</v>
      </c>
      <c r="O9" s="482">
        <f>transport!O14</f>
        <v>0</v>
      </c>
      <c r="P9" s="482">
        <f>transport!P14</f>
        <v>0</v>
      </c>
      <c r="Q9" s="481">
        <f>SUM(B9:P9)</f>
        <v>37305.897107184697</v>
      </c>
    </row>
    <row r="10" spans="1:17">
      <c r="A10" s="477" t="s">
        <v>545</v>
      </c>
      <c r="B10" s="478">
        <f>transport!B54</f>
        <v>0</v>
      </c>
      <c r="C10" s="478">
        <f>transport!C54</f>
        <v>0</v>
      </c>
      <c r="D10" s="478">
        <f>transport!D54</f>
        <v>0</v>
      </c>
      <c r="E10" s="478">
        <f>transport!E54</f>
        <v>0</v>
      </c>
      <c r="F10" s="478">
        <f>transport!F54</f>
        <v>0</v>
      </c>
      <c r="G10" s="478">
        <f>transport!G54</f>
        <v>562.63580754275063</v>
      </c>
      <c r="H10" s="478">
        <f>transport!H54</f>
        <v>0</v>
      </c>
      <c r="I10" s="478">
        <f>transport!I54</f>
        <v>0</v>
      </c>
      <c r="J10" s="478">
        <f>transport!J54</f>
        <v>0</v>
      </c>
      <c r="K10" s="478">
        <f>transport!K54</f>
        <v>0</v>
      </c>
      <c r="L10" s="478">
        <f>transport!L54</f>
        <v>0</v>
      </c>
      <c r="M10" s="478">
        <f>transport!M54</f>
        <v>31.271360435458355</v>
      </c>
      <c r="N10" s="478">
        <f>transport!N54</f>
        <v>0</v>
      </c>
      <c r="O10" s="478">
        <f>transport!O54</f>
        <v>0</v>
      </c>
      <c r="P10" s="479">
        <f>transport!P54</f>
        <v>0</v>
      </c>
      <c r="Q10" s="477">
        <f t="shared" si="0"/>
        <v>593.90716797820903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386.64480599999996</v>
      </c>
      <c r="C14" s="485"/>
      <c r="D14" s="485">
        <f>'SEAP template'!E25</f>
        <v>561.16279899999995</v>
      </c>
      <c r="E14" s="485"/>
      <c r="F14" s="485"/>
      <c r="G14" s="485"/>
      <c r="H14" s="485"/>
      <c r="I14" s="485"/>
      <c r="J14" s="485"/>
      <c r="K14" s="485"/>
      <c r="L14" s="485"/>
      <c r="M14" s="485"/>
      <c r="N14" s="485"/>
      <c r="O14" s="485"/>
      <c r="P14" s="486"/>
      <c r="Q14" s="477">
        <f t="shared" si="0"/>
        <v>947.80760499999997</v>
      </c>
    </row>
    <row r="15" spans="1:17" s="489" customFormat="1">
      <c r="A15" s="487" t="s">
        <v>549</v>
      </c>
      <c r="B15" s="488">
        <f ca="1">SUM(B4:B14)</f>
        <v>26707.765112998834</v>
      </c>
      <c r="C15" s="488">
        <f t="shared" ref="C15:Q15" ca="1" si="1">SUM(C4:C14)</f>
        <v>32764.499999999996</v>
      </c>
      <c r="D15" s="488">
        <f t="shared" ca="1" si="1"/>
        <v>32504.3893849142</v>
      </c>
      <c r="E15" s="488">
        <f t="shared" si="1"/>
        <v>6611.0739030996965</v>
      </c>
      <c r="F15" s="488">
        <f t="shared" ca="1" si="1"/>
        <v>25592.413850833695</v>
      </c>
      <c r="G15" s="488">
        <f t="shared" si="1"/>
        <v>27206.813278202644</v>
      </c>
      <c r="H15" s="488">
        <f t="shared" si="1"/>
        <v>8356.487371946163</v>
      </c>
      <c r="I15" s="488">
        <f t="shared" si="1"/>
        <v>0</v>
      </c>
      <c r="J15" s="488">
        <f t="shared" si="1"/>
        <v>1727.9582321906178</v>
      </c>
      <c r="K15" s="488">
        <f t="shared" si="1"/>
        <v>0</v>
      </c>
      <c r="L15" s="488">
        <f t="shared" ca="1" si="1"/>
        <v>0</v>
      </c>
      <c r="M15" s="488">
        <f t="shared" si="1"/>
        <v>2116.9498382154102</v>
      </c>
      <c r="N15" s="488">
        <f t="shared" ca="1" si="1"/>
        <v>11890.60471937205</v>
      </c>
      <c r="O15" s="488">
        <f t="shared" si="1"/>
        <v>336.09301383822259</v>
      </c>
      <c r="P15" s="488">
        <f t="shared" si="1"/>
        <v>537.10126646000606</v>
      </c>
      <c r="Q15" s="488">
        <f t="shared" ca="1" si="1"/>
        <v>176352.14997207152</v>
      </c>
    </row>
    <row r="17" spans="1:17">
      <c r="A17" s="490" t="s">
        <v>550</v>
      </c>
      <c r="B17" s="807">
        <f ca="1">huishoudens!B10</f>
        <v>1.1891003117859289E-2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179.31317763865448</v>
      </c>
      <c r="C22" s="478">
        <f t="shared" ref="C22:C32" ca="1" si="3">C4*$C$17</f>
        <v>0</v>
      </c>
      <c r="D22" s="478">
        <f t="shared" ref="D22:D32" si="4">D4*$D$17</f>
        <v>4531.5208655714805</v>
      </c>
      <c r="E22" s="478">
        <f t="shared" ref="E22:E32" si="5">E4*$E$17</f>
        <v>1393.155638434019</v>
      </c>
      <c r="F22" s="478">
        <f t="shared" ref="F22:F32" si="6">F4*$F$17</f>
        <v>4241.8771676271617</v>
      </c>
      <c r="G22" s="478">
        <f t="shared" ref="G22:G32" si="7">G4*$G$17</f>
        <v>0</v>
      </c>
      <c r="H22" s="478">
        <f t="shared" ref="H22:H32" si="8">H4*$H$17</f>
        <v>0</v>
      </c>
      <c r="I22" s="478">
        <f t="shared" ref="I22:I32" si="9">I4*$I$17</f>
        <v>0</v>
      </c>
      <c r="J22" s="478">
        <f t="shared" ref="J22:J32" si="10">J4*$J$17</f>
        <v>383.43012578298141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10729.296975054296</v>
      </c>
    </row>
    <row r="23" spans="1:17">
      <c r="A23" s="477" t="s">
        <v>155</v>
      </c>
      <c r="B23" s="478">
        <f t="shared" ca="1" si="2"/>
        <v>79.042564913536921</v>
      </c>
      <c r="C23" s="478">
        <f t="shared" ca="1" si="3"/>
        <v>0</v>
      </c>
      <c r="D23" s="478">
        <f t="shared" ca="1" si="4"/>
        <v>1606.4954555389961</v>
      </c>
      <c r="E23" s="478">
        <f t="shared" si="5"/>
        <v>20.598916215371958</v>
      </c>
      <c r="F23" s="478">
        <f t="shared" ca="1" si="6"/>
        <v>206.50081776300152</v>
      </c>
      <c r="G23" s="478">
        <f t="shared" si="7"/>
        <v>0</v>
      </c>
      <c r="H23" s="478">
        <f t="shared" si="8"/>
        <v>0</v>
      </c>
      <c r="I23" s="478">
        <f t="shared" si="9"/>
        <v>0</v>
      </c>
      <c r="J23" s="478">
        <f t="shared" si="10"/>
        <v>6.5205020751974768E-3</v>
      </c>
      <c r="K23" s="478">
        <f t="shared" si="11"/>
        <v>0</v>
      </c>
      <c r="L23" s="478">
        <f t="shared" ca="1" si="12"/>
        <v>0</v>
      </c>
      <c r="M23" s="478">
        <f t="shared" si="13"/>
        <v>0</v>
      </c>
      <c r="N23" s="478">
        <f t="shared" ca="1" si="14"/>
        <v>0</v>
      </c>
      <c r="O23" s="478">
        <f t="shared" si="15"/>
        <v>0</v>
      </c>
      <c r="P23" s="479">
        <f t="shared" si="16"/>
        <v>0</v>
      </c>
      <c r="Q23" s="477">
        <f t="shared" ref="Q23:Q31" ca="1" si="17">SUM(B23:P23)</f>
        <v>1912.6442749329817</v>
      </c>
    </row>
    <row r="24" spans="1:17">
      <c r="A24" s="477" t="s">
        <v>193</v>
      </c>
      <c r="B24" s="478">
        <f t="shared" ca="1" si="2"/>
        <v>7.8199041624040397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7.8199041624040397</v>
      </c>
    </row>
    <row r="25" spans="1:17">
      <c r="A25" s="477" t="s">
        <v>111</v>
      </c>
      <c r="B25" s="478">
        <f t="shared" ca="1" si="2"/>
        <v>27.645164449048096</v>
      </c>
      <c r="C25" s="478">
        <f t="shared" ca="1" si="3"/>
        <v>0</v>
      </c>
      <c r="D25" s="478">
        <f t="shared" si="4"/>
        <v>31.321284847160005</v>
      </c>
      <c r="E25" s="478">
        <f t="shared" si="5"/>
        <v>16.470838993742909</v>
      </c>
      <c r="F25" s="478">
        <f t="shared" si="6"/>
        <v>2193.7751084371421</v>
      </c>
      <c r="G25" s="478">
        <f t="shared" si="7"/>
        <v>0</v>
      </c>
      <c r="H25" s="478">
        <f t="shared" si="8"/>
        <v>0</v>
      </c>
      <c r="I25" s="478">
        <f t="shared" si="9"/>
        <v>0</v>
      </c>
      <c r="J25" s="478">
        <f t="shared" si="10"/>
        <v>226.7443540722229</v>
      </c>
      <c r="K25" s="478">
        <f t="shared" si="11"/>
        <v>0</v>
      </c>
      <c r="L25" s="478">
        <f t="shared" si="12"/>
        <v>0</v>
      </c>
      <c r="M25" s="478">
        <f t="shared" si="13"/>
        <v>0</v>
      </c>
      <c r="N25" s="478">
        <f t="shared" si="14"/>
        <v>0</v>
      </c>
      <c r="O25" s="478">
        <f t="shared" si="15"/>
        <v>0</v>
      </c>
      <c r="P25" s="479">
        <f t="shared" si="16"/>
        <v>0</v>
      </c>
      <c r="Q25" s="477">
        <f t="shared" ca="1" si="17"/>
        <v>2495.9567507993161</v>
      </c>
    </row>
    <row r="26" spans="1:17">
      <c r="A26" s="477" t="s">
        <v>629</v>
      </c>
      <c r="B26" s="478">
        <f t="shared" ca="1" si="2"/>
        <v>18.907507529094328</v>
      </c>
      <c r="C26" s="478">
        <f t="shared" ca="1" si="3"/>
        <v>0</v>
      </c>
      <c r="D26" s="478">
        <f t="shared" si="4"/>
        <v>260.24453753909603</v>
      </c>
      <c r="E26" s="478">
        <f t="shared" si="5"/>
        <v>51.330568507027145</v>
      </c>
      <c r="F26" s="478">
        <f t="shared" si="6"/>
        <v>191.02140434529144</v>
      </c>
      <c r="G26" s="478">
        <f t="shared" si="7"/>
        <v>0</v>
      </c>
      <c r="H26" s="478">
        <f t="shared" si="8"/>
        <v>0</v>
      </c>
      <c r="I26" s="478">
        <f t="shared" si="9"/>
        <v>0</v>
      </c>
      <c r="J26" s="478">
        <f t="shared" si="10"/>
        <v>1.5162138381991686</v>
      </c>
      <c r="K26" s="478">
        <f t="shared" si="11"/>
        <v>0</v>
      </c>
      <c r="L26" s="478">
        <f t="shared" si="12"/>
        <v>0</v>
      </c>
      <c r="M26" s="478">
        <f t="shared" si="13"/>
        <v>0</v>
      </c>
      <c r="N26" s="478">
        <f t="shared" si="14"/>
        <v>0</v>
      </c>
      <c r="O26" s="478">
        <f t="shared" si="15"/>
        <v>0</v>
      </c>
      <c r="P26" s="479">
        <f t="shared" si="16"/>
        <v>0</v>
      </c>
      <c r="Q26" s="477">
        <f t="shared" ca="1" si="17"/>
        <v>523.02023175870806</v>
      </c>
    </row>
    <row r="27" spans="1:17" s="483" customFormat="1">
      <c r="A27" s="481" t="s">
        <v>555</v>
      </c>
      <c r="B27" s="801">
        <f t="shared" ca="1" si="2"/>
        <v>0.25620494333475241</v>
      </c>
      <c r="C27" s="482">
        <f t="shared" ca="1" si="3"/>
        <v>0</v>
      </c>
      <c r="D27" s="482">
        <f t="shared" si="4"/>
        <v>22.94962685793573</v>
      </c>
      <c r="E27" s="482">
        <f t="shared" si="5"/>
        <v>19.157813853470255</v>
      </c>
      <c r="F27" s="482">
        <f t="shared" si="6"/>
        <v>0</v>
      </c>
      <c r="G27" s="482">
        <f t="shared" si="7"/>
        <v>7113.9953846661911</v>
      </c>
      <c r="H27" s="482">
        <f t="shared" si="8"/>
        <v>2080.7653556145947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9237.1243859355272</v>
      </c>
    </row>
    <row r="28" spans="1:17" ht="16.5" customHeight="1">
      <c r="A28" s="477" t="s">
        <v>545</v>
      </c>
      <c r="B28" s="478">
        <f t="shared" ca="1" si="2"/>
        <v>0</v>
      </c>
      <c r="C28" s="478">
        <f t="shared" ca="1" si="3"/>
        <v>0</v>
      </c>
      <c r="D28" s="478">
        <f t="shared" si="4"/>
        <v>0</v>
      </c>
      <c r="E28" s="478">
        <f t="shared" si="5"/>
        <v>0</v>
      </c>
      <c r="F28" s="478">
        <f t="shared" si="6"/>
        <v>0</v>
      </c>
      <c r="G28" s="478">
        <f t="shared" si="7"/>
        <v>150.22376061391444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150.22376061391444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4.5975945936500997</v>
      </c>
      <c r="C32" s="478">
        <f t="shared" ca="1" si="3"/>
        <v>0</v>
      </c>
      <c r="D32" s="478">
        <f t="shared" si="4"/>
        <v>113.35488539799999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117.95247999165009</v>
      </c>
    </row>
    <row r="33" spans="1:17" s="489" customFormat="1">
      <c r="A33" s="487" t="s">
        <v>549</v>
      </c>
      <c r="B33" s="488">
        <f ca="1">SUM(B22:B32)</f>
        <v>317.58211822972271</v>
      </c>
      <c r="C33" s="488">
        <f t="shared" ref="C33:Q33" ca="1" si="19">SUM(C22:C32)</f>
        <v>0</v>
      </c>
      <c r="D33" s="488">
        <f t="shared" ca="1" si="19"/>
        <v>6565.886655752669</v>
      </c>
      <c r="E33" s="488">
        <f t="shared" si="19"/>
        <v>1500.7137760036314</v>
      </c>
      <c r="F33" s="488">
        <f t="shared" ca="1" si="19"/>
        <v>6833.1744981725969</v>
      </c>
      <c r="G33" s="488">
        <f t="shared" si="19"/>
        <v>7264.2191452801053</v>
      </c>
      <c r="H33" s="488">
        <f t="shared" si="19"/>
        <v>2080.7653556145947</v>
      </c>
      <c r="I33" s="488">
        <f t="shared" si="19"/>
        <v>0</v>
      </c>
      <c r="J33" s="488">
        <f t="shared" si="19"/>
        <v>611.69721419547875</v>
      </c>
      <c r="K33" s="488">
        <f t="shared" si="19"/>
        <v>0</v>
      </c>
      <c r="L33" s="488">
        <f t="shared" ca="1" si="19"/>
        <v>0</v>
      </c>
      <c r="M33" s="488">
        <f t="shared" si="19"/>
        <v>0</v>
      </c>
      <c r="N33" s="488">
        <f t="shared" ca="1" si="19"/>
        <v>0</v>
      </c>
      <c r="O33" s="488">
        <f t="shared" si="19"/>
        <v>0</v>
      </c>
      <c r="P33" s="488">
        <f t="shared" si="19"/>
        <v>0</v>
      </c>
      <c r="Q33" s="488">
        <f t="shared" ca="1" si="19"/>
        <v>25174.038763248798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2335.5919535883231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22935.15</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26982.529411764714</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25270.741953588324</v>
      </c>
      <c r="C10" s="1064">
        <f>SUM(C4:C9)</f>
        <v>0</v>
      </c>
      <c r="D10" s="1064">
        <f t="shared" ref="D10:H10" si="0">SUM(D8:D9)</f>
        <v>0</v>
      </c>
      <c r="E10" s="1064">
        <f t="shared" si="0"/>
        <v>0</v>
      </c>
      <c r="F10" s="1064">
        <f t="shared" si="0"/>
        <v>0</v>
      </c>
      <c r="G10" s="1064">
        <f t="shared" si="0"/>
        <v>0</v>
      </c>
      <c r="H10" s="1064">
        <f t="shared" si="0"/>
        <v>0</v>
      </c>
      <c r="I10" s="1064">
        <f>SUM(I8:I9)</f>
        <v>0</v>
      </c>
      <c r="J10" s="1064">
        <f>SUM(J8:J9)</f>
        <v>26982.529411764714</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1.1891003117859289E-2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32764.499999999996</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38546.470588235294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32764.499999999996</v>
      </c>
      <c r="C20" s="1064">
        <f>SUM(C17:C19)</f>
        <v>0</v>
      </c>
      <c r="D20" s="1064">
        <f t="shared" ref="D20:H20" si="2">SUM(D17:D19)</f>
        <v>0</v>
      </c>
      <c r="E20" s="1064">
        <f t="shared" si="2"/>
        <v>0</v>
      </c>
      <c r="F20" s="1064">
        <f t="shared" si="2"/>
        <v>0</v>
      </c>
      <c r="G20" s="1064">
        <f t="shared" si="2"/>
        <v>0</v>
      </c>
      <c r="H20" s="1064">
        <f t="shared" si="2"/>
        <v>0</v>
      </c>
      <c r="I20" s="1064">
        <f>SUM(I17:I19)</f>
        <v>0</v>
      </c>
      <c r="J20" s="1064">
        <f>SUM(J17:J19)</f>
        <v>38546.470588235294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1.1891003117859289E-2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2019-08-12T08:41:01Z</dcterms:modified>
</cp:coreProperties>
</file>