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<sst xmlns="http://schemas.openxmlformats.org/spreadsheetml/2006/main" count="2384" uniqueCount="886">
  <si>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</si>
  <si>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</si>
  <si>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</si>
  <si>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</si>
  <si>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</si>
  <si>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</si>
  <si>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</si>
  <si>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</si>
  <si>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</si>
  <si>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</si>
  <si>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</si>
  <si>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</si>
  <si>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</si>
  <si>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</si>
  <si>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</si>
  <si>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</si>
  <si>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</si>
  <si>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</si>
  <si>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</si>
  <si>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</si>
  <si>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</si>
  <si>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</si>
  <si>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</si>
  <si>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</si>
  <si>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</si>
  <si>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</si>
  <si>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</si>
  <si>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</si>
  <si>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</si>
  <si>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</si>
  <si>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</si>
  <si>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</si>
  <si>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</si>
  <si>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</si>
  <si>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</si>
  <si>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</si>
  <si>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</si>
  <si>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</si>
  <si>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</si>
  <si>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</si>
  <si>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</si>
  <si>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</si>
  <si>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</si>
  <si>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</si>
  <si>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</si>
  <si>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</si>
  <si>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</si>
  <si>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</si>
  <si>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</si>
  <si>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</si>
  <si>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</si>
  <si>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</si>
  <si>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</si>
  <si>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</si>
  <si>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</si>
  <si>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</si>
  <si>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</si>
  <si>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</si>
  <si>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</si>
  <si>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</si>
  <si>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</si>
  <si>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</si>
  <si>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</si>
  <si>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</si>
  <si>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</si>
  <si>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</si>
  <si>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</si>
  <si>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</si>
  <si>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</si>
  <si>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</si>
  <si>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</si>
  <si>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</si>
  <si>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</si>
  <si>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</si>
  <si>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</si>
  <si>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</si>
  <si>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</si>
  <si>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</si>
  <si>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</si>
  <si>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</si>
  <si>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</si>
  <si>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</si>
  <si>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</si>
  <si>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</si>
  <si>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</si>
  <si>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</si>
  <si>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</si>
  <si>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</si>
  <si>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</si>
  <si>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</si>
  <si>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</si>
  <si>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</si>
  <si>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</si>
  <si>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</si>
  <si>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</si>
  <si>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</si>
  <si>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</si>
  <si>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</si>
  <si>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</si>
  <si>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</si>
  <si>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</si>
  <si>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</si>
  <si>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</si>
  <si>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</si>
  <si>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</si>
  <si>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</si>
  <si>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</si>
  <si>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</si>
  <si>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</si>
  <si>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</si>
  <si>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</si>
  <si>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</si>
  <si>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</si>
  <si>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</si>
  <si>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</si>
  <si>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</si>
  <si>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</si>
  <si>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</si>
  <si>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</si>
  <si>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</si>
  <si>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</si>
  <si>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</si>
  <si>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</si>
  <si>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</si>
  <si>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</si>
  <si>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</si>
  <si>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</si>
  <si>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</si>
  <si>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</si>
  <si>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</si>
  <si>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</si>
  <si>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</si>
  <si>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</si>
  <si>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</si>
  <si>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</si>
  <si>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</si>
  <si>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</si>
  <si>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</si>
  <si>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</si>
  <si>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</si>
  <si>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</si>
  <si>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</si>
  <si>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</si>
  <si>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</si>
  <si>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</si>
  <si>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</si>
  <si>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</si>
  <si>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</si>
  <si>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</si>
  <si>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</si>
  <si>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</si>
  <si>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</si>
  <si>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</si>
  <si>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</si>
  <si>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</si>
  <si>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</si>
  <si>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</si>
  <si>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</si>
  <si>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</si>
  <si>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</si>
  <si>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</si>
  <si>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</si>
  <si>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</si>
  <si>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</si>
  <si>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</si>
  <si>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</si>
  <si>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</si>
  <si>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</si>
  <si>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</si>
  <si>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</si>
  <si>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</si>
  <si>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</si>
  <si>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</si>
  <si>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</si>
  <si>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</si>
  <si>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</si>
  <si>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</si>
  <si>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</si>
  <si>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</si>
  <si>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</si>
  <si>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</si>
  <si>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</si>
  <si>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</si>
  <si>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</si>
  <si>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</si>
  <si>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</si>
  <si>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</si>
  <si>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</si>
  <si>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</si>
  <si>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</si>
  <si>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</si>
  <si>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</si>
  <si>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</si>
  <si>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</si>
  <si>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</si>
  <si>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</si>
  <si>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</si>
  <si>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</si>
  <si>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</si>
  <si>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</si>
  <si>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</si>
  <si>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</si>
  <si>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</si>
  <si>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</si>
  <si>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</si>
  <si>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</si>
  <si>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</si>
  <si>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</si>
  <si>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</si>
  <si>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</si>
  <si>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</si>
  <si>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</si>
  <si>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</si>
  <si>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</si>
  <si>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</si>
  <si>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</si>
  <si>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</si>
  <si>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</si>
  <si>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</si>
  <si>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</si>
  <si>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</si>
  <si>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</si>
  <si>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</si>
  <si>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</si>
  <si>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</si>
  <si>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</si>
  <si>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</si>
  <si>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</si>
  <si>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</si>
  <si>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</si>
  <si>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</si>
  <si>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</si>
  <si>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</si>
  <si>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</si>
  <si>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</si>
  <si>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</si>
  <si>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</si>
  <si>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</si>
  <si>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</si>
  <si>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</si>
  <si>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</si>
  <si>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</si>
  <si>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</si>
  <si>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</si>
  <si>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</si>
  <si>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</si>
  <si>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</si>
  <si>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</si>
  <si>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</si>
  <si>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</si>
  <si>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</si>
  <si>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</si>
  <si>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</si>
  <si>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</si>
  <si>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</si>
  <si>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</si>
  <si>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</si>
  <si>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</si>
  <si>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</si>
  <si>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</si>
  <si>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</si>
  <si>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</si>
  <si>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</si>
  <si>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</si>
  <si>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</si>
  <si>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</si>
  <si>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</si>
  <si>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</si>
  <si>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</si>
  <si>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</si>
  <si>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</si>
  <si>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</si>
  <si>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</si>
  <si>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</si>
  <si>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</si>
  <si>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</si>
  <si>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</si>
  <si>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</si>
  <si>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</si>
  <si>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</si>
  <si>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</si>
  <si>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</si>
  <si>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</si>
  <si>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</si>
  <si>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</si>
  <si>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</si>
  <si>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</si>
  <si>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</si>
  <si>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</si>
  <si>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</si>
  <si>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</si>
  <si>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</si>
  <si>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</si>
  <si>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</si>
  <si>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</si>
  <si>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</si>
  <si>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</si>
  <si>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</si>
  <si>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</si>
  <si>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</si>
  <si>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</si>
  <si>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</si>
  <si>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</si>
  <si>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</si>
  <si>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</si>
  <si>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</si>
  <si>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</si>
  <si>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</si>
  <si>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</si>
  <si>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</si>
  <si>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</si>
  <si>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</si>
  <si>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</si>
  <si>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</si>
  <si>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</si>
  <si>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</si>
  <si>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</si>
  <si>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</si>
  <si>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</si>
  <si>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</si>
  <si>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</si>
  <si>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</si>
  <si>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</si>
  <si>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</si>
  <si>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</si>
  <si>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</si>
  <si>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</si>
  <si>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</si>
  <si>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</si>
  <si>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</si>
  <si>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</si>
  <si>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</si>
  <si>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</si>
  <si>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</si>
  <si>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</si>
  <si>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</si>
  <si>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</si>
  <si>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</si>
  <si>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</si>
  <si>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</si>
  <si>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</si>
  <si>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</si>
  <si>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</si>
  <si>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</si>
  <si>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</si>
  <si>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</si>
  <si>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</si>
  <si>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</si>
  <si>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</si>
  <si>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</si>
  <si>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</si>
  <si>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</si>
  <si>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</si>
  <si>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</si>
  <si>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</si>
  <si>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</si>
  <si>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</si>
  <si>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</si>
  <si>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</si>
  <si>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</si>
  <si>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</si>
  <si>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</si>
  <si>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</si>
  <si>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</si>
  <si>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</si>
  <si>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</si>
  <si>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</si>
  <si>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</si>
  <si>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</si>
  <si>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</si>
  <si>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</si>
  <si>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</si>
  <si>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</si>
  <si>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</si>
  <si>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</si>
  <si>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</si>
  <si>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</si>
  <si>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</si>
  <si>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</si>
  <si>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</si>
  <si>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</si>
  <si>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</si>
  <si>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</si>
  <si>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</si>
  <si>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</si>
  <si>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</si>
  <si>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</si>
  <si>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</si>
  <si>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</si>
  <si>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</si>
  <si>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</si>
  <si>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</si>
  <si>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</si>
  <si>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</si>
  <si>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</si>
  <si>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</si>
  <si>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</si>
  <si>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</si>
  <si>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</si>
  <si>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</si>
  <si>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</si>
  <si>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</si>
  <si>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</si>
  <si>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</si>
  <si>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</si>
  <si>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</si>
  <si>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</si>
  <si>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</si>
  <si>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</si>
  <si>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</si>
  <si>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</si>
  <si>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</si>
  <si>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</si>
  <si>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</si>
  <si>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</si>
  <si>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</si>
  <si>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</si>
  <si>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</si>
  <si>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</si>
  <si>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</si>
  <si>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</si>
  <si>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</si>
  <si>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</si>
  <si>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</si>
  <si>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</si>
  <si>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</si>
  <si>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</si>
  <si>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</si>
  <si>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</si>
  <si>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</si>
  <si>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</si>
  <si>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</si>
  <si>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</si>
  <si>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</si>
  <si>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</si>
  <si>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</si>
  <si>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</si>
  <si>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</si>
  <si>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</si>
  <si>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</si>
  <si>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</si>
  <si>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</si>
  <si>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</si>
  <si>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</si>
  <si>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</si>
  <si>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</si>
  <si>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</si>
  <si>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</si>
  <si>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</si>
  <si>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</si>
  <si>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</si>
  <si>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</si>
  <si>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</si>
  <si>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</si>
  <si>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</si>
  <si>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</si>
  <si>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</si>
  <si>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</si>
  <si>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</si>
  <si>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</si>
  <si>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</si>
  <si>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</si>
  <si>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</si>
  <si>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</si>
  <si>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</si>
  <si>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</si>
  <si>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</si>
  <si>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</si>
  <si>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</si>
  <si>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</si>
  <si>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</si>
  <si>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</si>
  <si>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</si>
  <si>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</si>
  <si>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</si>
  <si>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</si>
  <si>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</si>
  <si>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</si>
  <si>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</si>
  <si>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</si>
  <si>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</si>
  <si>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</si>
  <si>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</si>
  <si>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</si>
  <si>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</si>
  <si>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</si>
  <si>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</si>
  <si>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</si>
  <si>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</si>
  <si>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</si>
  <si>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</si>
  <si>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</si>
  <si>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</si>
  <si>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</si>
  <si>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</si>
  <si>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</si>
  <si>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</si>
  <si>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</si>
  <si>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</si>
  <si>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</si>
  <si>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</si>
  <si>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</si>
  <si>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</si>
  <si>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</si>
  <si>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</si>
  <si>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</si>
  <si>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</si>
  <si>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</si>
  <si>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</si>
  <si>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</si>
  <si>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</si>
  <si>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</si>
  <si>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</si>
  <si>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</si>
  <si>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</si>
  <si>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</si>
  <si>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</si>
  <si>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</si>
  <si>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</si>
  <si>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</si>
  <si>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</si>
  <si>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</si>
  <si>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</si>
  <si>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</si>
  <si>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</si>
  <si>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</si>
  <si>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</si>
  <si>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</si>
  <si>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</si>
  <si>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</si>
  <si>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</si>
  <si>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</si>
  <si>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</si>
  <si>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</si>
  <si>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</si>
  <si>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</si>
  <si>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</si>
  <si>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</si>
  <si>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</si>
  <si>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</si>
  <si>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</si>
  <si>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</si>
  <si>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</si>
  <si>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</si>
  <si>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</si>
  <si>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</si>
  <si>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</si>
  <si>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</si>
  <si>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</si>
  <si>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</si>
  <si>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</si>
  <si>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</si>
  <si>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</si>
  <si>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</si>
  <si>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</si>
  <si>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</si>
  <si>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</si>
  <si>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</si>
  <si>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</si>
  <si>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</si>
  <si>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</si>
  <si>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</si>
  <si>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</si>
  <si>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</si>
  <si>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</si>
  <si>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</si>
  <si>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</si>
  <si>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</si>
  <si>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</si>
  <si>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</si>
  <si>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</si>
  <si>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</si>
  <si>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</si>
  <si>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</si>
  <si>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</si>
  <si>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</si>
  <si>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</si>
  <si>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</si>
  <si>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</si>
  <si>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</si>
  <si>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</si>
  <si>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</si>
  <si>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</si>
  <si>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</si>
  <si>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</si>
  <si>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</si>
  <si>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</si>
  <si>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</si>
  <si>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</si>
  <si>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</si>
  <si>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</si>
  <si>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</si>
  <si>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</si>
  <si>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</si>
  <si>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</si>
  <si>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</si>
  <si>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</si>
  <si>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</si>
  <si>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</si>
  <si>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</si>
  <si>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</si>
  <si>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</si>
  <si>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</si>
  <si>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</si>
  <si>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</si>
  <si>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</si>
  <si>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</si>
  <si>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</si>
  <si>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</si>
  <si>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</si>
  <si>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</si>
  <si>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</si>
  <si>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</si>
  <si>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</si>
  <si>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</si>
  <si>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</si>
  <si>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</si>
  <si>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</si>
  <si>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</si>
  <si>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</si>
  <si>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</si>
  <si>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</si>
  <si>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</si>
  <si>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</si>
  <si>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</si>
  <si>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</si>
  <si>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</si>
  <si>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</si>
  <si>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</si>
  <si>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</si>
  <si>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</si>
  <si>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</si>
  <si>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</si>
  <si>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</si>
  <si>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</si>
  <si>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</si>
  <si>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</si>
  <si>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</si>
  <si>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</si>
  <si>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</si>
  <si>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</si>
  <si>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</si>
  <si>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</si>
  <si>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</si>
  <si>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</si>
  <si>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</si>
  <si>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</si>
  <si>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</si>
  <si>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</si>
  <si>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</si>
  <si>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</si>
  <si>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</si>
  <si>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</si>
  <si>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</si>
  <si>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</si>
  <si>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</si>
  <si>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</si>
  <si>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</si>
  <si>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</si>
  <si>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</si>
  <si>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</si>
  <si>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</si>
  <si>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</si>
  <si>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</si>
  <si>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</si>
  <si>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</si>
  <si>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</si>
  <si>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</si>
  <si>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</si>
  <si>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</si>
  <si>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</si>
  <si>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</si>
  <si>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</si>
  <si>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</si>
  <si>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</si>
  <si>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</si>
  <si>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</si>
  <si>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</si>
  <si>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</si>
  <si>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</si>
  <si>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</si>
  <si>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</si>
  <si>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</si>
  <si>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</si>
  <si>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</si>
  <si>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</si>
  <si>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</si>
  <si>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</si>
  <si>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</si>
  <si>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</si>
  <si>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</si>
  <si>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</si>
  <si>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</si>
  <si>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</si>
  <si>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</si>
  <si>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</si>
  <si>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</si>
  <si>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</si>
  <si>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</si>
  <si>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</si>
  <si>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</si>
  <si>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</si>
  <si>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</si>
  <si>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</si>
  <si>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</si>
  <si>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</si>
  <si>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</si>
  <si>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</si>
  <si>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</si>
  <si>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</si>
  <si>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</si>
  <si>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</si>
  <si>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</si>
  <si>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</si>
  <si>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</si>
  <si>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</si>
  <si>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</si>
  <si>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</si>
  <si>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</si>
  <si>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</si>
  <si>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</si>
  <si>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</si>
  <si>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</si>
  <si>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</si>
  <si>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</si>
  <si>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</si>
  <si>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</si>
  <si>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</si>
  <si>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</si>
  <si>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</si>
  <si>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</si>
  <si>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</si>
  <si>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</si>
  <si>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</si>
  <si>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</si>
  <si>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</si>
  <si>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</si>
  <si>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</si>
  <si>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</si>
  <si>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</si>
  <si>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</si>
  <si>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</si>
  <si>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</si>
  <si>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</si>
  <si>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</si>
  <si>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</si>
  <si>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</si>
  <si>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</si>
  <si>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</si>
  <si>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</si>
  <si>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</si>
  <si>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</si>
  <si>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</si>
  <si>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</si>
  <si>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</si>
  <si>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</si>
  <si>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</si>
  <si>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</si>
  <si>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</si>
  <si>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</si>
  <si>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</si>
  <si>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</si>
  <si>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</si>
  <si>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</si>
  <si>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</si>
  <si>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</si>
  <si>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</si>
  <si>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</si>
  <si>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</si>
  <si>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</si>
  <si>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</si>
  <si>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</si>
  <si>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</si>
  <si>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</si>
  <si>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</si>
  <si>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</si>
  <si>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</si>
  <si>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</si>
  <si>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</si>
  <si>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</si>
  <si>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</si>
  <si>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</si>
  <si>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</si>
  <si>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</si>
  <si>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</si>
  <si>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</si>
  <si>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</si>
  <si>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</si>
  <si>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</si>
  <si>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</si>
  <si>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</si>
  <si>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</si>
  <si>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</si>
  <si>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</si>
  <si>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</si>
  <si>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</si>
  <si>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</si>
  <si>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</si>
  <si>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</si>
  <si>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</si>
  <si>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</si>
  <si>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</si>
  <si>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</si>
  <si>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</si>
  <si>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</si>
  <si>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</si>
  <si>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</si>
  <si>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</si>
  <si>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</si>
  <si>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</si>
  <si>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</si>
  <si>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</si>
  <si>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</si>
  <si>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</si>
  <si>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</si>
  <si>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</si>
  <si>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</si>
  <si>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</si>
  <si>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</si>
  <si>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</si>
  <si>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</si>
  <si>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</si>
  <si>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</si>
  <si>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</si>
  <si>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</si>
  <si>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</si>
  <si>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</si>
  <si>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</si>
  <si>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</si>
  <si>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</si>
  <si>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</si>
  <si>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</si>
  <si>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</si>
  <si>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</si>
  <si>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</si>
  <si>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</si>
  <si>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</si>
  <si>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</si>
  <si>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</si>
  <si>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</si>
  <si>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</si>
  <si>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</si>
  <si>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</si>
  <si>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</si>
  <si>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</si>
  <si>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</si>
  <si>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</si>
  <si>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</si>
  <si>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</si>
  <si>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</si>
  <si>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</si>
  <si>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</si>
  <si>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</si>
  <si>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</si>
  <si>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</si>
  <si>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</si>
  <si>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</si>
  <si>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</si>
  <si>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</si>
  <si>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</si>
  <si>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</si>
  <si>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</si>
  <si>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</si>
  <si>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</si>
  <si>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</si>
  <si>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</si>
  <si>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</si>
  <si>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</si>
  <si>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</si>
  <si>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</si>
  <si>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</si>
  <si>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</si>
  <si>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</si>
  <si>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</si>
  <si>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</si>
  <si>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</si>
  <si>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</si>
  <si>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</si>
  <si>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44045</t>
  </si>
  <si>
    <t>MOERBEKE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</si>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</sst>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52277.29138459362</c:v>
                </c:pt>
                <c:pt idx="1">
                  <c:v>11095.123484247188</c:v>
                </c:pt>
                <c:pt idx="2">
                  <c:v>574.03800000000001</c:v>
                </c:pt>
                <c:pt idx="3">
                  <c:v>17730.309428383749</c:v>
                </c:pt>
                <c:pt idx="4">
                  <c:v>1084.8171163104644</c:v>
                </c:pt>
                <c:pt idx="5">
                  <c:v>87366.386551846415</c:v>
                </c:pt>
                <c:pt idx="6">
                  <c:v>687.15701854121676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52277.29138459362</c:v>
                </c:pt>
                <c:pt idx="1">
                  <c:v>11095.123484247188</c:v>
                </c:pt>
                <c:pt idx="2">
                  <c:v>574.03800000000001</c:v>
                </c:pt>
                <c:pt idx="3">
                  <c:v>17730.309428383749</c:v>
                </c:pt>
                <c:pt idx="4">
                  <c:v>1084.8171163104644</c:v>
                </c:pt>
                <c:pt idx="5">
                  <c:v>87366.386551846415</c:v>
                </c:pt>
                <c:pt idx="6">
                  <c:v>687.15701854121676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9463.1750583075191</c:v>
                </c:pt>
                <c:pt idx="1">
                  <c:v>2078.1490725929248</c:v>
                </c:pt>
                <c:pt idx="2">
                  <c:v>116.93389114443791</c:v>
                </c:pt>
                <c:pt idx="3">
                  <c:v>4139.2544433944258</c:v>
                </c:pt>
                <c:pt idx="4">
                  <c:v>231.24999727663044</c:v>
                </c:pt>
                <c:pt idx="5">
                  <c:v>21777.073378129007</c:v>
                </c:pt>
                <c:pt idx="6">
                  <c:v>173.81051622750311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9463.1750583075191</c:v>
                </c:pt>
                <c:pt idx="1">
                  <c:v>2078.1490725929248</c:v>
                </c:pt>
                <c:pt idx="2">
                  <c:v>116.93389114443791</c:v>
                </c:pt>
                <c:pt idx="3">
                  <c:v>4139.2544433944258</c:v>
                </c:pt>
                <c:pt idx="4">
                  <c:v>231.24999727663044</c:v>
                </c:pt>
                <c:pt idx="5">
                  <c:v>21777.073378129007</c:v>
                </c:pt>
                <c:pt idx="6">
                  <c:v>173.81051622750311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0.20370409475407186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0.20370409475407186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2672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2328.81</v>
      </c>
    </row>
    <row r="15" spans="1:6">
      <c r="A15" s="348" t="s">
        <v>183</v>
      </c>
      <c r="B15" s="334">
        <v>15</v>
      </c>
    </row>
    <row r="16" spans="1:6">
      <c r="A16" s="348" t="s">
        <v>6</v>
      </c>
      <c r="B16" s="334">
        <v>632</v>
      </c>
    </row>
    <row r="17" spans="1:6">
      <c r="A17" s="348" t="s">
        <v>7</v>
      </c>
      <c r="B17" s="334">
        <v>648</v>
      </c>
    </row>
    <row r="18" spans="1:6">
      <c r="A18" s="348" t="s">
        <v>8</v>
      </c>
      <c r="B18" s="334">
        <v>1086</v>
      </c>
    </row>
    <row r="19" spans="1:6">
      <c r="A19" s="348" t="s">
        <v>9</v>
      </c>
      <c r="B19" s="334">
        <v>1235</v>
      </c>
    </row>
    <row r="20" spans="1:6">
      <c r="A20" s="348" t="s">
        <v>10</v>
      </c>
      <c r="B20" s="334">
        <v>530</v>
      </c>
    </row>
    <row r="21" spans="1:6">
      <c r="A21" s="348" t="s">
        <v>11</v>
      </c>
      <c r="B21" s="334">
        <v>6629</v>
      </c>
    </row>
    <row r="22" spans="1:6">
      <c r="A22" s="348" t="s">
        <v>12</v>
      </c>
      <c r="B22" s="334">
        <v>10234</v>
      </c>
    </row>
    <row r="23" spans="1:6">
      <c r="A23" s="348" t="s">
        <v>13</v>
      </c>
      <c r="B23" s="334">
        <v>640</v>
      </c>
    </row>
    <row r="24" spans="1:6">
      <c r="A24" s="348" t="s">
        <v>14</v>
      </c>
      <c r="B24" s="334">
        <v>7</v>
      </c>
    </row>
    <row r="25" spans="1:6">
      <c r="A25" s="348" t="s">
        <v>15</v>
      </c>
      <c r="B25" s="334">
        <v>1345</v>
      </c>
    </row>
    <row r="26" spans="1:6">
      <c r="A26" s="348" t="s">
        <v>16</v>
      </c>
      <c r="B26" s="334">
        <v>118</v>
      </c>
    </row>
    <row r="27" spans="1:6">
      <c r="A27" s="348" t="s">
        <v>17</v>
      </c>
      <c r="B27" s="334">
        <v>1</v>
      </c>
    </row>
    <row r="28" spans="1:6" s="356" customFormat="1">
      <c r="A28" s="355" t="s">
        <v>18</v>
      </c>
      <c r="B28" s="355">
        <v>55813</v>
      </c>
    </row>
    <row r="29" spans="1:6">
      <c r="A29" s="355" t="s">
        <v>713</v>
      </c>
      <c r="B29" s="355">
        <v>143</v>
      </c>
      <c r="C29" s="356"/>
      <c r="D29" s="356"/>
      <c r="E29" s="356"/>
      <c r="F29" s="356"/>
    </row>
    <row r="30" spans="1:6">
      <c r="A30" s="341" t="s">
        <v>714</v>
      </c>
      <c r="B30" s="341">
        <v>39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1618</v>
      </c>
      <c r="D39" s="334">
        <v>24455833.949999999</v>
      </c>
      <c r="E39" s="334">
        <v>2582</v>
      </c>
      <c r="F39" s="334">
        <v>10513264.619999999</v>
      </c>
    </row>
    <row r="40" spans="1:6">
      <c r="A40" s="348" t="s">
        <v>29</v>
      </c>
      <c r="B40" s="348" t="s">
        <v>28</v>
      </c>
      <c r="C40" s="334">
        <v>0</v>
      </c>
      <c r="D40" s="334">
        <v>0</v>
      </c>
      <c r="E40" s="334">
        <v>0</v>
      </c>
      <c r="F40" s="334">
        <v>0</v>
      </c>
    </row>
    <row r="41" spans="1:6">
      <c r="A41" s="348" t="s">
        <v>31</v>
      </c>
      <c r="B41" s="348" t="s">
        <v>32</v>
      </c>
      <c r="C41" s="334">
        <v>7</v>
      </c>
      <c r="D41" s="334">
        <v>114917.62</v>
      </c>
      <c r="E41" s="334">
        <v>31</v>
      </c>
      <c r="F41" s="334">
        <v>258723.92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7</v>
      </c>
      <c r="D48" s="334">
        <v>102561.91899999999</v>
      </c>
      <c r="E48" s="334">
        <v>16</v>
      </c>
      <c r="F48" s="334">
        <v>82410.482999999993</v>
      </c>
    </row>
    <row r="49" spans="1:6">
      <c r="A49" s="348" t="s">
        <v>31</v>
      </c>
      <c r="B49" s="348" t="s">
        <v>39</v>
      </c>
      <c r="C49" s="334">
        <v>0</v>
      </c>
      <c r="D49" s="334">
        <v>0</v>
      </c>
      <c r="E49" s="334">
        <v>0</v>
      </c>
      <c r="F49" s="334">
        <v>0</v>
      </c>
    </row>
    <row r="50" spans="1:6">
      <c r="A50" s="348" t="s">
        <v>31</v>
      </c>
      <c r="B50" s="348" t="s">
        <v>40</v>
      </c>
      <c r="C50" s="334">
        <v>3</v>
      </c>
      <c r="D50" s="334">
        <v>71304.910999999993</v>
      </c>
      <c r="E50" s="334">
        <v>3</v>
      </c>
      <c r="F50" s="334">
        <v>139922.228</v>
      </c>
    </row>
    <row r="51" spans="1:6">
      <c r="A51" s="348" t="s">
        <v>41</v>
      </c>
      <c r="B51" s="348" t="s">
        <v>42</v>
      </c>
      <c r="C51" s="334">
        <v>20</v>
      </c>
      <c r="D51" s="334">
        <v>8646480.1579999998</v>
      </c>
      <c r="E51" s="334">
        <v>75</v>
      </c>
      <c r="F51" s="334">
        <v>1957723.0149999999</v>
      </c>
    </row>
    <row r="52" spans="1:6">
      <c r="A52" s="348" t="s">
        <v>41</v>
      </c>
      <c r="B52" s="348" t="s">
        <v>28</v>
      </c>
      <c r="C52" s="334">
        <v>4</v>
      </c>
      <c r="D52" s="334">
        <v>89155.673999999999</v>
      </c>
      <c r="E52" s="334">
        <v>6</v>
      </c>
      <c r="F52" s="334">
        <v>77211.331999999995</v>
      </c>
    </row>
    <row r="53" spans="1:6">
      <c r="A53" s="348" t="s">
        <v>43</v>
      </c>
      <c r="B53" s="348" t="s">
        <v>44</v>
      </c>
      <c r="C53" s="334">
        <v>41</v>
      </c>
      <c r="D53" s="334">
        <v>633611.69400000002</v>
      </c>
      <c r="E53" s="334">
        <v>90</v>
      </c>
      <c r="F53" s="334">
        <v>404850.34299999999</v>
      </c>
    </row>
    <row r="54" spans="1:6">
      <c r="A54" s="348" t="s">
        <v>45</v>
      </c>
      <c r="B54" s="348" t="s">
        <v>46</v>
      </c>
      <c r="C54" s="334">
        <v>0</v>
      </c>
      <c r="D54" s="334">
        <v>0</v>
      </c>
      <c r="E54" s="334">
        <v>1</v>
      </c>
      <c r="F54" s="334">
        <v>574038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161917.592</v>
      </c>
      <c r="E57" s="334">
        <v>29</v>
      </c>
      <c r="F57" s="334">
        <v>1519104.527</v>
      </c>
    </row>
    <row r="58" spans="1:6">
      <c r="A58" s="348" t="s">
        <v>48</v>
      </c>
      <c r="B58" s="348" t="s">
        <v>50</v>
      </c>
      <c r="C58" s="334">
        <v>0</v>
      </c>
      <c r="D58" s="334">
        <v>0</v>
      </c>
      <c r="E58" s="334">
        <v>10</v>
      </c>
      <c r="F58" s="334">
        <v>202535.80900000001</v>
      </c>
    </row>
    <row r="59" spans="1:6">
      <c r="A59" s="348" t="s">
        <v>48</v>
      </c>
      <c r="B59" s="348" t="s">
        <v>51</v>
      </c>
      <c r="C59" s="334">
        <v>3</v>
      </c>
      <c r="D59" s="334">
        <v>108982.523</v>
      </c>
      <c r="E59" s="334">
        <v>30</v>
      </c>
      <c r="F59" s="334">
        <v>1383454.94</v>
      </c>
    </row>
    <row r="60" spans="1:6">
      <c r="A60" s="348" t="s">
        <v>48</v>
      </c>
      <c r="B60" s="348" t="s">
        <v>52</v>
      </c>
      <c r="C60" s="334">
        <v>11</v>
      </c>
      <c r="D60" s="334">
        <v>351114.109</v>
      </c>
      <c r="E60" s="334">
        <v>27</v>
      </c>
      <c r="F60" s="334">
        <v>463013.25900000002</v>
      </c>
    </row>
    <row r="61" spans="1:6">
      <c r="A61" s="348" t="s">
        <v>48</v>
      </c>
      <c r="B61" s="348" t="s">
        <v>53</v>
      </c>
      <c r="C61" s="334">
        <v>20</v>
      </c>
      <c r="D61" s="334">
        <v>1571857.15</v>
      </c>
      <c r="E61" s="334">
        <v>85</v>
      </c>
      <c r="F61" s="334">
        <v>835563.48199999996</v>
      </c>
    </row>
    <row r="62" spans="1:6">
      <c r="A62" s="348" t="s">
        <v>48</v>
      </c>
      <c r="B62" s="348" t="s">
        <v>54</v>
      </c>
      <c r="C62" s="334">
        <v>4</v>
      </c>
      <c r="D62" s="334">
        <v>452564.83199999999</v>
      </c>
      <c r="E62" s="334">
        <v>3</v>
      </c>
      <c r="F62" s="334">
        <v>107470.164</v>
      </c>
    </row>
    <row r="63" spans="1:6">
      <c r="A63" s="348" t="s">
        <v>48</v>
      </c>
      <c r="B63" s="348" t="s">
        <v>28</v>
      </c>
      <c r="C63" s="334">
        <v>49</v>
      </c>
      <c r="D63" s="334">
        <v>2019556.4380000001</v>
      </c>
      <c r="E63" s="334">
        <v>72</v>
      </c>
      <c r="F63" s="334">
        <v>625575.82799999998</v>
      </c>
    </row>
    <row r="64" spans="1:6">
      <c r="A64" s="348" t="s">
        <v>55</v>
      </c>
      <c r="B64" s="348" t="s">
        <v>56</v>
      </c>
      <c r="C64" s="334">
        <v>0</v>
      </c>
      <c r="D64" s="334">
        <v>0</v>
      </c>
      <c r="E64" s="334">
        <v>0</v>
      </c>
      <c r="F64" s="334">
        <v>0</v>
      </c>
    </row>
    <row r="65" spans="1:6">
      <c r="A65" s="348" t="s">
        <v>55</v>
      </c>
      <c r="B65" s="348" t="s">
        <v>28</v>
      </c>
      <c r="C65" s="334">
        <v>1</v>
      </c>
      <c r="D65" s="334">
        <v>6025.5330000000004</v>
      </c>
      <c r="E65" s="334">
        <v>1</v>
      </c>
      <c r="F65" s="334">
        <v>1790.0129999999999</v>
      </c>
    </row>
    <row r="66" spans="1:6">
      <c r="A66" s="348" t="s">
        <v>55</v>
      </c>
      <c r="B66" s="348" t="s">
        <v>57</v>
      </c>
      <c r="C66" s="334">
        <v>0</v>
      </c>
      <c r="D66" s="334">
        <v>0</v>
      </c>
      <c r="E66" s="334">
        <v>4</v>
      </c>
      <c r="F66" s="334">
        <v>112492.933</v>
      </c>
    </row>
    <row r="67" spans="1:6">
      <c r="A67" s="355" t="s">
        <v>55</v>
      </c>
      <c r="B67" s="355" t="s">
        <v>58</v>
      </c>
      <c r="C67" s="334">
        <v>0</v>
      </c>
      <c r="D67" s="334">
        <v>0</v>
      </c>
      <c r="E67" s="334">
        <v>0</v>
      </c>
      <c r="F67" s="334">
        <v>0</v>
      </c>
    </row>
    <row r="68" spans="1:6">
      <c r="A68" s="341" t="s">
        <v>55</v>
      </c>
      <c r="B68" s="341" t="s">
        <v>59</v>
      </c>
      <c r="C68" s="334">
        <v>6</v>
      </c>
      <c r="D68" s="334">
        <v>156639.223</v>
      </c>
      <c r="E68" s="334">
        <v>8</v>
      </c>
      <c r="F68" s="334">
        <v>506064.935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696591</v>
      </c>
      <c r="E73" s="476"/>
    </row>
    <row r="74" spans="1:6">
      <c r="A74" s="348" t="s">
        <v>63</v>
      </c>
      <c r="B74" s="348" t="s">
        <v>651</v>
      </c>
      <c r="C74" s="1307" t="s">
        <v>653</v>
      </c>
      <c r="D74" s="476">
        <v>3320</v>
      </c>
      <c r="E74" s="476"/>
    </row>
    <row r="75" spans="1:6">
      <c r="A75" s="348" t="s">
        <v>64</v>
      </c>
      <c r="B75" s="348" t="s">
        <v>650</v>
      </c>
      <c r="C75" s="1307" t="s">
        <v>654</v>
      </c>
      <c r="D75" s="476">
        <v>29347563</v>
      </c>
      <c r="E75" s="476"/>
    </row>
    <row r="76" spans="1:6">
      <c r="A76" s="348" t="s">
        <v>64</v>
      </c>
      <c r="B76" s="348" t="s">
        <v>651</v>
      </c>
      <c r="C76" s="1307" t="s">
        <v>655</v>
      </c>
      <c r="D76" s="476">
        <v>2293890.5</v>
      </c>
      <c r="E76" s="476"/>
    </row>
    <row r="77" spans="1:6">
      <c r="A77" s="348" t="s">
        <v>65</v>
      </c>
      <c r="B77" s="348" t="s">
        <v>650</v>
      </c>
      <c r="C77" s="1307" t="s">
        <v>656</v>
      </c>
      <c r="D77" s="476">
        <v>38153801</v>
      </c>
      <c r="E77" s="476"/>
    </row>
    <row r="78" spans="1:6">
      <c r="A78" s="341" t="s">
        <v>65</v>
      </c>
      <c r="B78" s="341" t="s">
        <v>651</v>
      </c>
      <c r="C78" s="341" t="s">
        <v>657</v>
      </c>
      <c r="D78" s="1308">
        <v>10033614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190901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1547.3999769426866</v>
      </c>
    </row>
    <row r="92" spans="1:6">
      <c r="A92" s="341" t="s">
        <v>68</v>
      </c>
      <c r="B92" s="342">
        <v>74.916585397844344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597</v>
      </c>
    </row>
    <row r="98" spans="1:6">
      <c r="A98" s="348" t="s">
        <v>71</v>
      </c>
      <c r="B98" s="334">
        <v>0</v>
      </c>
    </row>
    <row r="99" spans="1:6">
      <c r="A99" s="348" t="s">
        <v>72</v>
      </c>
      <c r="B99" s="334">
        <v>68</v>
      </c>
    </row>
    <row r="100" spans="1:6">
      <c r="A100" s="348" t="s">
        <v>73</v>
      </c>
      <c r="B100" s="334">
        <v>283</v>
      </c>
    </row>
    <row r="101" spans="1:6">
      <c r="A101" s="348" t="s">
        <v>74</v>
      </c>
      <c r="B101" s="334">
        <v>56</v>
      </c>
    </row>
    <row r="102" spans="1:6">
      <c r="A102" s="348" t="s">
        <v>75</v>
      </c>
      <c r="B102" s="334">
        <v>62</v>
      </c>
    </row>
    <row r="103" spans="1:6">
      <c r="A103" s="348" t="s">
        <v>76</v>
      </c>
      <c r="B103" s="334">
        <v>168</v>
      </c>
    </row>
    <row r="104" spans="1:6">
      <c r="A104" s="348" t="s">
        <v>77</v>
      </c>
      <c r="B104" s="334">
        <v>1024</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9</v>
      </c>
      <c r="C123" s="334">
        <v>10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55</v>
      </c>
    </row>
    <row r="130" spans="1:6">
      <c r="A130" s="348" t="s">
        <v>294</v>
      </c>
      <c r="B130" s="334">
        <v>1</v>
      </c>
    </row>
    <row r="131" spans="1:6">
      <c r="A131" s="348" t="s">
        <v>295</v>
      </c>
      <c r="B131" s="334">
        <v>0</v>
      </c>
    </row>
    <row r="132" spans="1:6">
      <c r="A132" s="341" t="s">
        <v>296</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20729.297205282965</v>
      </c>
      <c r="C3" s="43" t="s">
        <v>169</v>
      </c>
      <c r="D3" s="43"/>
      <c r="E3" s="154"/>
      <c r="F3" s="43"/>
      <c r="G3" s="43"/>
      <c r="H3" s="43"/>
      <c r="I3" s="43"/>
      <c r="J3" s="43"/>
      <c r="K3" s="96"/>
    </row>
    <row r="4" spans="1:11">
      <c r="A4" s="383" t="s">
        <v>170</v>
      </c>
      <c r="B4" s="49">
        <f>IF(ISERROR('SEAP template'!B78+'SEAP template'!C78),0,'SEAP template'!B78+'SEAP template'!C78)</f>
        <v>1622.3165623405309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0.20370409475407186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574.03800000000001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574.03800000000001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0.20370409475407186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116.93389114443791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10513.26462</v>
      </c>
      <c r="C5" s="17">
        <f>IF(ISERROR('Eigen informatie GS &amp; warmtenet'!B59),0,'Eigen informatie GS &amp; warmtenet'!B59)</f>
        <v>0</v>
      </c>
      <c r="D5" s="30">
        <f>(SUM(HH_hh_gas_kWh,HH_rest_gas_kWh)/1000)*0.902</f>
        <v>22059.162222900002</v>
      </c>
      <c r="E5" s="17">
        <f>B46*B57</f>
        <v>5648.4021986772168</v>
      </c>
      <c r="F5" s="17">
        <f>B51*B62</f>
        <v>2185.2410160523473</v>
      </c>
      <c r="G5" s="18"/>
      <c r="H5" s="17"/>
      <c r="I5" s="17"/>
      <c r="J5" s="17">
        <f>B50*B61+C50*C61</f>
        <v>1934.381002947229</v>
      </c>
      <c r="K5" s="17"/>
      <c r="L5" s="17"/>
      <c r="M5" s="17"/>
      <c r="N5" s="17">
        <f>B48*B59+C48*C59</f>
        <v>8049.8038766602785</v>
      </c>
      <c r="O5" s="17">
        <f>B69*B70*B71</f>
        <v>128.95728426015705</v>
      </c>
      <c r="P5" s="17">
        <f>B77*B78*B79/1000-B77*B78*B79/1000/B80</f>
        <v>210.67918615370041</v>
      </c>
    </row>
    <row r="6" spans="1:16">
      <c r="A6" s="16" t="s">
        <v>615</v>
      </c>
      <c r="B6" s="809">
        <f>kWh_PV_kleiner_dan_10kW</f>
        <v>1547.3999769426866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12060.664596942686</v>
      </c>
      <c r="C8" s="21">
        <f>C5</f>
        <v>0</v>
      </c>
      <c r="D8" s="21">
        <f>D5</f>
        <v>22059.162222900002</v>
      </c>
      <c r="E8" s="21">
        <f>E5</f>
        <v>5648.4021986772168</v>
      </c>
      <c r="F8" s="21">
        <f>F5</f>
        <v>2185.2410160523473</v>
      </c>
      <c r="G8" s="21"/>
      <c r="H8" s="21"/>
      <c r="I8" s="21"/>
      <c r="J8" s="21">
        <f>J5</f>
        <v>1934.381002947229</v>
      </c>
      <c r="K8" s="21"/>
      <c r="L8" s="21">
        <f>L5</f>
        <v>0</v>
      </c>
      <c r="M8" s="21">
        <f>M5</f>
        <v>0</v>
      </c>
      <c r="N8" s="21">
        <f>N5</f>
        <v>8049.8038766602785</v>
      </c>
      <c r="O8" s="21">
        <f>O5</f>
        <v>128.95728426015705</v>
      </c>
      <c r="P8" s="21">
        <f>P5</f>
        <v>210.67918615370041</v>
      </c>
    </row>
    <row r="9" spans="1:16">
      <c r="B9" s="19"/>
      <c r="C9" s="19"/>
      <c r="D9" s="258"/>
      <c r="E9" s="19"/>
      <c r="F9" s="19"/>
      <c r="G9" s="19"/>
      <c r="H9" s="19"/>
      <c r="I9" s="19"/>
      <c r="J9" s="19"/>
      <c r="K9" s="19"/>
      <c r="L9" s="19"/>
      <c r="M9" s="19"/>
      <c r="N9" s="19"/>
      <c r="O9" s="19"/>
      <c r="P9" s="19"/>
    </row>
    <row r="10" spans="1:16">
      <c r="A10" s="24" t="s">
        <v>213</v>
      </c>
      <c r="B10" s="25">
        <f ca="1">'EF ele_warmte'!B12</f>
        <v>0.20370409475407186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2456.8067638526927</v>
      </c>
      <c r="C12" s="23">
        <f ca="1">C10*C8</f>
        <v>0</v>
      </c>
      <c r="D12" s="23">
        <f>D8*D10</f>
        <v>4455.9507690258006</v>
      </c>
      <c r="E12" s="23">
        <f>E10*E8</f>
        <v>1282.1872990997283</v>
      </c>
      <c r="F12" s="23">
        <f>F10*F8</f>
        <v>583.45935128597671</v>
      </c>
      <c r="G12" s="23"/>
      <c r="H12" s="23"/>
      <c r="I12" s="23"/>
      <c r="J12" s="23">
        <f>J10*J8</f>
        <v>684.77087504331905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597</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16.707616707616708</v>
      </c>
      <c r="D20" s="229"/>
      <c r="E20" s="15"/>
    </row>
    <row r="21" spans="1:7">
      <c r="A21" s="171" t="s">
        <v>73</v>
      </c>
      <c r="B21" s="37">
        <f>aantalw2001_elektriciteit</f>
        <v>283</v>
      </c>
      <c r="C21" s="167">
        <f>IF(ISERROR(B21/SUM($B$20,$B$21,$B$22)*100),0,B21/SUM($B$20,$B$21,$B$22)*100)</f>
        <v>69.533169533169541</v>
      </c>
      <c r="D21" s="229"/>
      <c r="E21" s="15"/>
    </row>
    <row r="22" spans="1:7">
      <c r="A22" s="171" t="s">
        <v>74</v>
      </c>
      <c r="B22" s="37">
        <f>aantalw2001_hout</f>
        <v>56</v>
      </c>
      <c r="C22" s="167">
        <f>IF(ISERROR(B22/SUM($B$20,$B$21,$B$22)*100),0,B22/SUM($B$20,$B$21,$B$22)*100)</f>
        <v>13.759213759213759</v>
      </c>
      <c r="D22" s="229"/>
      <c r="E22" s="15"/>
    </row>
    <row r="23" spans="1:7">
      <c r="A23" s="171" t="s">
        <v>75</v>
      </c>
      <c r="B23" s="37">
        <f>aantalw2001_niet_gespec</f>
        <v>62</v>
      </c>
      <c r="C23" s="166" t="s">
        <v>110</v>
      </c>
      <c r="D23" s="228"/>
      <c r="E23" s="15"/>
    </row>
    <row r="24" spans="1:7">
      <c r="A24" s="171" t="s">
        <v>76</v>
      </c>
      <c r="B24" s="37">
        <f>aantalw2001_steenkool</f>
        <v>168</v>
      </c>
      <c r="C24" s="166" t="s">
        <v>110</v>
      </c>
      <c r="D24" s="229"/>
      <c r="E24" s="15"/>
    </row>
    <row r="25" spans="1:7">
      <c r="A25" s="171" t="s">
        <v>77</v>
      </c>
      <c r="B25" s="37">
        <f>aantalw2001_stookolie</f>
        <v>1024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2672</v>
      </c>
      <c r="C28" s="36"/>
      <c r="D28" s="228"/>
    </row>
    <row r="29" spans="1:7" s="15" customFormat="1">
      <c r="A29" s="230" t="s">
        <v>837</v>
      </c>
      <c r="B29" s="37">
        <f>SUM(HH_hh_gas_aantal,HH_rest_gas_aantal)</f>
        <v>1618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1618</v>
      </c>
      <c r="C32" s="167">
        <f>IF(ISERROR(B32/SUM($B$32,$B$34,$B$35,$B$36,$B$38,$B$39)*100),0,B32/SUM($B$32,$B$34,$B$35,$B$36,$B$38,$B$39)*100)</f>
        <v>61.010558069381602</v>
      </c>
      <c r="D32" s="233"/>
      <c r="G32" s="15"/>
    </row>
    <row r="33" spans="1:7">
      <c r="A33" s="171" t="s">
        <v>71</v>
      </c>
      <c r="B33" s="34" t="s">
        <v>110</v>
      </c>
      <c r="C33" s="167"/>
      <c r="D33" s="233"/>
      <c r="G33" s="15"/>
    </row>
    <row r="34" spans="1:7">
      <c r="A34" s="171" t="s">
        <v>72</v>
      </c>
      <c r="B34" s="33">
        <f>IF((($B$28-$B$32-$B$39-$B$77-$B$38)*C20/100)&lt;0,0,($B$28-$B$32-$B$39-$B$77-$B$38)*C20/100)</f>
        <v>144.1867321867322</v>
      </c>
      <c r="C34" s="167">
        <f>IF(ISERROR(B34/SUM($B$32,$B$34,$B$35,$B$36,$B$38,$B$39)*100),0,B34/SUM($B$32,$B$34,$B$35,$B$36,$B$38,$B$39)*100)</f>
        <v>5.4369054369054375</v>
      </c>
      <c r="D34" s="233"/>
      <c r="G34" s="15"/>
    </row>
    <row r="35" spans="1:7">
      <c r="A35" s="171" t="s">
        <v>73</v>
      </c>
      <c r="B35" s="33">
        <f>IF((($B$28-$B$32-$B$39-$B$77-$B$38)*C21/100)&lt;0,0,($B$28-$B$32-$B$39-$B$77-$B$38)*C21/100)</f>
        <v>600.07125307125318</v>
      </c>
      <c r="C35" s="167">
        <f>IF(ISERROR(B35/SUM($B$32,$B$34,$B$35,$B$36,$B$38,$B$39)*100),0,B35/SUM($B$32,$B$34,$B$35,$B$36,$B$38,$B$39)*100)</f>
        <v>22.627121156532926</v>
      </c>
      <c r="D35" s="233"/>
      <c r="G35" s="15"/>
    </row>
    <row r="36" spans="1:7">
      <c r="A36" s="171" t="s">
        <v>74</v>
      </c>
      <c r="B36" s="33">
        <f>IF((($B$28-$B$32-$B$39-$B$77-$B$38)*C22/100)&lt;0,0,($B$28-$B$32-$B$39-$B$77-$B$38)*C22/100)</f>
        <v>118.74201474201475</v>
      </c>
      <c r="C36" s="167">
        <f>IF(ISERROR(B36/SUM($B$32,$B$34,$B$35,$B$36,$B$38,$B$39)*100),0,B36/SUM($B$32,$B$34,$B$35,$B$36,$B$38,$B$39)*100)</f>
        <v>4.4774515362750655</v>
      </c>
      <c r="D36" s="233"/>
      <c r="G36" s="15"/>
    </row>
    <row r="37" spans="1:7">
      <c r="A37" s="171" t="s">
        <v>75</v>
      </c>
      <c r="B37" s="34" t="s">
        <v>110</v>
      </c>
      <c r="C37" s="167"/>
      <c r="D37" s="173"/>
      <c r="G37" s="15"/>
    </row>
    <row r="38" spans="1:7">
      <c r="A38" s="171" t="s">
        <v>76</v>
      </c>
      <c r="B38" s="33">
        <f>IF((B24-(B29-B18)*0.1)&lt;0,0,B24-(B29-B18)*0.1)</f>
        <v>65.899999999999991</v>
      </c>
      <c r="C38" s="167">
        <f>IF(ISERROR(B38/SUM($B$32,$B$34,$B$35,$B$36,$B$38,$B$39)*100),0,B38/SUM($B$32,$B$34,$B$35,$B$36,$B$38,$B$39)*100)</f>
        <v>2.4849170437405732</v>
      </c>
      <c r="D38" s="234"/>
      <c r="G38" s="15"/>
    </row>
    <row r="39" spans="1:7">
      <c r="A39" s="171" t="s">
        <v>77</v>
      </c>
      <c r="B39" s="33">
        <f>IF((B25-(B29-B18))&lt;0,0,B25-(B29-B18)*0.9)</f>
        <v>105.10000000000002</v>
      </c>
      <c r="C39" s="167">
        <f>IF(ISERROR(B39/SUM($B$32,$B$34,$B$35,$B$36,$B$38,$B$39)*100),0,B39/SUM($B$32,$B$34,$B$35,$B$36,$B$38,$B$39)*100)</f>
        <v>3.9630467571644052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1618</v>
      </c>
      <c r="C44" s="34" t="s">
        <v>110</v>
      </c>
      <c r="D44" s="174"/>
    </row>
    <row r="45" spans="1:7">
      <c r="A45" s="171" t="s">
        <v>71</v>
      </c>
      <c r="B45" s="33" t="str">
        <f t="shared" si="0"/>
        <v>-</v>
      </c>
      <c r="C45" s="34" t="s">
        <v>110</v>
      </c>
      <c r="D45" s="174"/>
    </row>
    <row r="46" spans="1:7">
      <c r="A46" s="171" t="s">
        <v>72</v>
      </c>
      <c r="B46" s="33">
        <f t="shared" si="0"/>
        <v>144.1867321867322</v>
      </c>
      <c r="C46" s="34" t="s">
        <v>110</v>
      </c>
      <c r="D46" s="174"/>
    </row>
    <row r="47" spans="1:7">
      <c r="A47" s="171" t="s">
        <v>73</v>
      </c>
      <c r="B47" s="33">
        <f t="shared" si="0"/>
        <v>600.07125307125318</v>
      </c>
      <c r="C47" s="34" t="s">
        <v>110</v>
      </c>
      <c r="D47" s="174"/>
    </row>
    <row r="48" spans="1:7">
      <c r="A48" s="171" t="s">
        <v>74</v>
      </c>
      <c r="B48" s="33">
        <f t="shared" si="0"/>
        <v>118.74201474201475</v>
      </c>
      <c r="C48" s="33">
        <f>B48*10</f>
        <v>1187.4201474201475</v>
      </c>
      <c r="D48" s="234"/>
    </row>
    <row r="49" spans="1:6">
      <c r="A49" s="171" t="s">
        <v>75</v>
      </c>
      <c r="B49" s="33" t="str">
        <f t="shared" si="0"/>
        <v>-</v>
      </c>
      <c r="C49" s="34" t="s">
        <v>110</v>
      </c>
      <c r="D49" s="234"/>
    </row>
    <row r="50" spans="1:6">
      <c r="A50" s="171" t="s">
        <v>76</v>
      </c>
      <c r="B50" s="33">
        <f t="shared" si="0"/>
        <v>65.899999999999991</v>
      </c>
      <c r="C50" s="33">
        <f>B50*2</f>
        <v>131.79999999999998</v>
      </c>
      <c r="D50" s="234"/>
    </row>
    <row r="51" spans="1:6">
      <c r="A51" s="171" t="s">
        <v>77</v>
      </c>
      <c r="B51" s="33">
        <f t="shared" si="0"/>
        <v>105.10000000000002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5136.7180089999993</v>
      </c>
      <c r="C5" s="17">
        <f>IF(ISERROR('Eigen informatie GS &amp; warmtenet'!B60),0,'Eigen informatie GS &amp; warmtenet'!B60)</f>
        <v>0</v>
      </c>
      <c r="D5" s="30">
        <f>SUM(D6:D12)</f>
        <v>4208.7253648879996</v>
      </c>
      <c r="E5" s="17">
        <f>SUM(E6:E12)</f>
        <v>62.360563719420611</v>
      </c>
      <c r="F5" s="17">
        <f>SUM(F6:F12)</f>
        <v>627.15601270515549</v>
      </c>
      <c r="G5" s="18"/>
      <c r="H5" s="17"/>
      <c r="I5" s="17"/>
      <c r="J5" s="17">
        <f>SUM(J6:J12)</f>
        <v>2.6987284407262804E-2</v>
      </c>
      <c r="K5" s="17"/>
      <c r="L5" s="17"/>
      <c r="M5" s="17"/>
      <c r="N5" s="17">
        <f>SUM(N6:N12)</f>
        <v>1055.2392858843623</v>
      </c>
      <c r="O5" s="17">
        <f>B38*B39*B40</f>
        <v>4.8972607658411542</v>
      </c>
      <c r="P5" s="17">
        <f>B46*B47*B48/1000-B46*B47*B48/1000/B49</f>
        <v>0</v>
      </c>
      <c r="R5" s="32"/>
    </row>
    <row r="6" spans="1:18">
      <c r="A6" s="32" t="s">
        <v>53</v>
      </c>
      <c r="B6" s="37">
        <f>B26</f>
        <v>835.56348199999991</v>
      </c>
      <c r="C6" s="33"/>
      <c r="D6" s="37">
        <f>IF(ISERROR(TER_kantoor_gas_kWh/1000),0,TER_kantoor_gas_kWh/1000)*0.902</f>
        <v>1417.8151492999998</v>
      </c>
      <c r="E6" s="33">
        <f>$C$26*'E Balans VL '!I12/100/3.6*1000000</f>
        <v>6.7235114368956497</v>
      </c>
      <c r="F6" s="33">
        <f>$C$26*('E Balans VL '!L12+'E Balans VL '!N12)/100/3.6*1000000</f>
        <v>102.15642552091792</v>
      </c>
      <c r="G6" s="34"/>
      <c r="H6" s="33"/>
      <c r="I6" s="33"/>
      <c r="J6" s="33">
        <f>$C$26*('E Balans VL '!D12+'E Balans VL '!E12)/100/3.6*1000000</f>
        <v>0</v>
      </c>
      <c r="K6" s="33"/>
      <c r="L6" s="33"/>
      <c r="M6" s="33"/>
      <c r="N6" s="33">
        <f>$C$26*'E Balans VL '!Y12/100/3.6*1000000</f>
        <v>0.44907422452704154</v>
      </c>
      <c r="O6" s="33"/>
      <c r="P6" s="33"/>
      <c r="R6" s="32"/>
    </row>
    <row r="7" spans="1:18">
      <c r="A7" s="32" t="s">
        <v>52</v>
      </c>
      <c r="B7" s="37">
        <f t="shared" ref="B7:B12" si="0">B27</f>
        <v>463.01325900000001</v>
      </c>
      <c r="C7" s="33"/>
      <c r="D7" s="37">
        <f>IF(ISERROR(TER_horeca_gas_kWh/1000),0,TER_horeca_gas_kWh/1000)*0.902</f>
        <v>316.70492631799999</v>
      </c>
      <c r="E7" s="33">
        <f>$C$27*'E Balans VL '!I9/100/3.6*1000000</f>
        <v>4.9716254398689559</v>
      </c>
      <c r="F7" s="33">
        <f>$C$27*('E Balans VL '!L9+'E Balans VL '!N9)/100/3.6*1000000</f>
        <v>55.68926759146396</v>
      </c>
      <c r="G7" s="34"/>
      <c r="H7" s="33"/>
      <c r="I7" s="33"/>
      <c r="J7" s="33">
        <f>$C$27*('E Balans VL '!D9+'E Balans VL '!E9)/100/3.6*1000000</f>
        <v>0</v>
      </c>
      <c r="K7" s="33"/>
      <c r="L7" s="33"/>
      <c r="M7" s="33"/>
      <c r="N7" s="33">
        <f>$C$27*'E Balans VL '!Y9/100/3.6*1000000</f>
        <v>6.9415071713369317E-2</v>
      </c>
      <c r="O7" s="33"/>
      <c r="P7" s="33"/>
      <c r="R7" s="32"/>
    </row>
    <row r="8" spans="1:18">
      <c r="A8" s="6" t="s">
        <v>51</v>
      </c>
      <c r="B8" s="37">
        <f t="shared" si="0"/>
        <v>1383.4549399999999</v>
      </c>
      <c r="C8" s="33"/>
      <c r="D8" s="37">
        <f>IF(ISERROR(TER_handel_gas_kWh/1000),0,TER_handel_gas_kWh/1000)*0.902</f>
        <v>98.302235746000008</v>
      </c>
      <c r="E8" s="33">
        <f>$C$28*'E Balans VL '!I13/100/3.6*1000000</f>
        <v>37.127695183387978</v>
      </c>
      <c r="F8" s="33">
        <f>$C$28*('E Balans VL '!L13+'E Balans VL '!N13)/100/3.6*1000000</f>
        <v>132.0242404566915</v>
      </c>
      <c r="G8" s="34"/>
      <c r="H8" s="33"/>
      <c r="I8" s="33"/>
      <c r="J8" s="33">
        <f>$C$28*('E Balans VL '!D13+'E Balans VL '!E13)/100/3.6*1000000</f>
        <v>0</v>
      </c>
      <c r="K8" s="33"/>
      <c r="L8" s="33"/>
      <c r="M8" s="33"/>
      <c r="N8" s="33">
        <f>$C$28*'E Balans VL '!Y13/100/3.6*1000000</f>
        <v>0.54841726863196283</v>
      </c>
      <c r="O8" s="33"/>
      <c r="P8" s="33"/>
      <c r="R8" s="32"/>
    </row>
    <row r="9" spans="1:18">
      <c r="A9" s="32" t="s">
        <v>50</v>
      </c>
      <c r="B9" s="37">
        <f t="shared" si="0"/>
        <v>202.535809</v>
      </c>
      <c r="C9" s="33"/>
      <c r="D9" s="37">
        <f>IF(ISERROR(TER_gezond_gas_kWh/1000),0,TER_gezond_gas_kWh/1000)*0.902</f>
        <v>0</v>
      </c>
      <c r="E9" s="33">
        <f>$C$29*'E Balans VL '!I10/100/3.6*1000000</f>
        <v>0.37961805458914566</v>
      </c>
      <c r="F9" s="33">
        <f>$C$29*('E Balans VL '!L10+'E Balans VL '!N10)/100/3.6*1000000</f>
        <v>16.650291496662842</v>
      </c>
      <c r="G9" s="34"/>
      <c r="H9" s="33"/>
      <c r="I9" s="33"/>
      <c r="J9" s="33">
        <f>$C$29*('E Balans VL '!D10+'E Balans VL '!E10)/100/3.6*1000000</f>
        <v>0</v>
      </c>
      <c r="K9" s="33"/>
      <c r="L9" s="33"/>
      <c r="M9" s="33"/>
      <c r="N9" s="33">
        <f>$C$29*'E Balans VL '!Y10/100/3.6*1000000</f>
        <v>1.5758797074465418</v>
      </c>
      <c r="O9" s="33"/>
      <c r="P9" s="33"/>
      <c r="R9" s="32"/>
    </row>
    <row r="10" spans="1:18">
      <c r="A10" s="32" t="s">
        <v>49</v>
      </c>
      <c r="B10" s="37">
        <f t="shared" si="0"/>
        <v>1519.104527</v>
      </c>
      <c r="C10" s="33"/>
      <c r="D10" s="37">
        <f>IF(ISERROR(TER_ander_gas_kWh/1000),0,TER_ander_gas_kWh/1000)*0.902</f>
        <v>146.04966798400002</v>
      </c>
      <c r="E10" s="33">
        <f>$C$30*'E Balans VL '!I14/100/3.6*1000000</f>
        <v>2.3417150212188327</v>
      </c>
      <c r="F10" s="33">
        <f>$C$30*('E Balans VL '!L14+'E Balans VL '!N14)/100/3.6*1000000</f>
        <v>235.84139718861121</v>
      </c>
      <c r="G10" s="34"/>
      <c r="H10" s="33"/>
      <c r="I10" s="33"/>
      <c r="J10" s="33">
        <f>$C$30*('E Balans VL '!D14+'E Balans VL '!E14)/100/3.6*1000000</f>
        <v>2.5788401431132715E-2</v>
      </c>
      <c r="K10" s="33"/>
      <c r="L10" s="33"/>
      <c r="M10" s="33"/>
      <c r="N10" s="33">
        <f>$C$30*'E Balans VL '!Y14/100/3.6*1000000</f>
        <v>1004.9908681285719</v>
      </c>
      <c r="O10" s="33"/>
      <c r="P10" s="33"/>
      <c r="R10" s="32"/>
    </row>
    <row r="11" spans="1:18">
      <c r="A11" s="32" t="s">
        <v>54</v>
      </c>
      <c r="B11" s="37">
        <f t="shared" si="0"/>
        <v>107.47016400000001</v>
      </c>
      <c r="C11" s="33"/>
      <c r="D11" s="37">
        <f>IF(ISERROR(TER_onderwijs_gas_kWh/1000),0,TER_onderwijs_gas_kWh/1000)*0.902</f>
        <v>408.21347846399999</v>
      </c>
      <c r="E11" s="33">
        <f>$C$31*'E Balans VL '!I11/100/3.6*1000000</f>
        <v>2.7412232092850219</v>
      </c>
      <c r="F11" s="33">
        <f>$C$31*('E Balans VL '!L11+'E Balans VL '!N11)/100/3.6*1000000</f>
        <v>12.924298768704656</v>
      </c>
      <c r="G11" s="34"/>
      <c r="H11" s="33"/>
      <c r="I11" s="33"/>
      <c r="J11" s="33">
        <f>$C$31*('E Balans VL '!D11+'E Balans VL '!E11)/100/3.6*1000000</f>
        <v>0</v>
      </c>
      <c r="K11" s="33"/>
      <c r="L11" s="33"/>
      <c r="M11" s="33"/>
      <c r="N11" s="33">
        <f>$C$31*'E Balans VL '!Y11/100/3.6*1000000</f>
        <v>0.23901102244140296</v>
      </c>
      <c r="O11" s="33"/>
      <c r="P11" s="33"/>
      <c r="R11" s="32"/>
    </row>
    <row r="12" spans="1:18">
      <c r="A12" s="32" t="s">
        <v>259</v>
      </c>
      <c r="B12" s="37">
        <f t="shared" si="0"/>
        <v>625.575828</v>
      </c>
      <c r="C12" s="33"/>
      <c r="D12" s="37">
        <f>IF(ISERROR(TER_rest_gas_kWh/1000),0,TER_rest_gas_kWh/1000)*0.902</f>
        <v>1821.6399070760001</v>
      </c>
      <c r="E12" s="33">
        <f>$C$32*'E Balans VL '!I8/100/3.6*1000000</f>
        <v>8.075175374175025</v>
      </c>
      <c r="F12" s="33">
        <f>$C$32*('E Balans VL '!L8+'E Balans VL '!N8)/100/3.6*1000000</f>
        <v>71.870091682103535</v>
      </c>
      <c r="G12" s="34"/>
      <c r="H12" s="33"/>
      <c r="I12" s="33"/>
      <c r="J12" s="33">
        <f>$C$32*('E Balans VL '!D8+'E Balans VL '!E8)/100/3.6*1000000</f>
        <v>1.1988829761300887E-3</v>
      </c>
      <c r="K12" s="33"/>
      <c r="L12" s="33"/>
      <c r="M12" s="33"/>
      <c r="N12" s="33">
        <f>$C$32*'E Balans VL '!Y8/100/3.6*1000000</f>
        <v>47.366620461029825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5136.7180089999993</v>
      </c>
      <c r="C16" s="21">
        <f t="shared" ca="1" si="1"/>
        <v>0</v>
      </c>
      <c r="D16" s="21">
        <f t="shared" ca="1" si="1"/>
        <v>4208.7253648879996</v>
      </c>
      <c r="E16" s="21">
        <f t="shared" si="1"/>
        <v>62.360563719420611</v>
      </c>
      <c r="F16" s="21">
        <f t="shared" ca="1" si="1"/>
        <v>627.15601270515549</v>
      </c>
      <c r="G16" s="21">
        <f t="shared" si="1"/>
        <v>0</v>
      </c>
      <c r="H16" s="21">
        <f t="shared" si="1"/>
        <v>0</v>
      </c>
      <c r="I16" s="21">
        <f t="shared" si="1"/>
        <v>0</v>
      </c>
      <c r="J16" s="21">
        <f t="shared" si="1"/>
        <v>2.6987284407262804E-2</v>
      </c>
      <c r="K16" s="21">
        <f t="shared" si="1"/>
        <v>0</v>
      </c>
      <c r="L16" s="21">
        <f t="shared" ca="1" si="1"/>
        <v>0</v>
      </c>
      <c r="M16" s="21">
        <f t="shared" si="1"/>
        <v>0</v>
      </c>
      <c r="N16" s="21">
        <f t="shared" ca="1" si="1"/>
        <v>1055.2392858843623</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0.20370409475407186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1046.3704920302832</v>
      </c>
      <c r="C20" s="23">
        <f t="shared" ref="C20:P20" ca="1" si="2">C16*C18</f>
        <v>0</v>
      </c>
      <c r="D20" s="23">
        <f t="shared" ca="1" si="2"/>
        <v>850.16252370737595</v>
      </c>
      <c r="E20" s="23">
        <f t="shared" si="2"/>
        <v>14.15584796430848</v>
      </c>
      <c r="F20" s="23">
        <f t="shared" ca="1" si="2"/>
        <v>167.45065539227653</v>
      </c>
      <c r="G20" s="23">
        <f t="shared" si="2"/>
        <v>0</v>
      </c>
      <c r="H20" s="23">
        <f t="shared" si="2"/>
        <v>0</v>
      </c>
      <c r="I20" s="23">
        <f t="shared" si="2"/>
        <v>0</v>
      </c>
      <c r="J20" s="23">
        <f t="shared" si="2"/>
        <v>9.5534986801710312E-3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835.56348199999991</v>
      </c>
      <c r="C26" s="39">
        <f>IF(ISERROR(B26*3.6/1000000/'E Balans VL '!Z12*100),0,B26*3.6/1000000/'E Balans VL '!Z12*100)</f>
        <v>1.7725714817828888E-2</v>
      </c>
      <c r="D26" s="237" t="s">
        <v>716</v>
      </c>
      <c r="F26" s="6"/>
    </row>
    <row r="27" spans="1:18">
      <c r="A27" s="231" t="s">
        <v>52</v>
      </c>
      <c r="B27" s="33">
        <f>IF(ISERROR(TER_horeca_ele_kWh/1000),0,TER_horeca_ele_kWh/1000)</f>
        <v>463.01325900000001</v>
      </c>
      <c r="C27" s="39">
        <f>IF(ISERROR(B27*3.6/1000000/'E Balans VL '!Z9*100),0,B27*3.6/1000000/'E Balans VL '!Z9*100)</f>
        <v>3.4869000008691101E-2</v>
      </c>
      <c r="D27" s="237" t="s">
        <v>716</v>
      </c>
      <c r="F27" s="6"/>
    </row>
    <row r="28" spans="1:18">
      <c r="A28" s="171" t="s">
        <v>51</v>
      </c>
      <c r="B28" s="33">
        <f>IF(ISERROR(TER_handel_ele_kWh/1000),0,TER_handel_ele_kWh/1000)</f>
        <v>1383.4549399999999</v>
      </c>
      <c r="C28" s="39">
        <f>IF(ISERROR(B28*3.6/1000000/'E Balans VL '!Z13*100),0,B28*3.6/1000000/'E Balans VL '!Z13*100)</f>
        <v>4.0156794944887553E-2</v>
      </c>
      <c r="D28" s="237" t="s">
        <v>716</v>
      </c>
      <c r="F28" s="6"/>
    </row>
    <row r="29" spans="1:18">
      <c r="A29" s="231" t="s">
        <v>50</v>
      </c>
      <c r="B29" s="33">
        <f>IF(ISERROR(TER_gezond_ele_kWh/1000),0,TER_gezond_ele_kWh/1000)</f>
        <v>202.535809</v>
      </c>
      <c r="C29" s="39">
        <f>IF(ISERROR(B29*3.6/1000000/'E Balans VL '!Z10*100),0,B29*3.6/1000000/'E Balans VL '!Z10*100)</f>
        <v>2.0425977871439689E-2</v>
      </c>
      <c r="D29" s="237" t="s">
        <v>716</v>
      </c>
      <c r="F29" s="6"/>
    </row>
    <row r="30" spans="1:18">
      <c r="A30" s="231" t="s">
        <v>49</v>
      </c>
      <c r="B30" s="33">
        <f>IF(ISERROR(TER_ander_ele_kWh/1000),0,TER_ander_ele_kWh/1000)</f>
        <v>1519.104527</v>
      </c>
      <c r="C30" s="39">
        <f>IF(ISERROR(B30*3.6/1000000/'E Balans VL '!Z14*100),0,B30*3.6/1000000/'E Balans VL '!Z14*100)</f>
        <v>0.11023175781951974</v>
      </c>
      <c r="D30" s="237" t="s">
        <v>716</v>
      </c>
      <c r="F30" s="6"/>
    </row>
    <row r="31" spans="1:18">
      <c r="A31" s="231" t="s">
        <v>54</v>
      </c>
      <c r="B31" s="33">
        <f>IF(ISERROR(TER_onderwijs_ele_kWh/1000),0,TER_onderwijs_ele_kWh/1000)</f>
        <v>107.47016400000001</v>
      </c>
      <c r="C31" s="39">
        <f>IF(ISERROR(B31*3.6/1000000/'E Balans VL '!Z11*100),0,B31*3.6/1000000/'E Balans VL '!Z11*100)</f>
        <v>3.063337312885862E-2</v>
      </c>
      <c r="D31" s="237" t="s">
        <v>716</v>
      </c>
    </row>
    <row r="32" spans="1:18">
      <c r="A32" s="231" t="s">
        <v>259</v>
      </c>
      <c r="B32" s="33">
        <f>IF(ISERROR(TER_rest_ele_kWh/1000),0,TER_rest_ele_kWh/1000)</f>
        <v>625.575828</v>
      </c>
      <c r="C32" s="39">
        <f>IF(ISERROR(B32*3.6/1000000/'E Balans VL '!Z8*100),0,B32*3.6/1000000/'E Balans VL '!Z8*100)</f>
        <v>5.1245897591455465E-3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481.05663100000004</v>
      </c>
      <c r="C5" s="17">
        <f>IF(ISERROR('Eigen informatie GS &amp; warmtenet'!B61),0,'Eigen informatie GS &amp; warmtenet'!B61)</f>
        <v>0</v>
      </c>
      <c r="D5" s="30">
        <f>SUM(D6:D15)</f>
        <v>260.48357389999995</v>
      </c>
      <c r="E5" s="17">
        <f>SUM(E6:E15)</f>
        <v>75.838334800489861</v>
      </c>
      <c r="F5" s="17">
        <f>SUM(F6:F15)</f>
        <v>236.63970357745069</v>
      </c>
      <c r="G5" s="18"/>
      <c r="H5" s="17"/>
      <c r="I5" s="17"/>
      <c r="J5" s="17">
        <f>SUM(J6:J15)</f>
        <v>0.68081059503206398</v>
      </c>
      <c r="K5" s="17"/>
      <c r="L5" s="17"/>
      <c r="M5" s="17"/>
      <c r="N5" s="17">
        <f>SUM(N6:N15)</f>
        <v>30.118062437491925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258.72392000000002</v>
      </c>
      <c r="C9" s="33"/>
      <c r="D9" s="37">
        <f>IF( ISERROR(IND_andere_gas_kWh/1000),0,IND_andere_gas_kWh/1000)*0.902</f>
        <v>103.65569324000001</v>
      </c>
      <c r="E9" s="33">
        <f>C31*'E Balans VL '!I19/100/3.6*1000000</f>
        <v>71.695857804233327</v>
      </c>
      <c r="F9" s="33">
        <f>C31*'E Balans VL '!L19/100/3.6*1000000+C31*'E Balans VL '!N19/100/3.6*1000000</f>
        <v>214.43094400270013</v>
      </c>
      <c r="G9" s="34"/>
      <c r="H9" s="33"/>
      <c r="I9" s="33"/>
      <c r="J9" s="40">
        <f>C31*'E Balans VL '!D19/100/3.6*1000000+C31*'E Balans VL '!E19/100/3.6*1000000</f>
        <v>0</v>
      </c>
      <c r="K9" s="33"/>
      <c r="L9" s="33"/>
      <c r="M9" s="33"/>
      <c r="N9" s="33">
        <f>C31*'E Balans VL '!Y19/100/3.6*1000000</f>
        <v>18.780192055871215</v>
      </c>
      <c r="O9" s="33"/>
      <c r="P9" s="33"/>
      <c r="R9" s="32"/>
    </row>
    <row r="10" spans="1:18">
      <c r="A10" s="6" t="s">
        <v>40</v>
      </c>
      <c r="B10" s="37">
        <f t="shared" si="0"/>
        <v>139.92222799999999</v>
      </c>
      <c r="C10" s="33"/>
      <c r="D10" s="37">
        <f>IF( ISERROR(IND_voed_gas_kWh/1000),0,IND_voed_gas_kWh/1000)*0.902</f>
        <v>64.317029721999987</v>
      </c>
      <c r="E10" s="33">
        <f>C32*'E Balans VL '!I20/100/3.6*1000000</f>
        <v>0.2477097382572333</v>
      </c>
      <c r="F10" s="33">
        <f>C32*'E Balans VL '!L20/100/3.6*1000000+C32*'E Balans VL '!N20/100/3.6*1000000</f>
        <v>7.5570404315827071</v>
      </c>
      <c r="G10" s="34"/>
      <c r="H10" s="33"/>
      <c r="I10" s="33"/>
      <c r="J10" s="40">
        <f>C32*'E Balans VL '!D20/100/3.6*1000000+C32*'E Balans VL '!E20/100/3.6*1000000</f>
        <v>0</v>
      </c>
      <c r="K10" s="33"/>
      <c r="L10" s="33"/>
      <c r="M10" s="33"/>
      <c r="N10" s="33">
        <f>C32*'E Balans VL '!Y20/100/3.6*1000000</f>
        <v>8.1305500461709315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82.410482999999999</v>
      </c>
      <c r="C15" s="33"/>
      <c r="D15" s="37">
        <f>IF( ISERROR(IND_rest_gas_kWh/1000),0,IND_rest_gas_kWh/1000)*0.902</f>
        <v>92.51085093799999</v>
      </c>
      <c r="E15" s="33">
        <f>C37*'E Balans VL '!I15/100/3.6*1000000</f>
        <v>3.8947672579993036</v>
      </c>
      <c r="F15" s="33">
        <f>C37*'E Balans VL '!L15/100/3.6*1000000+C37*'E Balans VL '!N15/100/3.6*1000000</f>
        <v>14.651719143167846</v>
      </c>
      <c r="G15" s="34"/>
      <c r="H15" s="33"/>
      <c r="I15" s="33"/>
      <c r="J15" s="40">
        <f>C37*'E Balans VL '!D15/100/3.6*1000000+C37*'E Balans VL '!E15/100/3.6*1000000</f>
        <v>0.68081059503206398</v>
      </c>
      <c r="K15" s="33"/>
      <c r="L15" s="33"/>
      <c r="M15" s="33"/>
      <c r="N15" s="33">
        <f>C37*'E Balans VL '!Y15/100/3.6*1000000</f>
        <v>3.2073203354497797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481.05663100000004</v>
      </c>
      <c r="C18" s="21">
        <f>C5+C16</f>
        <v>0</v>
      </c>
      <c r="D18" s="21">
        <f>MAX((D5+D16),0)</f>
        <v>260.48357389999995</v>
      </c>
      <c r="E18" s="21">
        <f>MAX((E5+E16),0)</f>
        <v>75.838334800489861</v>
      </c>
      <c r="F18" s="21">
        <f>MAX((F5+F16),0)</f>
        <v>236.63970357745069</v>
      </c>
      <c r="G18" s="21"/>
      <c r="H18" s="21"/>
      <c r="I18" s="21"/>
      <c r="J18" s="21">
        <f>MAX((J5+J16),0)</f>
        <v>0.68081059503206398</v>
      </c>
      <c r="K18" s="21"/>
      <c r="L18" s="21">
        <f>MAX((L5+L16),0)</f>
        <v>0</v>
      </c>
      <c r="M18" s="21"/>
      <c r="N18" s="21">
        <f>MAX((N5+N16),0)</f>
        <v>30.118062437491925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0.20370409475407186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97.993205543298586</v>
      </c>
      <c r="C22" s="23">
        <f ca="1">C18*C20</f>
        <v>0</v>
      </c>
      <c r="D22" s="23">
        <f>D18*D20</f>
        <v>52.617681927799993</v>
      </c>
      <c r="E22" s="23">
        <f>E18*E20</f>
        <v>17.215301999711198</v>
      </c>
      <c r="F22" s="23">
        <f>F18*F20</f>
        <v>63.182800855179337</v>
      </c>
      <c r="G22" s="23"/>
      <c r="H22" s="23"/>
      <c r="I22" s="23"/>
      <c r="J22" s="23">
        <f>J18*J20</f>
        <v>0.24100695064135064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258.72392000000002</v>
      </c>
      <c r="C31" s="39">
        <f>IF(ISERROR(B31*3.6/1000000/'E Balans VL '!Z19*100),0,B31*3.6/1000000/'E Balans VL '!Z19*100)</f>
        <v>1.3012974554885549E-2</v>
      </c>
      <c r="D31" s="237" t="s">
        <v>716</v>
      </c>
    </row>
    <row r="32" spans="1:18">
      <c r="A32" s="171" t="s">
        <v>40</v>
      </c>
      <c r="B32" s="37">
        <f>IF( ISERROR(IND_voed_ele_kWh/1000),0,IND_voed_ele_kWh/1000)</f>
        <v>139.92222799999999</v>
      </c>
      <c r="C32" s="39">
        <f>IF(ISERROR(B32*3.6/1000000/'E Balans VL '!Z20*100),0,B32*3.6/1000000/'E Balans VL '!Z20*100)</f>
        <v>4.660241085302521E-3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82.410482999999999</v>
      </c>
      <c r="C37" s="39">
        <f>IF(ISERROR(B37*3.6/1000000/'E Balans VL '!Z15*100),0,B37*3.6/1000000/'E Balans VL '!Z15*100)</f>
        <v>6.4302712967745097E-4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2034.9343469999999</v>
      </c>
      <c r="C5" s="17">
        <f>'Eigen informatie GS &amp; warmtenet'!B62</f>
        <v>0</v>
      </c>
      <c r="D5" s="30">
        <f>IF(ISERROR(SUM(LB_lb_gas_kWh,LB_rest_gas_kWh)/1000),0,SUM(LB_lb_gas_kWh,LB_rest_gas_kWh)/1000)*0.902</f>
        <v>7879.5435204639998</v>
      </c>
      <c r="E5" s="17">
        <f>B17*'E Balans VL '!I25/3.6*1000000/100</f>
        <v>63.509629931306975</v>
      </c>
      <c r="F5" s="17">
        <f>B17*('E Balans VL '!L25/3.6*1000000+'E Balans VL '!N25/3.6*1000000)/100</f>
        <v>7191.6834062439248</v>
      </c>
      <c r="G5" s="18"/>
      <c r="H5" s="17"/>
      <c r="I5" s="17"/>
      <c r="J5" s="17">
        <f>('E Balans VL '!D25+'E Balans VL '!E25)/3.6*1000000*landbouw!B17/100</f>
        <v>560.63852474451846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2034.9343469999999</v>
      </c>
      <c r="C8" s="21">
        <f>C5+C6</f>
        <v>0</v>
      </c>
      <c r="D8" s="21">
        <f>MAX((D5+D6),0)</f>
        <v>7879.5435204639998</v>
      </c>
      <c r="E8" s="21">
        <f>MAX((E5+E6),0)</f>
        <v>63.509629931306975</v>
      </c>
      <c r="F8" s="21">
        <f>MAX((F5+F6),0)</f>
        <v>7191.6834062439248</v>
      </c>
      <c r="G8" s="21"/>
      <c r="H8" s="21"/>
      <c r="I8" s="21"/>
      <c r="J8" s="21">
        <f>MAX((J5+J6),0)</f>
        <v>560.63852474451846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0.20370409475407186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414.52445903960336</v>
      </c>
      <c r="C12" s="23">
        <f ca="1">C8*C10</f>
        <v>0</v>
      </c>
      <c r="D12" s="23">
        <f>D8*D10</f>
        <v>1591.6677911337281</v>
      </c>
      <c r="E12" s="23">
        <f>E8*E10</f>
        <v>14.416685994406684</v>
      </c>
      <c r="F12" s="23">
        <f>F8*F10</f>
        <v>1920.179469467128</v>
      </c>
      <c r="G12" s="23"/>
      <c r="H12" s="23"/>
      <c r="I12" s="23"/>
      <c r="J12" s="23">
        <f>J8*J10</f>
        <v>198.46603775955953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0.30250757847273663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310.33337962317978</v>
      </c>
      <c r="C26" s="247">
        <f>B26*'GWP N2O_CH4'!B5</f>
        <v>6517.0009720867756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118.0243579353627</v>
      </c>
      <c r="C27" s="247">
        <f>B27*'GWP N2O_CH4'!B5</f>
        <v>2478.5115166426167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4.3784977980859852</v>
      </c>
      <c r="C28" s="247">
        <f>B28*'GWP N2O_CH4'!B4</f>
        <v>1357.3343174066554</v>
      </c>
      <c r="D28" s="50"/>
    </row>
    <row r="29" spans="1:4">
      <c r="A29" s="41" t="s">
        <v>276</v>
      </c>
      <c r="B29" s="247">
        <f>B34*'ha_N2O bodem landbouw'!B4</f>
        <v>15.72379589676895</v>
      </c>
      <c r="C29" s="247">
        <f>B29*'GWP N2O_CH4'!B4</f>
        <v>4874.376727998374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3.4479453395817737E-3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1.3332700202499999E-4</v>
      </c>
      <c r="C5" s="463" t="s">
        <v>210</v>
      </c>
      <c r="D5" s="448">
        <f>SUM(D6:D11)</f>
        <v>6.2876905070543198E-4</v>
      </c>
      <c r="E5" s="448">
        <f>SUM(E6:E11)</f>
        <v>5.2734943683100007E-4</v>
      </c>
      <c r="F5" s="461" t="s">
        <v>210</v>
      </c>
      <c r="G5" s="448">
        <f>SUM(G6:G11)</f>
        <v>0.24840363851765412</v>
      </c>
      <c r="H5" s="448">
        <f>SUM(H6:H11)</f>
        <v>4.7388810242545591E-2</v>
      </c>
      <c r="I5" s="463" t="s">
        <v>210</v>
      </c>
      <c r="J5" s="463" t="s">
        <v>210</v>
      </c>
      <c r="K5" s="463" t="s">
        <v>210</v>
      </c>
      <c r="L5" s="463" t="s">
        <v>210</v>
      </c>
      <c r="M5" s="448">
        <f>SUM(M6:M11)</f>
        <v>1.7437097336886011E-2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1.361835405E-6</v>
      </c>
      <c r="C6" s="449"/>
      <c r="D6" s="917">
        <f>vkm_2011_GW_PW*SUMIFS(TableVerdeelsleutelVkm[CNG],TableVerdeelsleutelVkm[Voertuigtype],"Lichte voertuigen")*SUMIFS(TableECFTransport[EnergieConsumptieFactor (PJ per km)],TableECFTransport[Index],CONCATENATE($A6,"_CNG_CNG"))</f>
        <v>4.735333667988E-6</v>
      </c>
      <c r="E6" s="917">
        <f>vkm_2011_GW_PW*SUMIFS(TableVerdeelsleutelVkm[LPG],TableVerdeelsleutelVkm[Voertuigtype],"Lichte voertuigen")*SUMIFS(TableECFTransport[EnergieConsumptieFactor (PJ per km)],TableECFTransport[Index],CONCATENATE($A6,"_LPG_LPG"))</f>
        <v>3.7306627595999994E-6</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1.0155297812234334E-3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3.5536797352531553E-4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8.1919757415843219E-5</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3.1407701711908089E-5</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7.9126121699573146E-9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1.8110662052019503E-6</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5.7374485664999993E-5</v>
      </c>
      <c r="C8" s="449"/>
      <c r="D8" s="451">
        <f>vkm_2011_NGW_PW*SUMIFS(TableVerdeelsleutelVkm[CNG],TableVerdeelsleutelVkm[Voertuigtype],"Lichte voertuigen")*SUMIFS(TableECFTransport[EnergieConsumptieFactor (PJ per km)],TableECFTransport[Index],CONCATENATE($A8,"_CNG_CNG"))</f>
        <v>3.5306526972024002E-4</v>
      </c>
      <c r="E8" s="451">
        <f>vkm_2011_NGW_PW*SUMIFS(TableVerdeelsleutelVkm[LPG],TableVerdeelsleutelVkm[Voertuigtype],"Lichte voertuigen")*SUMIFS(TableECFTransport[EnergieConsumptieFactor (PJ per km)],TableECFTransport[Index],CONCATENATE($A8,"_LPG_LPG"))</f>
        <v>2.5786896550117501E-4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6.5138756200435063E-2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2.5818053573421436E-2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5.4534715320460128E-3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2.7762266146245135E-2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6.599419351271039E-6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1.6008330299878415E-3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7.4590680954999991E-5</v>
      </c>
      <c r="C10" s="449"/>
      <c r="D10" s="451">
        <f>vkm_2011_SW_PW*SUMIFS(TableVerdeelsleutelVkm[CNG],TableVerdeelsleutelVkm[Voertuigtype],"Lichte voertuigen")*SUMIFS(TableECFTransport[EnergieConsumptieFactor (PJ per km)],TableECFTransport[Index],CONCATENATE($A10,"_CNG_CNG"))</f>
        <v>2.7096844731720401E-4</v>
      </c>
      <c r="E10" s="451">
        <f>vkm_2011_SW_PW*SUMIFS(TableVerdeelsleutelVkm[LPG],TableVerdeelsleutelVkm[Voertuigtype],"Lichte voertuigen")*SUMIFS(TableECFTransport[EnergieConsumptieFactor (PJ per km)],TableECFTransport[Index],CONCATENATE($A10,"_LPG_LPG"))</f>
        <v>2.6574980857022501E-4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6.4259722065854605E-2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2.1184170256617622E-2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5.0979571086582571E-3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9.0195956622184006E-2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2.4611107017773951E-5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5.2011048425728524E-3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37.035278340277777</v>
      </c>
      <c r="C14" s="21"/>
      <c r="D14" s="21">
        <f t="shared" ref="D14:M14" si="0">((D5)*10^9/3600)+D12</f>
        <v>174.65806964039777</v>
      </c>
      <c r="E14" s="21">
        <f t="shared" si="0"/>
        <v>146.48595467527778</v>
      </c>
      <c r="F14" s="21"/>
      <c r="G14" s="21">
        <f t="shared" si="0"/>
        <v>69001.010699348364</v>
      </c>
      <c r="H14" s="21">
        <f t="shared" si="0"/>
        <v>13163.558400707108</v>
      </c>
      <c r="I14" s="21"/>
      <c r="J14" s="21"/>
      <c r="K14" s="21"/>
      <c r="L14" s="21"/>
      <c r="M14" s="21">
        <f t="shared" si="0"/>
        <v>4843.638149135003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0.20370409475407186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7.5442378482713695</v>
      </c>
      <c r="C18" s="23"/>
      <c r="D18" s="23">
        <f t="shared" ref="D18:M18" si="1">D14*D16</f>
        <v>35.280930067360352</v>
      </c>
      <c r="E18" s="23">
        <f t="shared" si="1"/>
        <v>33.252311711288058</v>
      </c>
      <c r="F18" s="23"/>
      <c r="G18" s="23">
        <f t="shared" si="1"/>
        <v>18423.269856726016</v>
      </c>
      <c r="H18" s="23">
        <f t="shared" si="1"/>
        <v>3277.7260417760699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2.3435125783483565E-3</v>
      </c>
      <c r="H50" s="321">
        <f t="shared" si="2"/>
        <v>0</v>
      </c>
      <c r="I50" s="321">
        <f t="shared" si="2"/>
        <v>0</v>
      </c>
      <c r="J50" s="321">
        <f t="shared" si="2"/>
        <v>0</v>
      </c>
      <c r="K50" s="321">
        <f t="shared" si="2"/>
        <v>0</v>
      </c>
      <c r="L50" s="321">
        <f t="shared" si="2"/>
        <v>0</v>
      </c>
      <c r="M50" s="321">
        <f t="shared" si="2"/>
        <v>1.3025268840002405E-4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2.3435125783483565E-3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1.3025268840002405E-4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650.97571620787676</v>
      </c>
      <c r="H54" s="21">
        <f t="shared" si="3"/>
        <v>0</v>
      </c>
      <c r="I54" s="21">
        <f t="shared" si="3"/>
        <v>0</v>
      </c>
      <c r="J54" s="21">
        <f t="shared" si="3"/>
        <v>0</v>
      </c>
      <c r="K54" s="21">
        <f t="shared" si="3"/>
        <v>0</v>
      </c>
      <c r="L54" s="21">
        <f t="shared" si="3"/>
        <v>0</v>
      </c>
      <c r="M54" s="21">
        <f t="shared" si="3"/>
        <v>36.181302333340014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0.20370409475407186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173.81051622750311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5710.7560089999988</v>
      </c>
      <c r="D10" s="712">
        <f ca="1">tertiair!C16</f>
        <v>0</v>
      </c>
      <c r="E10" s="712">
        <f ca="1">tertiair!D16</f>
        <v>4208.7253648879996</v>
      </c>
      <c r="F10" s="712">
        <f>tertiair!E16</f>
        <v>62.360563719420611</v>
      </c>
      <c r="G10" s="712">
        <f ca="1">tertiair!F16</f>
        <v>627.15601270515549</v>
      </c>
      <c r="H10" s="712">
        <f>tertiair!G16</f>
        <v>0</v>
      </c>
      <c r="I10" s="712">
        <f>tertiair!H16</f>
        <v>0</v>
      </c>
      <c r="J10" s="712">
        <f>tertiair!I16</f>
        <v>0</v>
      </c>
      <c r="K10" s="712">
        <f>tertiair!J16</f>
        <v>2.6987284407262804E-2</v>
      </c>
      <c r="L10" s="712">
        <f>tertiair!K16</f>
        <v>0</v>
      </c>
      <c r="M10" s="712">
        <f ca="1">tertiair!L16</f>
        <v>0</v>
      </c>
      <c r="N10" s="712">
        <f>tertiair!M16</f>
        <v>0</v>
      </c>
      <c r="O10" s="712">
        <f ca="1">tertiair!N16</f>
        <v>1055.2392858843623</v>
      </c>
      <c r="P10" s="712">
        <f>tertiair!O16</f>
        <v>4.8972607658411542</v>
      </c>
      <c r="Q10" s="713">
        <f>tertiair!P16</f>
        <v>0</v>
      </c>
      <c r="R10" s="715">
        <f ca="1">SUM(C10:Q10)</f>
        <v>11669.161484247188</v>
      </c>
      <c r="S10" s="67"/>
    </row>
    <row r="11" spans="1:19" s="474" customFormat="1">
      <c r="A11" s="834" t="s">
        <v>224</v>
      </c>
      <c r="B11" s="839"/>
      <c r="C11" s="712">
        <f>huishoudens!B8</f>
        <v>12060.664596942686</v>
      </c>
      <c r="D11" s="712">
        <f>huishoudens!C8</f>
        <v>0</v>
      </c>
      <c r="E11" s="712">
        <f>huishoudens!D8</f>
        <v>22059.162222900002</v>
      </c>
      <c r="F11" s="712">
        <f>huishoudens!E8</f>
        <v>5648.4021986772168</v>
      </c>
      <c r="G11" s="712">
        <f>huishoudens!F8</f>
        <v>2185.2410160523473</v>
      </c>
      <c r="H11" s="712">
        <f>huishoudens!G8</f>
        <v>0</v>
      </c>
      <c r="I11" s="712">
        <f>huishoudens!H8</f>
        <v>0</v>
      </c>
      <c r="J11" s="712">
        <f>huishoudens!I8</f>
        <v>0</v>
      </c>
      <c r="K11" s="712">
        <f>huishoudens!J8</f>
        <v>1934.381002947229</v>
      </c>
      <c r="L11" s="712">
        <f>huishoudens!K8</f>
        <v>0</v>
      </c>
      <c r="M11" s="712">
        <f>huishoudens!L8</f>
        <v>0</v>
      </c>
      <c r="N11" s="712">
        <f>huishoudens!M8</f>
        <v>0</v>
      </c>
      <c r="O11" s="712">
        <f>huishoudens!N8</f>
        <v>8049.8038766602785</v>
      </c>
      <c r="P11" s="712">
        <f>huishoudens!O8</f>
        <v>128.95728426015705</v>
      </c>
      <c r="Q11" s="713">
        <f>huishoudens!P8</f>
        <v>210.67918615370041</v>
      </c>
      <c r="R11" s="715">
        <f>SUM(C11:Q11)</f>
        <v>52277.29138459362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481.05663100000004</v>
      </c>
      <c r="D13" s="712">
        <f>industrie!C18</f>
        <v>0</v>
      </c>
      <c r="E13" s="712">
        <f>industrie!D18</f>
        <v>260.48357389999995</v>
      </c>
      <c r="F13" s="712">
        <f>industrie!E18</f>
        <v>75.838334800489861</v>
      </c>
      <c r="G13" s="712">
        <f>industrie!F18</f>
        <v>236.63970357745069</v>
      </c>
      <c r="H13" s="712">
        <f>industrie!G18</f>
        <v>0</v>
      </c>
      <c r="I13" s="712">
        <f>industrie!H18</f>
        <v>0</v>
      </c>
      <c r="J13" s="712">
        <f>industrie!I18</f>
        <v>0</v>
      </c>
      <c r="K13" s="712">
        <f>industrie!J18</f>
        <v>0.68081059503206398</v>
      </c>
      <c r="L13" s="712">
        <f>industrie!K18</f>
        <v>0</v>
      </c>
      <c r="M13" s="712">
        <f>industrie!L18</f>
        <v>0</v>
      </c>
      <c r="N13" s="712">
        <f>industrie!M18</f>
        <v>0</v>
      </c>
      <c r="O13" s="712">
        <f>industrie!N18</f>
        <v>30.118062437491925</v>
      </c>
      <c r="P13" s="712">
        <f>industrie!O18</f>
        <v>0</v>
      </c>
      <c r="Q13" s="713">
        <f>industrie!P18</f>
        <v>0</v>
      </c>
      <c r="R13" s="715">
        <f>SUM(C13:Q13)</f>
        <v>1084.8171163104644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18252.477236942686</v>
      </c>
      <c r="D16" s="748">
        <f t="shared" ref="D16:R16" ca="1" si="0">SUM(D9:D15)</f>
        <v>0</v>
      </c>
      <c r="E16" s="748">
        <f t="shared" ca="1" si="0"/>
        <v>26528.371161688003</v>
      </c>
      <c r="F16" s="748">
        <f t="shared" si="0"/>
        <v>5786.6010971971273</v>
      </c>
      <c r="G16" s="748">
        <f t="shared" ca="1" si="0"/>
        <v>3049.0367323349537</v>
      </c>
      <c r="H16" s="748">
        <f t="shared" si="0"/>
        <v>0</v>
      </c>
      <c r="I16" s="748">
        <f t="shared" si="0"/>
        <v>0</v>
      </c>
      <c r="J16" s="748">
        <f t="shared" si="0"/>
        <v>0</v>
      </c>
      <c r="K16" s="748">
        <f t="shared" si="0"/>
        <v>1935.0888008266684</v>
      </c>
      <c r="L16" s="748">
        <f t="shared" si="0"/>
        <v>0</v>
      </c>
      <c r="M16" s="748">
        <f t="shared" ca="1" si="0"/>
        <v>0</v>
      </c>
      <c r="N16" s="748">
        <f t="shared" si="0"/>
        <v>0</v>
      </c>
      <c r="O16" s="748">
        <f t="shared" ca="1" si="0"/>
        <v>9135.1612249821319</v>
      </c>
      <c r="P16" s="748">
        <f t="shared" si="0"/>
        <v>133.85454502599822</v>
      </c>
      <c r="Q16" s="748">
        <f t="shared" si="0"/>
        <v>210.67918615370041</v>
      </c>
      <c r="R16" s="748">
        <f t="shared" ca="1" si="0"/>
        <v>65031.269985151273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650.97571620787676</v>
      </c>
      <c r="I19" s="712">
        <f>transport!H54</f>
        <v>0</v>
      </c>
      <c r="J19" s="712">
        <f>transport!I54</f>
        <v>0</v>
      </c>
      <c r="K19" s="712">
        <f>transport!J54</f>
        <v>0</v>
      </c>
      <c r="L19" s="712">
        <f>transport!K54</f>
        <v>0</v>
      </c>
      <c r="M19" s="712">
        <f>transport!L54</f>
        <v>0</v>
      </c>
      <c r="N19" s="712">
        <f>transport!M54</f>
        <v>36.181302333340014</v>
      </c>
      <c r="O19" s="712">
        <f>transport!N54</f>
        <v>0</v>
      </c>
      <c r="P19" s="712">
        <f>transport!O54</f>
        <v>0</v>
      </c>
      <c r="Q19" s="713">
        <f>transport!P54</f>
        <v>0</v>
      </c>
      <c r="R19" s="715">
        <f>SUM(C19:Q19)</f>
        <v>687.15701854121676</v>
      </c>
      <c r="S19" s="67"/>
    </row>
    <row r="20" spans="1:19" s="474" customFormat="1">
      <c r="A20" s="834" t="s">
        <v>306</v>
      </c>
      <c r="B20" s="839"/>
      <c r="C20" s="712">
        <f>transport!B14</f>
        <v>37.035278340277777</v>
      </c>
      <c r="D20" s="712">
        <f>transport!C14</f>
        <v>0</v>
      </c>
      <c r="E20" s="712">
        <f>transport!D14</f>
        <v>174.65806964039777</v>
      </c>
      <c r="F20" s="712">
        <f>transport!E14</f>
        <v>146.48595467527778</v>
      </c>
      <c r="G20" s="712">
        <f>transport!F14</f>
        <v>0</v>
      </c>
      <c r="H20" s="712">
        <f>transport!G14</f>
        <v>69001.010699348364</v>
      </c>
      <c r="I20" s="712">
        <f>transport!H14</f>
        <v>13163.558400707108</v>
      </c>
      <c r="J20" s="712">
        <f>transport!I14</f>
        <v>0</v>
      </c>
      <c r="K20" s="712">
        <f>transport!J14</f>
        <v>0</v>
      </c>
      <c r="L20" s="712">
        <f>transport!K14</f>
        <v>0</v>
      </c>
      <c r="M20" s="712">
        <f>transport!L14</f>
        <v>0</v>
      </c>
      <c r="N20" s="712">
        <f>transport!M14</f>
        <v>4843.638149135003</v>
      </c>
      <c r="O20" s="712">
        <f>transport!N14</f>
        <v>0</v>
      </c>
      <c r="P20" s="712">
        <f>transport!O14</f>
        <v>0</v>
      </c>
      <c r="Q20" s="713">
        <f>transport!P14</f>
        <v>0</v>
      </c>
      <c r="R20" s="715">
        <f>SUM(C20:Q20)</f>
        <v>87366.386551846415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37.035278340277777</v>
      </c>
      <c r="D22" s="837">
        <f t="shared" ref="D22:R22" si="1">SUM(D18:D21)</f>
        <v>0</v>
      </c>
      <c r="E22" s="837">
        <f t="shared" si="1"/>
        <v>174.65806964039777</v>
      </c>
      <c r="F22" s="837">
        <f t="shared" si="1"/>
        <v>146.48595467527778</v>
      </c>
      <c r="G22" s="837">
        <f t="shared" si="1"/>
        <v>0</v>
      </c>
      <c r="H22" s="837">
        <f t="shared" si="1"/>
        <v>69651.986415556239</v>
      </c>
      <c r="I22" s="837">
        <f t="shared" si="1"/>
        <v>13163.558400707108</v>
      </c>
      <c r="J22" s="837">
        <f t="shared" si="1"/>
        <v>0</v>
      </c>
      <c r="K22" s="837">
        <f t="shared" si="1"/>
        <v>0</v>
      </c>
      <c r="L22" s="837">
        <f t="shared" si="1"/>
        <v>0</v>
      </c>
      <c r="M22" s="837">
        <f t="shared" si="1"/>
        <v>0</v>
      </c>
      <c r="N22" s="837">
        <f t="shared" si="1"/>
        <v>4879.8194514683428</v>
      </c>
      <c r="O22" s="837">
        <f t="shared" si="1"/>
        <v>0</v>
      </c>
      <c r="P22" s="837">
        <f t="shared" si="1"/>
        <v>0</v>
      </c>
      <c r="Q22" s="837">
        <f t="shared" si="1"/>
        <v>0</v>
      </c>
      <c r="R22" s="837">
        <f t="shared" si="1"/>
        <v>88053.543570387628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2034.9343469999999</v>
      </c>
      <c r="D24" s="712">
        <f>+landbouw!C8</f>
        <v>0</v>
      </c>
      <c r="E24" s="712">
        <f>+landbouw!D8</f>
        <v>7879.5435204639998</v>
      </c>
      <c r="F24" s="712">
        <f>+landbouw!E8</f>
        <v>63.509629931306975</v>
      </c>
      <c r="G24" s="712">
        <f>+landbouw!F8</f>
        <v>7191.6834062439248</v>
      </c>
      <c r="H24" s="712">
        <f>+landbouw!G8</f>
        <v>0</v>
      </c>
      <c r="I24" s="712">
        <f>+landbouw!H8</f>
        <v>0</v>
      </c>
      <c r="J24" s="712">
        <f>+landbouw!I8</f>
        <v>0</v>
      </c>
      <c r="K24" s="712">
        <f>+landbouw!J8</f>
        <v>560.63852474451846</v>
      </c>
      <c r="L24" s="712">
        <f>+landbouw!K8</f>
        <v>0</v>
      </c>
      <c r="M24" s="712">
        <f>+landbouw!L8</f>
        <v>0</v>
      </c>
      <c r="N24" s="712">
        <f>+landbouw!M8</f>
        <v>0</v>
      </c>
      <c r="O24" s="712">
        <f>+landbouw!N8</f>
        <v>0</v>
      </c>
      <c r="P24" s="712">
        <f>+landbouw!O8</f>
        <v>0</v>
      </c>
      <c r="Q24" s="713">
        <f>+landbouw!P8</f>
        <v>0</v>
      </c>
      <c r="R24" s="715">
        <f>SUM(C24:Q24)</f>
        <v>17730.309428383749</v>
      </c>
      <c r="S24" s="67"/>
    </row>
    <row r="25" spans="1:19" s="474" customFormat="1" ht="15" thickBot="1">
      <c r="A25" s="856" t="s">
        <v>734</v>
      </c>
      <c r="B25" s="982"/>
      <c r="C25" s="983">
        <f>IF(Onbekend_ele_kWh="---",0,Onbekend_ele_kWh)/1000+IF(REST_rest_ele_kWh="---",0,REST_rest_ele_kWh)/1000</f>
        <v>404.85034300000001</v>
      </c>
      <c r="D25" s="983"/>
      <c r="E25" s="983">
        <f>IF(onbekend_gas_kWh="---",0,onbekend_gas_kWh)/1000+IF(REST_rest_gas_kWh="---",0,REST_rest_gas_kWh)/1000</f>
        <v>633.61169400000006</v>
      </c>
      <c r="F25" s="983"/>
      <c r="G25" s="983"/>
      <c r="H25" s="983"/>
      <c r="I25" s="983"/>
      <c r="J25" s="983"/>
      <c r="K25" s="983"/>
      <c r="L25" s="983"/>
      <c r="M25" s="983"/>
      <c r="N25" s="983"/>
      <c r="O25" s="983"/>
      <c r="P25" s="983"/>
      <c r="Q25" s="984"/>
      <c r="R25" s="715">
        <f>SUM(C25:Q25)</f>
        <v>1038.462037</v>
      </c>
      <c r="S25" s="67"/>
    </row>
    <row r="26" spans="1:19" s="474" customFormat="1" ht="15.75" thickBot="1">
      <c r="A26" s="720" t="s">
        <v>735</v>
      </c>
      <c r="B26" s="842"/>
      <c r="C26" s="837">
        <f>SUM(C24:C25)</f>
        <v>2439.78469</v>
      </c>
      <c r="D26" s="837">
        <f t="shared" ref="D26:R26" si="2">SUM(D24:D25)</f>
        <v>0</v>
      </c>
      <c r="E26" s="837">
        <f t="shared" si="2"/>
        <v>8513.1552144639991</v>
      </c>
      <c r="F26" s="837">
        <f t="shared" si="2"/>
        <v>63.509629931306975</v>
      </c>
      <c r="G26" s="837">
        <f t="shared" si="2"/>
        <v>7191.6834062439248</v>
      </c>
      <c r="H26" s="837">
        <f t="shared" si="2"/>
        <v>0</v>
      </c>
      <c r="I26" s="837">
        <f t="shared" si="2"/>
        <v>0</v>
      </c>
      <c r="J26" s="837">
        <f t="shared" si="2"/>
        <v>0</v>
      </c>
      <c r="K26" s="837">
        <f t="shared" si="2"/>
        <v>560.63852474451846</v>
      </c>
      <c r="L26" s="837">
        <f t="shared" si="2"/>
        <v>0</v>
      </c>
      <c r="M26" s="837">
        <f t="shared" si="2"/>
        <v>0</v>
      </c>
      <c r="N26" s="837">
        <f t="shared" si="2"/>
        <v>0</v>
      </c>
      <c r="O26" s="837">
        <f t="shared" si="2"/>
        <v>0</v>
      </c>
      <c r="P26" s="837">
        <f t="shared" si="2"/>
        <v>0</v>
      </c>
      <c r="Q26" s="837">
        <f t="shared" si="2"/>
        <v>0</v>
      </c>
      <c r="R26" s="837">
        <f t="shared" si="2"/>
        <v>18768.77146538375</v>
      </c>
      <c r="S26" s="67"/>
    </row>
    <row r="27" spans="1:19" s="474" customFormat="1" ht="17.25" thickTop="1" thickBot="1">
      <c r="A27" s="721" t="s">
        <v>115</v>
      </c>
      <c r="B27" s="829"/>
      <c r="C27" s="722">
        <f ca="1">C22+C16+C26</f>
        <v>20729.297205282965</v>
      </c>
      <c r="D27" s="722">
        <f t="shared" ref="D27:R27" ca="1" si="3">D22+D16+D26</f>
        <v>0</v>
      </c>
      <c r="E27" s="722">
        <f t="shared" ca="1" si="3"/>
        <v>35216.184445792402</v>
      </c>
      <c r="F27" s="722">
        <f t="shared" si="3"/>
        <v>5996.5966818037123</v>
      </c>
      <c r="G27" s="722">
        <f t="shared" ca="1" si="3"/>
        <v>10240.720138578879</v>
      </c>
      <c r="H27" s="722">
        <f t="shared" si="3"/>
        <v>69651.986415556239</v>
      </c>
      <c r="I27" s="722">
        <f t="shared" si="3"/>
        <v>13163.558400707108</v>
      </c>
      <c r="J27" s="722">
        <f t="shared" si="3"/>
        <v>0</v>
      </c>
      <c r="K27" s="722">
        <f t="shared" si="3"/>
        <v>2495.7273255711871</v>
      </c>
      <c r="L27" s="722">
        <f t="shared" si="3"/>
        <v>0</v>
      </c>
      <c r="M27" s="722">
        <f t="shared" ca="1" si="3"/>
        <v>0</v>
      </c>
      <c r="N27" s="722">
        <f t="shared" si="3"/>
        <v>4879.8194514683428</v>
      </c>
      <c r="O27" s="722">
        <f t="shared" ca="1" si="3"/>
        <v>9135.1612249821319</v>
      </c>
      <c r="P27" s="722">
        <f t="shared" si="3"/>
        <v>133.85454502599822</v>
      </c>
      <c r="Q27" s="722">
        <f t="shared" si="3"/>
        <v>210.67918615370041</v>
      </c>
      <c r="R27" s="722">
        <f t="shared" ca="1" si="3"/>
        <v>171853.58502092265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1163.3043831747211</v>
      </c>
      <c r="D40" s="712">
        <f ca="1">tertiair!C20</f>
        <v>0</v>
      </c>
      <c r="E40" s="712">
        <f ca="1">tertiair!D20</f>
        <v>850.16252370737595</v>
      </c>
      <c r="F40" s="712">
        <f>tertiair!E20</f>
        <v>14.15584796430848</v>
      </c>
      <c r="G40" s="712">
        <f ca="1">tertiair!F20</f>
        <v>167.45065539227653</v>
      </c>
      <c r="H40" s="712">
        <f>tertiair!G20</f>
        <v>0</v>
      </c>
      <c r="I40" s="712">
        <f>tertiair!H20</f>
        <v>0</v>
      </c>
      <c r="J40" s="712">
        <f>tertiair!I20</f>
        <v>0</v>
      </c>
      <c r="K40" s="712">
        <f>tertiair!J20</f>
        <v>9.5534986801710312E-3</v>
      </c>
      <c r="L40" s="712">
        <f>tertiair!K20</f>
        <v>0</v>
      </c>
      <c r="M40" s="712">
        <f ca="1">tertiair!L20</f>
        <v>0</v>
      </c>
      <c r="N40" s="712">
        <f>tertiair!M20</f>
        <v>0</v>
      </c>
      <c r="O40" s="712">
        <f ca="1">tertiair!N20</f>
        <v>0</v>
      </c>
      <c r="P40" s="712">
        <f>tertiair!O20</f>
        <v>0</v>
      </c>
      <c r="Q40" s="795">
        <f>tertiair!P20</f>
        <v>0</v>
      </c>
      <c r="R40" s="875">
        <f t="shared" ca="1" si="4"/>
        <v>2195.0829637373627</v>
      </c>
    </row>
    <row r="41" spans="1:18">
      <c r="A41" s="847" t="s">
        <v>224</v>
      </c>
      <c r="B41" s="854"/>
      <c r="C41" s="712">
        <f ca="1">huishoudens!B12</f>
        <v>2456.8067638526927</v>
      </c>
      <c r="D41" s="712">
        <f ca="1">huishoudens!C12</f>
        <v>0</v>
      </c>
      <c r="E41" s="712">
        <f>huishoudens!D12</f>
        <v>4455.9507690258006</v>
      </c>
      <c r="F41" s="712">
        <f>huishoudens!E12</f>
        <v>1282.1872990997283</v>
      </c>
      <c r="G41" s="712">
        <f>huishoudens!F12</f>
        <v>583.45935128597671</v>
      </c>
      <c r="H41" s="712">
        <f>huishoudens!G12</f>
        <v>0</v>
      </c>
      <c r="I41" s="712">
        <f>huishoudens!H12</f>
        <v>0</v>
      </c>
      <c r="J41" s="712">
        <f>huishoudens!I12</f>
        <v>0</v>
      </c>
      <c r="K41" s="712">
        <f>huishoudens!J12</f>
        <v>684.77087504331905</v>
      </c>
      <c r="L41" s="712">
        <f>huishoudens!K12</f>
        <v>0</v>
      </c>
      <c r="M41" s="712">
        <f>huishoudens!L12</f>
        <v>0</v>
      </c>
      <c r="N41" s="712">
        <f>huishoudens!M12</f>
        <v>0</v>
      </c>
      <c r="O41" s="712">
        <f>huishoudens!N12</f>
        <v>0</v>
      </c>
      <c r="P41" s="712">
        <f>huishoudens!O12</f>
        <v>0</v>
      </c>
      <c r="Q41" s="795">
        <f>huishoudens!P12</f>
        <v>0</v>
      </c>
      <c r="R41" s="875">
        <f t="shared" ca="1" si="4"/>
        <v>9463.1750583075191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97.993205543298586</v>
      </c>
      <c r="D43" s="712">
        <f ca="1">industrie!C22</f>
        <v>0</v>
      </c>
      <c r="E43" s="712">
        <f>industrie!D22</f>
        <v>52.617681927799993</v>
      </c>
      <c r="F43" s="712">
        <f>industrie!E22</f>
        <v>17.215301999711198</v>
      </c>
      <c r="G43" s="712">
        <f>industrie!F22</f>
        <v>63.182800855179337</v>
      </c>
      <c r="H43" s="712">
        <f>industrie!G22</f>
        <v>0</v>
      </c>
      <c r="I43" s="712">
        <f>industrie!H22</f>
        <v>0</v>
      </c>
      <c r="J43" s="712">
        <f>industrie!I22</f>
        <v>0</v>
      </c>
      <c r="K43" s="712">
        <f>industrie!J22</f>
        <v>0.24100695064135064</v>
      </c>
      <c r="L43" s="712">
        <f>industrie!K22</f>
        <v>0</v>
      </c>
      <c r="M43" s="712">
        <f>industrie!L22</f>
        <v>0</v>
      </c>
      <c r="N43" s="712">
        <f>industrie!M22</f>
        <v>0</v>
      </c>
      <c r="O43" s="712">
        <f>industrie!N22</f>
        <v>0</v>
      </c>
      <c r="P43" s="712">
        <f>industrie!O22</f>
        <v>0</v>
      </c>
      <c r="Q43" s="795">
        <f>industrie!P22</f>
        <v>0</v>
      </c>
      <c r="R43" s="874">
        <f t="shared" ca="1" si="4"/>
        <v>231.24999727663044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3718.1043525707123</v>
      </c>
      <c r="D46" s="748">
        <f t="shared" ref="D46:Q46" ca="1" si="5">SUM(D39:D45)</f>
        <v>0</v>
      </c>
      <c r="E46" s="748">
        <f t="shared" ca="1" si="5"/>
        <v>5358.7309746609762</v>
      </c>
      <c r="F46" s="748">
        <f t="shared" si="5"/>
        <v>1313.5584490637482</v>
      </c>
      <c r="G46" s="748">
        <f t="shared" ca="1" si="5"/>
        <v>814.09280753343262</v>
      </c>
      <c r="H46" s="748">
        <f t="shared" si="5"/>
        <v>0</v>
      </c>
      <c r="I46" s="748">
        <f t="shared" si="5"/>
        <v>0</v>
      </c>
      <c r="J46" s="748">
        <f t="shared" si="5"/>
        <v>0</v>
      </c>
      <c r="K46" s="748">
        <f t="shared" si="5"/>
        <v>685.02143549264053</v>
      </c>
      <c r="L46" s="748">
        <f t="shared" si="5"/>
        <v>0</v>
      </c>
      <c r="M46" s="748">
        <f t="shared" ca="1" si="5"/>
        <v>0</v>
      </c>
      <c r="N46" s="748">
        <f t="shared" si="5"/>
        <v>0</v>
      </c>
      <c r="O46" s="748">
        <f t="shared" ca="1" si="5"/>
        <v>0</v>
      </c>
      <c r="P46" s="748">
        <f t="shared" si="5"/>
        <v>0</v>
      </c>
      <c r="Q46" s="748">
        <f t="shared" si="5"/>
        <v>0</v>
      </c>
      <c r="R46" s="748">
        <f ca="1">SUM(R39:R45)</f>
        <v>11889.508019321513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173.81051622750311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173.81051622750311</v>
      </c>
    </row>
    <row r="50" spans="1:18">
      <c r="A50" s="850" t="s">
        <v>306</v>
      </c>
      <c r="B50" s="860"/>
      <c r="C50" s="718">
        <f ca="1">transport!B18</f>
        <v>7.5442378482713695</v>
      </c>
      <c r="D50" s="718">
        <f>transport!C18</f>
        <v>0</v>
      </c>
      <c r="E50" s="718">
        <f>transport!D18</f>
        <v>35.280930067360352</v>
      </c>
      <c r="F50" s="718">
        <f>transport!E18</f>
        <v>33.252311711288058</v>
      </c>
      <c r="G50" s="718">
        <f>transport!F18</f>
        <v>0</v>
      </c>
      <c r="H50" s="718">
        <f>transport!G18</f>
        <v>18423.269856726016</v>
      </c>
      <c r="I50" s="718">
        <f>transport!H18</f>
        <v>3277.7260417760699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21777.073378129007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7.5442378482713695</v>
      </c>
      <c r="D52" s="748">
        <f t="shared" ref="D52:Q52" ca="1" si="6">SUM(D48:D51)</f>
        <v>0</v>
      </c>
      <c r="E52" s="748">
        <f t="shared" si="6"/>
        <v>35.280930067360352</v>
      </c>
      <c r="F52" s="748">
        <f t="shared" si="6"/>
        <v>33.252311711288058</v>
      </c>
      <c r="G52" s="748">
        <f t="shared" si="6"/>
        <v>0</v>
      </c>
      <c r="H52" s="748">
        <f t="shared" si="6"/>
        <v>18597.080372953518</v>
      </c>
      <c r="I52" s="748">
        <f t="shared" si="6"/>
        <v>3277.7260417760699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21950.88389435651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414.52445903960336</v>
      </c>
      <c r="D54" s="718">
        <f ca="1">+landbouw!C12</f>
        <v>0</v>
      </c>
      <c r="E54" s="718">
        <f>+landbouw!D12</f>
        <v>1591.6677911337281</v>
      </c>
      <c r="F54" s="718">
        <f>+landbouw!E12</f>
        <v>14.416685994406684</v>
      </c>
      <c r="G54" s="718">
        <f>+landbouw!F12</f>
        <v>1920.179469467128</v>
      </c>
      <c r="H54" s="718">
        <f>+landbouw!G12</f>
        <v>0</v>
      </c>
      <c r="I54" s="718">
        <f>+landbouw!H12</f>
        <v>0</v>
      </c>
      <c r="J54" s="718">
        <f>+landbouw!I12</f>
        <v>0</v>
      </c>
      <c r="K54" s="718">
        <f>+landbouw!J12</f>
        <v>198.46603775955953</v>
      </c>
      <c r="L54" s="718">
        <f>+landbouw!K12</f>
        <v>0</v>
      </c>
      <c r="M54" s="718">
        <f>+landbouw!L12</f>
        <v>0</v>
      </c>
      <c r="N54" s="718">
        <f>+landbouw!M12</f>
        <v>0</v>
      </c>
      <c r="O54" s="718">
        <f>+landbouw!N12</f>
        <v>0</v>
      </c>
      <c r="P54" s="718">
        <f>+landbouw!O12</f>
        <v>0</v>
      </c>
      <c r="Q54" s="719">
        <f>+landbouw!P12</f>
        <v>0</v>
      </c>
      <c r="R54" s="747">
        <f ca="1">SUM(C54:Q54)</f>
        <v>4139.2544433944258</v>
      </c>
    </row>
    <row r="55" spans="1:18" ht="15" thickBot="1">
      <c r="A55" s="850" t="s">
        <v>734</v>
      </c>
      <c r="B55" s="860"/>
      <c r="C55" s="718">
        <f ca="1">C25*'EF ele_warmte'!B12</f>
        <v>82.4696726316905</v>
      </c>
      <c r="D55" s="718"/>
      <c r="E55" s="718">
        <f>E25*EF_CO2_aardgas</f>
        <v>127.98956218800002</v>
      </c>
      <c r="F55" s="718"/>
      <c r="G55" s="718"/>
      <c r="H55" s="718"/>
      <c r="I55" s="718"/>
      <c r="J55" s="718"/>
      <c r="K55" s="718"/>
      <c r="L55" s="718"/>
      <c r="M55" s="718"/>
      <c r="N55" s="718"/>
      <c r="O55" s="718"/>
      <c r="P55" s="718"/>
      <c r="Q55" s="719"/>
      <c r="R55" s="747">
        <f ca="1">SUM(C55:Q55)</f>
        <v>210.45923481969052</v>
      </c>
    </row>
    <row r="56" spans="1:18" ht="15.75" thickBot="1">
      <c r="A56" s="848" t="s">
        <v>735</v>
      </c>
      <c r="B56" s="861"/>
      <c r="C56" s="748">
        <f ca="1">SUM(C54:C55)</f>
        <v>496.99413167129387</v>
      </c>
      <c r="D56" s="748">
        <f t="shared" ref="D56:Q56" ca="1" si="7">SUM(D54:D55)</f>
        <v>0</v>
      </c>
      <c r="E56" s="748">
        <f t="shared" si="7"/>
        <v>1719.6573533217281</v>
      </c>
      <c r="F56" s="748">
        <f t="shared" si="7"/>
        <v>14.416685994406684</v>
      </c>
      <c r="G56" s="748">
        <f t="shared" si="7"/>
        <v>1920.179469467128</v>
      </c>
      <c r="H56" s="748">
        <f t="shared" si="7"/>
        <v>0</v>
      </c>
      <c r="I56" s="748">
        <f t="shared" si="7"/>
        <v>0</v>
      </c>
      <c r="J56" s="748">
        <f t="shared" si="7"/>
        <v>0</v>
      </c>
      <c r="K56" s="748">
        <f t="shared" si="7"/>
        <v>198.46603775955953</v>
      </c>
      <c r="L56" s="748">
        <f t="shared" si="7"/>
        <v>0</v>
      </c>
      <c r="M56" s="748">
        <f t="shared" si="7"/>
        <v>0</v>
      </c>
      <c r="N56" s="748">
        <f t="shared" si="7"/>
        <v>0</v>
      </c>
      <c r="O56" s="748">
        <f t="shared" si="7"/>
        <v>0</v>
      </c>
      <c r="P56" s="748">
        <f t="shared" si="7"/>
        <v>0</v>
      </c>
      <c r="Q56" s="749">
        <f t="shared" si="7"/>
        <v>0</v>
      </c>
      <c r="R56" s="750">
        <f ca="1">SUM(R54:R55)</f>
        <v>4349.713678214116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4222.6427220902769</v>
      </c>
      <c r="D61" s="756">
        <f t="shared" ref="D61:Q61" ca="1" si="8">D46+D52+D56</f>
        <v>0</v>
      </c>
      <c r="E61" s="756">
        <f t="shared" ca="1" si="8"/>
        <v>7113.6692580500649</v>
      </c>
      <c r="F61" s="756">
        <f t="shared" si="8"/>
        <v>1361.2274467694428</v>
      </c>
      <c r="G61" s="756">
        <f t="shared" ca="1" si="8"/>
        <v>2734.2722770005607</v>
      </c>
      <c r="H61" s="756">
        <f t="shared" si="8"/>
        <v>18597.080372953518</v>
      </c>
      <c r="I61" s="756">
        <f t="shared" si="8"/>
        <v>3277.7260417760699</v>
      </c>
      <c r="J61" s="756">
        <f t="shared" si="8"/>
        <v>0</v>
      </c>
      <c r="K61" s="756">
        <f t="shared" si="8"/>
        <v>883.48747325220006</v>
      </c>
      <c r="L61" s="756">
        <f t="shared" si="8"/>
        <v>0</v>
      </c>
      <c r="M61" s="756">
        <f t="shared" ca="1" si="8"/>
        <v>0</v>
      </c>
      <c r="N61" s="756">
        <f t="shared" si="8"/>
        <v>0</v>
      </c>
      <c r="O61" s="756">
        <f t="shared" ca="1" si="8"/>
        <v>0</v>
      </c>
      <c r="P61" s="756">
        <f t="shared" si="8"/>
        <v>0</v>
      </c>
      <c r="Q61" s="756">
        <f t="shared" si="8"/>
        <v>0</v>
      </c>
      <c r="R61" s="756">
        <f ca="1">R46+R52+R56</f>
        <v>38190.105591892141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0.20370409475407181</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1622.3165623405309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1622.3165623405309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1622.3165623405309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1622.3165623405309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12060.664596942686</v>
      </c>
      <c r="C4" s="478">
        <f>huishoudens!C8</f>
        <v>0</v>
      </c>
      <c r="D4" s="478">
        <f>huishoudens!D8</f>
        <v>22059.162222900002</v>
      </c>
      <c r="E4" s="478">
        <f>huishoudens!E8</f>
        <v>5648.4021986772168</v>
      </c>
      <c r="F4" s="478">
        <f>huishoudens!F8</f>
        <v>2185.2410160523473</v>
      </c>
      <c r="G4" s="478">
        <f>huishoudens!G8</f>
        <v>0</v>
      </c>
      <c r="H4" s="478">
        <f>huishoudens!H8</f>
        <v>0</v>
      </c>
      <c r="I4" s="478">
        <f>huishoudens!I8</f>
        <v>0</v>
      </c>
      <c r="J4" s="478">
        <f>huishoudens!J8</f>
        <v>1934.381002947229</v>
      </c>
      <c r="K4" s="478">
        <f>huishoudens!K8</f>
        <v>0</v>
      </c>
      <c r="L4" s="478">
        <f>huishoudens!L8</f>
        <v>0</v>
      </c>
      <c r="M4" s="478">
        <f>huishoudens!M8</f>
        <v>0</v>
      </c>
      <c r="N4" s="478">
        <f>huishoudens!N8</f>
        <v>8049.8038766602785</v>
      </c>
      <c r="O4" s="478">
        <f>huishoudens!O8</f>
        <v>128.95728426015705</v>
      </c>
      <c r="P4" s="479">
        <f>huishoudens!P8</f>
        <v>210.67918615370041</v>
      </c>
      <c r="Q4" s="480">
        <f>SUM(B4:P4)</f>
        <v>52277.29138459362</v>
      </c>
    </row>
    <row r="5" spans="1:17">
      <c r="A5" s="477" t="s">
        <v>155</v>
      </c>
      <c r="B5" s="478">
        <f ca="1">tertiair!B16</f>
        <v>5136.7180089999993</v>
      </c>
      <c r="C5" s="478">
        <f ca="1">tertiair!C16</f>
        <v>0</v>
      </c>
      <c r="D5" s="478">
        <f ca="1">tertiair!D16</f>
        <v>4208.7253648879996</v>
      </c>
      <c r="E5" s="478">
        <f>tertiair!E16</f>
        <v>62.360563719420611</v>
      </c>
      <c r="F5" s="478">
        <f ca="1">tertiair!F16</f>
        <v>627.15601270515549</v>
      </c>
      <c r="G5" s="478">
        <f>tertiair!G16</f>
        <v>0</v>
      </c>
      <c r="H5" s="478">
        <f>tertiair!H16</f>
        <v>0</v>
      </c>
      <c r="I5" s="478">
        <f>tertiair!I16</f>
        <v>0</v>
      </c>
      <c r="J5" s="478">
        <f>tertiair!J16</f>
        <v>2.6987284407262804E-2</v>
      </c>
      <c r="K5" s="478">
        <f>tertiair!K16</f>
        <v>0</v>
      </c>
      <c r="L5" s="478">
        <f ca="1">tertiair!L16</f>
        <v>0</v>
      </c>
      <c r="M5" s="478">
        <f>tertiair!M16</f>
        <v>0</v>
      </c>
      <c r="N5" s="478">
        <f ca="1">tertiair!N16</f>
        <v>1055.2392858843623</v>
      </c>
      <c r="O5" s="478">
        <f>tertiair!O16</f>
        <v>4.8972607658411542</v>
      </c>
      <c r="P5" s="479">
        <f>tertiair!P16</f>
        <v>0</v>
      </c>
      <c r="Q5" s="477">
        <f t="shared" ref="Q5:Q14" ca="1" si="0">SUM(B5:P5)</f>
        <v>11095.123484247188</v>
      </c>
    </row>
    <row r="6" spans="1:17">
      <c r="A6" s="477" t="s">
        <v>193</v>
      </c>
      <c r="B6" s="478">
        <f>'openbare verlichting'!B8</f>
        <v>574.03800000000001</v>
      </c>
      <c r="C6" s="478"/>
      <c r="D6" s="478"/>
      <c r="E6" s="478"/>
      <c r="F6" s="478"/>
      <c r="G6" s="478"/>
      <c r="H6" s="478"/>
      <c r="I6" s="478"/>
      <c r="J6" s="478"/>
      <c r="K6" s="478"/>
      <c r="L6" s="478"/>
      <c r="M6" s="478"/>
      <c r="N6" s="478"/>
      <c r="O6" s="478"/>
      <c r="P6" s="479"/>
      <c r="Q6" s="477">
        <f t="shared" si="0"/>
        <v>574.03800000000001</v>
      </c>
    </row>
    <row r="7" spans="1:17">
      <c r="A7" s="477" t="s">
        <v>111</v>
      </c>
      <c r="B7" s="478">
        <f>landbouw!B8</f>
        <v>2034.9343469999999</v>
      </c>
      <c r="C7" s="478">
        <f>landbouw!C8</f>
        <v>0</v>
      </c>
      <c r="D7" s="478">
        <f>landbouw!D8</f>
        <v>7879.5435204639998</v>
      </c>
      <c r="E7" s="478">
        <f>landbouw!E8</f>
        <v>63.509629931306975</v>
      </c>
      <c r="F7" s="478">
        <f>landbouw!F8</f>
        <v>7191.6834062439248</v>
      </c>
      <c r="G7" s="478">
        <f>landbouw!G8</f>
        <v>0</v>
      </c>
      <c r="H7" s="478">
        <f>landbouw!H8</f>
        <v>0</v>
      </c>
      <c r="I7" s="478">
        <f>landbouw!I8</f>
        <v>0</v>
      </c>
      <c r="J7" s="478">
        <f>landbouw!J8</f>
        <v>560.63852474451846</v>
      </c>
      <c r="K7" s="478">
        <f>landbouw!K8</f>
        <v>0</v>
      </c>
      <c r="L7" s="478">
        <f>landbouw!L8</f>
        <v>0</v>
      </c>
      <c r="M7" s="478">
        <f>landbouw!M8</f>
        <v>0</v>
      </c>
      <c r="N7" s="478">
        <f>landbouw!N8</f>
        <v>0</v>
      </c>
      <c r="O7" s="478">
        <f>landbouw!O8</f>
        <v>0</v>
      </c>
      <c r="P7" s="479">
        <f>landbouw!P8</f>
        <v>0</v>
      </c>
      <c r="Q7" s="477">
        <f t="shared" si="0"/>
        <v>17730.309428383749</v>
      </c>
    </row>
    <row r="8" spans="1:17">
      <c r="A8" s="477" t="s">
        <v>629</v>
      </c>
      <c r="B8" s="478">
        <f>industrie!B18</f>
        <v>481.05663100000004</v>
      </c>
      <c r="C8" s="478">
        <f>industrie!C18</f>
        <v>0</v>
      </c>
      <c r="D8" s="478">
        <f>industrie!D18</f>
        <v>260.48357389999995</v>
      </c>
      <c r="E8" s="478">
        <f>industrie!E18</f>
        <v>75.838334800489861</v>
      </c>
      <c r="F8" s="478">
        <f>industrie!F18</f>
        <v>236.63970357745069</v>
      </c>
      <c r="G8" s="478">
        <f>industrie!G18</f>
        <v>0</v>
      </c>
      <c r="H8" s="478">
        <f>industrie!H18</f>
        <v>0</v>
      </c>
      <c r="I8" s="478">
        <f>industrie!I18</f>
        <v>0</v>
      </c>
      <c r="J8" s="478">
        <f>industrie!J18</f>
        <v>0.68081059503206398</v>
      </c>
      <c r="K8" s="478">
        <f>industrie!K18</f>
        <v>0</v>
      </c>
      <c r="L8" s="478">
        <f>industrie!L18</f>
        <v>0</v>
      </c>
      <c r="M8" s="478">
        <f>industrie!M18</f>
        <v>0</v>
      </c>
      <c r="N8" s="478">
        <f>industrie!N18</f>
        <v>30.118062437491925</v>
      </c>
      <c r="O8" s="478">
        <f>industrie!O18</f>
        <v>0</v>
      </c>
      <c r="P8" s="479">
        <f>industrie!P18</f>
        <v>0</v>
      </c>
      <c r="Q8" s="477">
        <f t="shared" si="0"/>
        <v>1084.8171163104644</v>
      </c>
    </row>
    <row r="9" spans="1:17" s="483" customFormat="1">
      <c r="A9" s="481" t="s">
        <v>555</v>
      </c>
      <c r="B9" s="482">
        <f>transport!B14</f>
        <v>37.035278340277777</v>
      </c>
      <c r="C9" s="482">
        <f>transport!C14</f>
        <v>0</v>
      </c>
      <c r="D9" s="482">
        <f>transport!D14</f>
        <v>174.65806964039777</v>
      </c>
      <c r="E9" s="482">
        <f>transport!E14</f>
        <v>146.48595467527778</v>
      </c>
      <c r="F9" s="482">
        <f>transport!F14</f>
        <v>0</v>
      </c>
      <c r="G9" s="482">
        <f>transport!G14</f>
        <v>69001.010699348364</v>
      </c>
      <c r="H9" s="482">
        <f>transport!H14</f>
        <v>13163.558400707108</v>
      </c>
      <c r="I9" s="482">
        <f>transport!I14</f>
        <v>0</v>
      </c>
      <c r="J9" s="482">
        <f>transport!J14</f>
        <v>0</v>
      </c>
      <c r="K9" s="482">
        <f>transport!K14</f>
        <v>0</v>
      </c>
      <c r="L9" s="482">
        <f>transport!L14</f>
        <v>0</v>
      </c>
      <c r="M9" s="482">
        <f>transport!M14</f>
        <v>4843.638149135003</v>
      </c>
      <c r="N9" s="482">
        <f>transport!N14</f>
        <v>0</v>
      </c>
      <c r="O9" s="482">
        <f>transport!O14</f>
        <v>0</v>
      </c>
      <c r="P9" s="482">
        <f>transport!P14</f>
        <v>0</v>
      </c>
      <c r="Q9" s="481">
        <f>SUM(B9:P9)</f>
        <v>87366.386551846415</v>
      </c>
    </row>
    <row r="10" spans="1:17">
      <c r="A10" s="477" t="s">
        <v>545</v>
      </c>
      <c r="B10" s="478">
        <f>transport!B54</f>
        <v>0</v>
      </c>
      <c r="C10" s="478">
        <f>transport!C54</f>
        <v>0</v>
      </c>
      <c r="D10" s="478">
        <f>transport!D54</f>
        <v>0</v>
      </c>
      <c r="E10" s="478">
        <f>transport!E54</f>
        <v>0</v>
      </c>
      <c r="F10" s="478">
        <f>transport!F54</f>
        <v>0</v>
      </c>
      <c r="G10" s="478">
        <f>transport!G54</f>
        <v>650.97571620787676</v>
      </c>
      <c r="H10" s="478">
        <f>transport!H54</f>
        <v>0</v>
      </c>
      <c r="I10" s="478">
        <f>transport!I54</f>
        <v>0</v>
      </c>
      <c r="J10" s="478">
        <f>transport!J54</f>
        <v>0</v>
      </c>
      <c r="K10" s="478">
        <f>transport!K54</f>
        <v>0</v>
      </c>
      <c r="L10" s="478">
        <f>transport!L54</f>
        <v>0</v>
      </c>
      <c r="M10" s="478">
        <f>transport!M54</f>
        <v>36.181302333340014</v>
      </c>
      <c r="N10" s="478">
        <f>transport!N54</f>
        <v>0</v>
      </c>
      <c r="O10" s="478">
        <f>transport!O54</f>
        <v>0</v>
      </c>
      <c r="P10" s="479">
        <f>transport!P54</f>
        <v>0</v>
      </c>
      <c r="Q10" s="477">
        <f t="shared" si="0"/>
        <v>687.15701854121676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404.85034300000001</v>
      </c>
      <c r="C14" s="485"/>
      <c r="D14" s="485">
        <f>'SEAP template'!E25</f>
        <v>633.61169400000006</v>
      </c>
      <c r="E14" s="485"/>
      <c r="F14" s="485"/>
      <c r="G14" s="485"/>
      <c r="H14" s="485"/>
      <c r="I14" s="485"/>
      <c r="J14" s="485"/>
      <c r="K14" s="485"/>
      <c r="L14" s="485"/>
      <c r="M14" s="485"/>
      <c r="N14" s="485"/>
      <c r="O14" s="485"/>
      <c r="P14" s="486"/>
      <c r="Q14" s="477">
        <f t="shared" si="0"/>
        <v>1038.462037</v>
      </c>
    </row>
    <row r="15" spans="1:17" s="489" customFormat="1">
      <c r="A15" s="487" t="s">
        <v>549</v>
      </c>
      <c r="B15" s="488">
        <f ca="1">SUM(B4:B14)</f>
        <v>20729.297205282961</v>
      </c>
      <c r="C15" s="488">
        <f t="shared" ref="C15:Q15" ca="1" si="1">SUM(C4:C14)</f>
        <v>0</v>
      </c>
      <c r="D15" s="488">
        <f t="shared" ca="1" si="1"/>
        <v>35216.184445792394</v>
      </c>
      <c r="E15" s="488">
        <f t="shared" si="1"/>
        <v>5996.5966818037123</v>
      </c>
      <c r="F15" s="488">
        <f t="shared" ca="1" si="1"/>
        <v>10240.720138578878</v>
      </c>
      <c r="G15" s="488">
        <f t="shared" si="1"/>
        <v>69651.986415556239</v>
      </c>
      <c r="H15" s="488">
        <f t="shared" si="1"/>
        <v>13163.558400707108</v>
      </c>
      <c r="I15" s="488">
        <f t="shared" si="1"/>
        <v>0</v>
      </c>
      <c r="J15" s="488">
        <f t="shared" si="1"/>
        <v>2495.7273255711871</v>
      </c>
      <c r="K15" s="488">
        <f t="shared" si="1"/>
        <v>0</v>
      </c>
      <c r="L15" s="488">
        <f t="shared" ca="1" si="1"/>
        <v>0</v>
      </c>
      <c r="M15" s="488">
        <f t="shared" si="1"/>
        <v>4879.8194514683428</v>
      </c>
      <c r="N15" s="488">
        <f t="shared" ca="1" si="1"/>
        <v>9135.1612249821319</v>
      </c>
      <c r="O15" s="488">
        <f t="shared" si="1"/>
        <v>133.85454502599822</v>
      </c>
      <c r="P15" s="488">
        <f t="shared" si="1"/>
        <v>210.67918615370041</v>
      </c>
      <c r="Q15" s="488">
        <f t="shared" ca="1" si="1"/>
        <v>171853.58502092265</v>
      </c>
    </row>
    <row r="17" spans="1:17">
      <c r="A17" s="490" t="s">
        <v>550</v>
      </c>
      <c r="B17" s="807">
        <f ca="1">huishoudens!B10</f>
        <v>0.20370409475407186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2456.8067638526927</v>
      </c>
      <c r="C22" s="478">
        <f t="shared" ref="C22:C32" ca="1" si="3">C4*$C$17</f>
        <v>0</v>
      </c>
      <c r="D22" s="478">
        <f t="shared" ref="D22:D32" si="4">D4*$D$17</f>
        <v>4455.9507690258006</v>
      </c>
      <c r="E22" s="478">
        <f t="shared" ref="E22:E32" si="5">E4*$E$17</f>
        <v>1282.1872990997283</v>
      </c>
      <c r="F22" s="478">
        <f t="shared" ref="F22:F32" si="6">F4*$F$17</f>
        <v>583.45935128597671</v>
      </c>
      <c r="G22" s="478">
        <f t="shared" ref="G22:G32" si="7">G4*$G$17</f>
        <v>0</v>
      </c>
      <c r="H22" s="478">
        <f t="shared" ref="H22:H32" si="8">H4*$H$17</f>
        <v>0</v>
      </c>
      <c r="I22" s="478">
        <f t="shared" ref="I22:I32" si="9">I4*$I$17</f>
        <v>0</v>
      </c>
      <c r="J22" s="478">
        <f t="shared" ref="J22:J32" si="10">J4*$J$17</f>
        <v>684.77087504331905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9463.1750583075191</v>
      </c>
    </row>
    <row r="23" spans="1:17">
      <c r="A23" s="477" t="s">
        <v>155</v>
      </c>
      <c r="B23" s="478">
        <f t="shared" ca="1" si="2"/>
        <v>1046.3704920302832</v>
      </c>
      <c r="C23" s="478">
        <f t="shared" ca="1" si="3"/>
        <v>0</v>
      </c>
      <c r="D23" s="478">
        <f t="shared" ca="1" si="4"/>
        <v>850.16252370737595</v>
      </c>
      <c r="E23" s="478">
        <f t="shared" si="5"/>
        <v>14.15584796430848</v>
      </c>
      <c r="F23" s="478">
        <f t="shared" ca="1" si="6"/>
        <v>167.45065539227653</v>
      </c>
      <c r="G23" s="478">
        <f t="shared" si="7"/>
        <v>0</v>
      </c>
      <c r="H23" s="478">
        <f t="shared" si="8"/>
        <v>0</v>
      </c>
      <c r="I23" s="478">
        <f t="shared" si="9"/>
        <v>0</v>
      </c>
      <c r="J23" s="478">
        <f t="shared" si="10"/>
        <v>9.5534986801710312E-3</v>
      </c>
      <c r="K23" s="478">
        <f t="shared" si="11"/>
        <v>0</v>
      </c>
      <c r="L23" s="478">
        <f t="shared" ca="1" si="12"/>
        <v>0</v>
      </c>
      <c r="M23" s="478">
        <f t="shared" si="13"/>
        <v>0</v>
      </c>
      <c r="N23" s="478">
        <f t="shared" ca="1" si="14"/>
        <v>0</v>
      </c>
      <c r="O23" s="478">
        <f t="shared" si="15"/>
        <v>0</v>
      </c>
      <c r="P23" s="479">
        <f t="shared" si="16"/>
        <v>0</v>
      </c>
      <c r="Q23" s="477">
        <f t="shared" ref="Q23:Q31" ca="1" si="17">SUM(B23:P23)</f>
        <v>2078.1490725929248</v>
      </c>
    </row>
    <row r="24" spans="1:17">
      <c r="A24" s="477" t="s">
        <v>193</v>
      </c>
      <c r="B24" s="478">
        <f t="shared" ca="1" si="2"/>
        <v>116.93389114443791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116.93389114443791</v>
      </c>
    </row>
    <row r="25" spans="1:17">
      <c r="A25" s="477" t="s">
        <v>111</v>
      </c>
      <c r="B25" s="478">
        <f t="shared" ca="1" si="2"/>
        <v>414.52445903960336</v>
      </c>
      <c r="C25" s="478">
        <f t="shared" ca="1" si="3"/>
        <v>0</v>
      </c>
      <c r="D25" s="478">
        <f t="shared" si="4"/>
        <v>1591.6677911337281</v>
      </c>
      <c r="E25" s="478">
        <f t="shared" si="5"/>
        <v>14.416685994406684</v>
      </c>
      <c r="F25" s="478">
        <f t="shared" si="6"/>
        <v>1920.179469467128</v>
      </c>
      <c r="G25" s="478">
        <f t="shared" si="7"/>
        <v>0</v>
      </c>
      <c r="H25" s="478">
        <f t="shared" si="8"/>
        <v>0</v>
      </c>
      <c r="I25" s="478">
        <f t="shared" si="9"/>
        <v>0</v>
      </c>
      <c r="J25" s="478">
        <f t="shared" si="10"/>
        <v>198.46603775955953</v>
      </c>
      <c r="K25" s="478">
        <f t="shared" si="11"/>
        <v>0</v>
      </c>
      <c r="L25" s="478">
        <f t="shared" si="12"/>
        <v>0</v>
      </c>
      <c r="M25" s="478">
        <f t="shared" si="13"/>
        <v>0</v>
      </c>
      <c r="N25" s="478">
        <f t="shared" si="14"/>
        <v>0</v>
      </c>
      <c r="O25" s="478">
        <f t="shared" si="15"/>
        <v>0</v>
      </c>
      <c r="P25" s="479">
        <f t="shared" si="16"/>
        <v>0</v>
      </c>
      <c r="Q25" s="477">
        <f t="shared" ca="1" si="17"/>
        <v>4139.2544433944258</v>
      </c>
    </row>
    <row r="26" spans="1:17">
      <c r="A26" s="477" t="s">
        <v>629</v>
      </c>
      <c r="B26" s="478">
        <f t="shared" ca="1" si="2"/>
        <v>97.993205543298586</v>
      </c>
      <c r="C26" s="478">
        <f t="shared" ca="1" si="3"/>
        <v>0</v>
      </c>
      <c r="D26" s="478">
        <f t="shared" si="4"/>
        <v>52.617681927799993</v>
      </c>
      <c r="E26" s="478">
        <f t="shared" si="5"/>
        <v>17.215301999711198</v>
      </c>
      <c r="F26" s="478">
        <f t="shared" si="6"/>
        <v>63.182800855179337</v>
      </c>
      <c r="G26" s="478">
        <f t="shared" si="7"/>
        <v>0</v>
      </c>
      <c r="H26" s="478">
        <f t="shared" si="8"/>
        <v>0</v>
      </c>
      <c r="I26" s="478">
        <f t="shared" si="9"/>
        <v>0</v>
      </c>
      <c r="J26" s="478">
        <f t="shared" si="10"/>
        <v>0.24100695064135064</v>
      </c>
      <c r="K26" s="478">
        <f t="shared" si="11"/>
        <v>0</v>
      </c>
      <c r="L26" s="478">
        <f t="shared" si="12"/>
        <v>0</v>
      </c>
      <c r="M26" s="478">
        <f t="shared" si="13"/>
        <v>0</v>
      </c>
      <c r="N26" s="478">
        <f t="shared" si="14"/>
        <v>0</v>
      </c>
      <c r="O26" s="478">
        <f t="shared" si="15"/>
        <v>0</v>
      </c>
      <c r="P26" s="479">
        <f t="shared" si="16"/>
        <v>0</v>
      </c>
      <c r="Q26" s="477">
        <f t="shared" ca="1" si="17"/>
        <v>231.24999727663044</v>
      </c>
    </row>
    <row r="27" spans="1:17" s="483" customFormat="1">
      <c r="A27" s="481" t="s">
        <v>555</v>
      </c>
      <c r="B27" s="801">
        <f t="shared" ca="1" si="2"/>
        <v>7.5442378482713695</v>
      </c>
      <c r="C27" s="482">
        <f t="shared" ca="1" si="3"/>
        <v>0</v>
      </c>
      <c r="D27" s="482">
        <f t="shared" si="4"/>
        <v>35.280930067360352</v>
      </c>
      <c r="E27" s="482">
        <f t="shared" si="5"/>
        <v>33.252311711288058</v>
      </c>
      <c r="F27" s="482">
        <f t="shared" si="6"/>
        <v>0</v>
      </c>
      <c r="G27" s="482">
        <f t="shared" si="7"/>
        <v>18423.269856726016</v>
      </c>
      <c r="H27" s="482">
        <f t="shared" si="8"/>
        <v>3277.7260417760699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21777.073378129007</v>
      </c>
    </row>
    <row r="28" spans="1:17" ht="16.5" customHeight="1">
      <c r="A28" s="477" t="s">
        <v>545</v>
      </c>
      <c r="B28" s="478">
        <f t="shared" ca="1" si="2"/>
        <v>0</v>
      </c>
      <c r="C28" s="478">
        <f t="shared" ca="1" si="3"/>
        <v>0</v>
      </c>
      <c r="D28" s="478">
        <f t="shared" si="4"/>
        <v>0</v>
      </c>
      <c r="E28" s="478">
        <f t="shared" si="5"/>
        <v>0</v>
      </c>
      <c r="F28" s="478">
        <f t="shared" si="6"/>
        <v>0</v>
      </c>
      <c r="G28" s="478">
        <f t="shared" si="7"/>
        <v>173.81051622750311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173.81051622750311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82.4696726316905</v>
      </c>
      <c r="C32" s="478">
        <f t="shared" ca="1" si="3"/>
        <v>0</v>
      </c>
      <c r="D32" s="478">
        <f t="shared" si="4"/>
        <v>127.98956218800002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210.45923481969052</v>
      </c>
    </row>
    <row r="33" spans="1:17" s="489" customFormat="1">
      <c r="A33" s="487" t="s">
        <v>549</v>
      </c>
      <c r="B33" s="488">
        <f ca="1">SUM(B22:B32)</f>
        <v>4222.6427220902779</v>
      </c>
      <c r="C33" s="488">
        <f t="shared" ref="C33:Q33" ca="1" si="19">SUM(C22:C32)</f>
        <v>0</v>
      </c>
      <c r="D33" s="488">
        <f t="shared" ca="1" si="19"/>
        <v>7113.6692580500649</v>
      </c>
      <c r="E33" s="488">
        <f t="shared" si="19"/>
        <v>1361.2274467694428</v>
      </c>
      <c r="F33" s="488">
        <f t="shared" ca="1" si="19"/>
        <v>2734.2722770005603</v>
      </c>
      <c r="G33" s="488">
        <f t="shared" si="19"/>
        <v>18597.080372953518</v>
      </c>
      <c r="H33" s="488">
        <f t="shared" si="19"/>
        <v>3277.7260417760699</v>
      </c>
      <c r="I33" s="488">
        <f t="shared" si="19"/>
        <v>0</v>
      </c>
      <c r="J33" s="488">
        <f t="shared" si="19"/>
        <v>883.48747325220006</v>
      </c>
      <c r="K33" s="488">
        <f t="shared" si="19"/>
        <v>0</v>
      </c>
      <c r="L33" s="488">
        <f t="shared" ca="1" si="19"/>
        <v>0</v>
      </c>
      <c r="M33" s="488">
        <f t="shared" si="19"/>
        <v>0</v>
      </c>
      <c r="N33" s="488">
        <f t="shared" ca="1" si="19"/>
        <v>0</v>
      </c>
      <c r="O33" s="488">
        <f t="shared" si="19"/>
        <v>0</v>
      </c>
      <c r="P33" s="488">
        <f t="shared" si="19"/>
        <v>0</v>
      </c>
      <c r="Q33" s="488">
        <f t="shared" ca="1" si="19"/>
        <v>38190.105591892134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1622.3165623405309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1622.3165623405309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0.20370409475407186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0.20370409475407186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2019-08-12T08:40:55Z</dcterms:modified>
</cp:coreProperties>
</file>