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<sst xmlns="http://schemas.openxmlformats.org/spreadsheetml/2006/main" count="2384" uniqueCount="886">
  <si>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</si>
  <si>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</si>
  <si>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</si>
  <si>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</si>
  <si>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</si>
  <si>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</si>
  <si>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</si>
  <si>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</si>
  <si>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</si>
  <si>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</si>
  <si>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</si>
  <si>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</si>
  <si>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</si>
  <si>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</si>
  <si>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</si>
  <si>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</si>
  <si>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</si>
  <si>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</si>
  <si>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</si>
  <si>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</si>
  <si>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</si>
  <si>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</si>
  <si>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</si>
  <si>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</si>
  <si>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</si>
  <si>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</si>
  <si>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</si>
  <si>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</si>
  <si>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</si>
  <si>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</si>
  <si>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</si>
  <si>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</si>
  <si>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</si>
  <si>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</si>
  <si>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</si>
  <si>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</si>
  <si>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</si>
  <si>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</si>
  <si>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</si>
  <si>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</si>
  <si>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</si>
  <si>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</si>
  <si>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</si>
  <si>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</si>
  <si>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</si>
  <si>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</si>
  <si>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</si>
  <si>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</si>
  <si>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</si>
  <si>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</si>
  <si>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</si>
  <si>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</si>
  <si>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</si>
  <si>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</si>
  <si>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</si>
  <si>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</si>
  <si>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</si>
  <si>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</si>
  <si>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</si>
  <si>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</si>
  <si>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</si>
  <si>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</si>
  <si>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</si>
  <si>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</si>
  <si>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</si>
  <si>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</si>
  <si>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</si>
  <si>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</si>
  <si>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</si>
  <si>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</si>
  <si>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</si>
  <si>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</si>
  <si>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</si>
  <si>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</si>
  <si>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</si>
  <si>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</si>
  <si>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</si>
  <si>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</si>
  <si>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</si>
  <si>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</si>
  <si>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</si>
  <si>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</si>
  <si>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</si>
  <si>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</si>
  <si>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</si>
  <si>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</si>
  <si>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</si>
  <si>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</si>
  <si>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</si>
  <si>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</si>
  <si>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</si>
  <si>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</si>
  <si>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</si>
  <si>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</si>
  <si>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</si>
  <si>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</si>
  <si>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</si>
  <si>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</si>
  <si>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</si>
  <si>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</si>
  <si>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</si>
  <si>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</si>
  <si>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</si>
  <si>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</si>
  <si>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</si>
  <si>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</si>
  <si>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</si>
  <si>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</si>
  <si>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</si>
  <si>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</si>
  <si>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</si>
  <si>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</si>
  <si>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</si>
  <si>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</si>
  <si>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</si>
  <si>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</si>
  <si>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</si>
  <si>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</si>
  <si>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</si>
  <si>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</si>
  <si>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</si>
  <si>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</si>
  <si>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</si>
  <si>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</si>
  <si>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</si>
  <si>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</si>
  <si>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</si>
  <si>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</si>
  <si>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</si>
  <si>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</si>
  <si>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</si>
  <si>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</si>
  <si>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</si>
  <si>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</si>
  <si>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</si>
  <si>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</si>
  <si>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</si>
  <si>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</si>
  <si>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</si>
  <si>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</si>
  <si>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</si>
  <si>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</si>
  <si>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</si>
  <si>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</si>
  <si>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</si>
  <si>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</si>
  <si>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</si>
  <si>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</si>
  <si>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</si>
  <si>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</si>
  <si>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</si>
  <si>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</si>
  <si>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</si>
  <si>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</si>
  <si>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</si>
  <si>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</si>
  <si>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</si>
  <si>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</si>
  <si>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</si>
  <si>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</si>
  <si>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</si>
  <si>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</si>
  <si>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</si>
  <si>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</si>
  <si>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</si>
  <si>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</si>
  <si>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</si>
  <si>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</si>
  <si>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</si>
  <si>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</si>
  <si>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</si>
  <si>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</si>
  <si>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</si>
  <si>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</si>
  <si>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</si>
  <si>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</si>
  <si>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</si>
  <si>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</si>
  <si>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</si>
  <si>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</si>
  <si>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</si>
  <si>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</si>
  <si>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</si>
  <si>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</si>
  <si>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</si>
  <si>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</si>
  <si>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</si>
  <si>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</si>
  <si>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</si>
  <si>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</si>
  <si>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</si>
  <si>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</si>
  <si>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</si>
  <si>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</si>
  <si>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</si>
  <si>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</si>
  <si>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</si>
  <si>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</si>
  <si>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</si>
  <si>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</si>
  <si>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</si>
  <si>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</si>
  <si>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</si>
  <si>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</si>
  <si>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</si>
  <si>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</si>
  <si>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</si>
  <si>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</si>
  <si>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</si>
  <si>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</si>
  <si>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</si>
  <si>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</si>
  <si>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</si>
  <si>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</si>
  <si>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</si>
  <si>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</si>
  <si>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</si>
  <si>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</si>
  <si>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</si>
  <si>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</si>
  <si>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</si>
  <si>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</si>
  <si>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</si>
  <si>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</si>
  <si>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</si>
  <si>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</si>
  <si>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</si>
  <si>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</si>
  <si>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</si>
  <si>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</si>
  <si>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</si>
  <si>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</si>
  <si>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</si>
  <si>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</si>
  <si>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</si>
  <si>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</si>
  <si>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</si>
  <si>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</si>
  <si>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</si>
  <si>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</si>
  <si>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</si>
  <si>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</si>
  <si>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</si>
  <si>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</si>
  <si>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</si>
  <si>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</si>
  <si>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</si>
  <si>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</si>
  <si>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</si>
  <si>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</si>
  <si>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</si>
  <si>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</si>
  <si>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</si>
  <si>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</si>
  <si>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</si>
  <si>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</si>
  <si>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</si>
  <si>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</si>
  <si>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</si>
  <si>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</si>
  <si>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</si>
  <si>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</si>
  <si>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</si>
  <si>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</si>
  <si>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</si>
  <si>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</si>
  <si>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</si>
  <si>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</si>
  <si>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</si>
  <si>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</si>
  <si>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</si>
  <si>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</si>
  <si>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</si>
  <si>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</si>
  <si>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</si>
  <si>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</si>
  <si>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</si>
  <si>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</si>
  <si>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</si>
  <si>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</si>
  <si>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</si>
  <si>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</si>
  <si>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</si>
  <si>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</si>
  <si>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</si>
  <si>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</si>
  <si>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</si>
  <si>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</si>
  <si>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</si>
  <si>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</si>
  <si>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</si>
  <si>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</si>
  <si>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</si>
  <si>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</si>
  <si>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</si>
  <si>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</si>
  <si>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</si>
  <si>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</si>
  <si>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</si>
  <si>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</si>
  <si>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</si>
  <si>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</si>
  <si>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</si>
  <si>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</si>
  <si>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</si>
  <si>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</si>
  <si>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</si>
  <si>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</si>
  <si>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</si>
  <si>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</si>
  <si>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</si>
  <si>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</si>
  <si>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</si>
  <si>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</si>
  <si>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</si>
  <si>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</si>
  <si>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</si>
  <si>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</si>
  <si>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</si>
  <si>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</si>
  <si>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</si>
  <si>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</si>
  <si>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</si>
  <si>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</si>
  <si>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</si>
  <si>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</si>
  <si>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</si>
  <si>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</si>
  <si>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</si>
  <si>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</si>
  <si>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</si>
  <si>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</si>
  <si>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</si>
  <si>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</si>
  <si>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</si>
  <si>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</si>
  <si>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</si>
  <si>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</si>
  <si>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</si>
  <si>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</si>
  <si>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</si>
  <si>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</si>
  <si>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</si>
  <si>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</si>
  <si>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</si>
  <si>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</si>
  <si>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</si>
  <si>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</si>
  <si>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</si>
  <si>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</si>
  <si>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</si>
  <si>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</si>
  <si>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</si>
  <si>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</si>
  <si>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</si>
  <si>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</si>
  <si>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</si>
  <si>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</si>
  <si>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</si>
  <si>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</si>
  <si>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</si>
  <si>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</si>
  <si>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</si>
  <si>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</si>
  <si>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</si>
  <si>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</si>
  <si>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</si>
  <si>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</si>
  <si>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</si>
  <si>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</si>
  <si>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</si>
  <si>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</si>
  <si>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</si>
  <si>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</si>
  <si>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</si>
  <si>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</si>
  <si>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</si>
  <si>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</si>
  <si>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</si>
  <si>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</si>
  <si>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</si>
  <si>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</si>
  <si>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</si>
  <si>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</si>
  <si>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</si>
  <si>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</si>
  <si>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</si>
  <si>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</si>
  <si>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</si>
  <si>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</si>
  <si>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</si>
  <si>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</si>
  <si>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</si>
  <si>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</si>
  <si>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</si>
  <si>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</si>
  <si>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</si>
  <si>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</si>
  <si>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</si>
  <si>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</si>
  <si>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</si>
  <si>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</si>
  <si>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</si>
  <si>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</si>
  <si>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</si>
  <si>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</si>
  <si>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</si>
  <si>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</si>
  <si>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</si>
  <si>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</si>
  <si>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</si>
  <si>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</si>
  <si>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</si>
  <si>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</si>
  <si>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</si>
  <si>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</si>
  <si>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</si>
  <si>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</si>
  <si>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</si>
  <si>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</si>
  <si>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</si>
  <si>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</si>
  <si>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</si>
  <si>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</si>
  <si>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</si>
  <si>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</si>
  <si>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</si>
  <si>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</si>
  <si>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</si>
  <si>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</si>
  <si>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</si>
  <si>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</si>
  <si>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</si>
  <si>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</si>
  <si>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</si>
  <si>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</si>
  <si>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</si>
  <si>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</si>
  <si>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</si>
  <si>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</si>
  <si>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</si>
  <si>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</si>
  <si>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</si>
  <si>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</si>
  <si>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</si>
  <si>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</si>
  <si>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</si>
  <si>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</si>
  <si>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</si>
  <si>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</si>
  <si>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</si>
  <si>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</si>
  <si>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</si>
  <si>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</si>
  <si>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</si>
  <si>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</si>
  <si>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</si>
  <si>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</si>
  <si>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</si>
  <si>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</si>
  <si>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</si>
  <si>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</si>
  <si>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</si>
  <si>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</si>
  <si>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</si>
  <si>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</si>
  <si>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</si>
  <si>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</si>
  <si>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</si>
  <si>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</si>
  <si>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</si>
  <si>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</si>
  <si>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</si>
  <si>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</si>
  <si>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</si>
  <si>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</si>
  <si>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</si>
  <si>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</si>
  <si>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</si>
  <si>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</si>
  <si>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</si>
  <si>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</si>
  <si>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</si>
  <si>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</si>
  <si>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</si>
  <si>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</si>
  <si>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</si>
  <si>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</si>
  <si>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</si>
  <si>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</si>
  <si>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</si>
  <si>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</si>
  <si>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</si>
  <si>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</si>
  <si>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</si>
  <si>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</si>
  <si>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</si>
  <si>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</si>
  <si>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</si>
  <si>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</si>
  <si>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</si>
  <si>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</si>
  <si>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</si>
  <si>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</si>
  <si>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</si>
  <si>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</si>
  <si>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</si>
  <si>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</si>
  <si>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</si>
  <si>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</si>
  <si>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</si>
  <si>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</si>
  <si>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</si>
  <si>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</si>
  <si>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</si>
  <si>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</si>
  <si>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</si>
  <si>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</si>
  <si>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</si>
  <si>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</si>
  <si>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</si>
  <si>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</si>
  <si>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</si>
  <si>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</si>
  <si>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</si>
  <si>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</si>
  <si>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</si>
  <si>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</si>
  <si>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</si>
  <si>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</si>
  <si>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</si>
  <si>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</si>
  <si>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</si>
  <si>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</si>
  <si>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</si>
  <si>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</si>
  <si>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</si>
  <si>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</si>
  <si>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</si>
  <si>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</si>
  <si>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</si>
  <si>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</si>
  <si>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</si>
  <si>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</si>
  <si>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</si>
  <si>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</si>
  <si>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</si>
  <si>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</si>
  <si>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</si>
  <si>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</si>
  <si>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</si>
  <si>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</si>
  <si>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</si>
  <si>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</si>
  <si>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</si>
  <si>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</si>
  <si>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</si>
  <si>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</si>
  <si>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</si>
  <si>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</si>
  <si>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</si>
  <si>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</si>
  <si>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</si>
  <si>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</si>
  <si>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</si>
  <si>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</si>
  <si>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</si>
  <si>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</si>
  <si>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</si>
  <si>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</si>
  <si>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</si>
  <si>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</si>
  <si>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</si>
  <si>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</si>
  <si>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</si>
  <si>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</si>
  <si>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</si>
  <si>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</si>
  <si>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</si>
  <si>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</si>
  <si>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</si>
  <si>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</si>
  <si>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</si>
  <si>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</si>
  <si>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</si>
  <si>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</si>
  <si>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</si>
  <si>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</si>
  <si>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</si>
  <si>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</si>
  <si>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</si>
  <si>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</si>
  <si>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</si>
  <si>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</si>
  <si>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</si>
  <si>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</si>
  <si>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</si>
  <si>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</si>
  <si>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</si>
  <si>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</si>
  <si>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</si>
  <si>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</si>
  <si>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</si>
  <si>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</si>
  <si>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</si>
  <si>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</si>
  <si>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</si>
  <si>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</si>
  <si>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</si>
  <si>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</si>
  <si>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</si>
  <si>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</si>
  <si>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</si>
  <si>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</si>
  <si>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</si>
  <si>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</si>
  <si>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</si>
  <si>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</si>
  <si>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</si>
  <si>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</si>
  <si>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</si>
  <si>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</si>
  <si>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</si>
  <si>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</si>
  <si>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</si>
  <si>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</si>
  <si>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</si>
  <si>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</si>
  <si>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</si>
  <si>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</si>
  <si>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</si>
  <si>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</si>
  <si>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</si>
  <si>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</si>
  <si>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</si>
  <si>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</si>
  <si>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</si>
  <si>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</si>
  <si>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</si>
  <si>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</si>
  <si>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</si>
  <si>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</si>
  <si>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</si>
  <si>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</si>
  <si>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</si>
  <si>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</si>
  <si>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</si>
  <si>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</si>
  <si>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</si>
  <si>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</si>
  <si>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</si>
  <si>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</si>
  <si>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</si>
  <si>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</si>
  <si>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</si>
  <si>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</si>
  <si>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</si>
  <si>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</si>
  <si>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</si>
  <si>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</si>
  <si>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</si>
  <si>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</si>
  <si>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</si>
  <si>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</si>
  <si>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</si>
  <si>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</si>
  <si>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</si>
  <si>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</si>
  <si>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</si>
  <si>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</si>
  <si>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</si>
  <si>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</si>
  <si>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</si>
  <si>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</si>
  <si>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</si>
  <si>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</si>
  <si>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</si>
  <si>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</si>
  <si>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</si>
  <si>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</si>
  <si>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</si>
  <si>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</si>
  <si>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</si>
  <si>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</si>
  <si>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</si>
  <si>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</si>
  <si>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</si>
  <si>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</si>
  <si>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</si>
  <si>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</si>
  <si>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</si>
  <si>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</si>
  <si>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</si>
  <si>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</si>
  <si>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</si>
  <si>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</si>
  <si>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</si>
  <si>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</si>
  <si>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</si>
  <si>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</si>
  <si>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</si>
  <si>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</si>
  <si>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</si>
  <si>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</si>
  <si>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</si>
  <si>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</si>
  <si>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</si>
  <si>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</si>
  <si>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</si>
  <si>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</si>
  <si>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</si>
  <si>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</si>
  <si>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</si>
  <si>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</si>
  <si>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</si>
  <si>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</si>
  <si>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</si>
  <si>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</si>
  <si>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</si>
  <si>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</si>
  <si>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</si>
  <si>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</si>
  <si>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</si>
  <si>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</si>
  <si>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</si>
  <si>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</si>
  <si>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</si>
  <si>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</si>
  <si>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</si>
  <si>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</si>
  <si>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</si>
  <si>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</si>
  <si>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</si>
  <si>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</si>
  <si>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</si>
  <si>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</si>
  <si>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</si>
  <si>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</si>
  <si>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</si>
  <si>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</si>
  <si>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</si>
  <si>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</si>
  <si>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</si>
  <si>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</si>
  <si>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</si>
  <si>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</si>
  <si>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</si>
  <si>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</si>
  <si>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</si>
  <si>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</si>
  <si>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</si>
  <si>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</si>
  <si>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</si>
  <si>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</si>
  <si>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</si>
  <si>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</si>
  <si>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</si>
  <si>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</si>
  <si>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</si>
  <si>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</si>
  <si>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</si>
  <si>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</si>
  <si>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</si>
  <si>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</si>
  <si>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</si>
  <si>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</si>
  <si>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</si>
  <si>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</si>
  <si>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</si>
  <si>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</si>
  <si>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</si>
  <si>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</si>
  <si>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</si>
  <si>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</si>
  <si>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</si>
  <si>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</si>
  <si>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</si>
  <si>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</si>
  <si>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</si>
  <si>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</si>
  <si>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</si>
  <si>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</si>
  <si>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</si>
  <si>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</si>
  <si>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</si>
  <si>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</si>
  <si>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</si>
  <si>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</si>
  <si>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</si>
  <si>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</si>
  <si>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</si>
  <si>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</si>
  <si>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</si>
  <si>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</si>
  <si>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</si>
  <si>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</si>
  <si>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</si>
  <si>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</si>
  <si>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</si>
  <si>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</si>
  <si>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</si>
  <si>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</si>
  <si>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</si>
  <si>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</si>
  <si>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</si>
  <si>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</si>
  <si>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</si>
  <si>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</si>
  <si>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</si>
  <si>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</si>
  <si>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</si>
  <si>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</si>
  <si>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</si>
  <si>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</si>
  <si>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</si>
  <si>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</si>
  <si>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</si>
  <si>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</si>
  <si>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</si>
  <si>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</si>
  <si>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</si>
  <si>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</si>
  <si>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</si>
  <si>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</si>
  <si>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</si>
  <si>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</si>
  <si>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</si>
  <si>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</si>
  <si>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</si>
  <si>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</si>
  <si>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</si>
  <si>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</si>
  <si>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</si>
  <si>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</si>
  <si>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</si>
  <si>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</si>
  <si>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</si>
  <si>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</si>
  <si>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</si>
  <si>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</si>
  <si>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</si>
  <si>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</si>
  <si>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</si>
  <si>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</si>
  <si>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</si>
  <si>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</si>
  <si>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</si>
  <si>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</si>
  <si>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</si>
  <si>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</si>
  <si>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</si>
  <si>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</si>
  <si>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</si>
  <si>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</si>
  <si>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</si>
  <si>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</si>
  <si>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</si>
  <si>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</si>
  <si>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</si>
  <si>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</si>
  <si>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</si>
  <si>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</si>
  <si>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</si>
  <si>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</si>
  <si>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</si>
  <si>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</si>
  <si>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</si>
  <si>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</si>
  <si>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</si>
  <si>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</si>
  <si>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</si>
  <si>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</si>
  <si>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</si>
  <si>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</si>
  <si>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</si>
  <si>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</si>
  <si>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</si>
  <si>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</si>
  <si>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44040</t>
  </si>
  <si>
    <t>MELLE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</si>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</sst>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81337.758472906338</c:v>
                </c:pt>
                <c:pt idx="1">
                  <c:v>42998.650607075921</c:v>
                </c:pt>
                <c:pt idx="2">
                  <c:v>871.26599999999996</c:v>
                </c:pt>
                <c:pt idx="3">
                  <c:v>1834.3374477043117</c:v>
                </c:pt>
                <c:pt idx="4">
                  <c:v>16183.309988338524</c:v>
                </c:pt>
                <c:pt idx="5">
                  <c:v>237584.35252926947</c:v>
                </c:pt>
                <c:pt idx="6">
                  <c:v>1387.5112785706669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81337.758472906338</c:v>
                </c:pt>
                <c:pt idx="1">
                  <c:v>42998.650607075921</c:v>
                </c:pt>
                <c:pt idx="2">
                  <c:v>871.26599999999996</c:v>
                </c:pt>
                <c:pt idx="3">
                  <c:v>1834.3374477043117</c:v>
                </c:pt>
                <c:pt idx="4">
                  <c:v>16183.309988338524</c:v>
                </c:pt>
                <c:pt idx="5">
                  <c:v>237584.35252926947</c:v>
                </c:pt>
                <c:pt idx="6">
                  <c:v>1387.5112785706669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13778.750059587372</c:v>
                </c:pt>
                <c:pt idx="1">
                  <c:v>7722.857811236724</c:v>
                </c:pt>
                <c:pt idx="2">
                  <c:v>120.13452760488835</c:v>
                </c:pt>
                <c:pt idx="3">
                  <c:v>409.9274503704317</c:v>
                </c:pt>
                <c:pt idx="4">
                  <c:v>2940.2934826584574</c:v>
                </c:pt>
                <c:pt idx="5">
                  <c:v>59154.353164596308</c:v>
                </c:pt>
                <c:pt idx="6">
                  <c:v>309.56668077219285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13778.750059587372</c:v>
                </c:pt>
                <c:pt idx="1">
                  <c:v>7722.857811236724</c:v>
                </c:pt>
                <c:pt idx="2">
                  <c:v>120.13452760488835</c:v>
                </c:pt>
                <c:pt idx="3">
                  <c:v>409.9274503704317</c:v>
                </c:pt>
                <c:pt idx="4">
                  <c:v>2940.2934826584574</c:v>
                </c:pt>
                <c:pt idx="5">
                  <c:v>59154.353164596308</c:v>
                </c:pt>
                <c:pt idx="6">
                  <c:v>309.56668077219285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44040</v>
      </c>
      <c r="B6" s="415"/>
      <c r="C6" s="416"/>
    </row>
    <row r="7" spans="1:7" s="413" customFormat="1" ht="15.75" customHeight="1">
      <c r="A7" s="417" t="str">
        <f>txtMunicipality</f>
        <v>MELLE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0.13788501744001069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0.13788501744001069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4670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479.32</v>
      </c>
    </row>
    <row r="15" spans="1:6">
      <c r="A15" s="348" t="s">
        <v>183</v>
      </c>
      <c r="B15" s="334">
        <v>7</v>
      </c>
    </row>
    <row r="16" spans="1:6">
      <c r="A16" s="348" t="s">
        <v>6</v>
      </c>
      <c r="B16" s="334">
        <v>215</v>
      </c>
    </row>
    <row r="17" spans="1:6">
      <c r="A17" s="348" t="s">
        <v>7</v>
      </c>
      <c r="B17" s="334">
        <v>101</v>
      </c>
    </row>
    <row r="18" spans="1:6">
      <c r="A18" s="348" t="s">
        <v>8</v>
      </c>
      <c r="B18" s="334">
        <v>165</v>
      </c>
    </row>
    <row r="19" spans="1:6">
      <c r="A19" s="348" t="s">
        <v>9</v>
      </c>
      <c r="B19" s="334">
        <v>149</v>
      </c>
    </row>
    <row r="20" spans="1:6">
      <c r="A20" s="348" t="s">
        <v>10</v>
      </c>
      <c r="B20" s="334">
        <v>66</v>
      </c>
    </row>
    <row r="21" spans="1:6">
      <c r="A21" s="348" t="s">
        <v>11</v>
      </c>
      <c r="B21" s="334">
        <v>952</v>
      </c>
    </row>
    <row r="22" spans="1:6">
      <c r="A22" s="348" t="s">
        <v>12</v>
      </c>
      <c r="B22" s="334">
        <v>920</v>
      </c>
    </row>
    <row r="23" spans="1:6">
      <c r="A23" s="348" t="s">
        <v>13</v>
      </c>
      <c r="B23" s="334">
        <v>60</v>
      </c>
    </row>
    <row r="24" spans="1:6">
      <c r="A24" s="348" t="s">
        <v>14</v>
      </c>
      <c r="B24" s="334">
        <v>2</v>
      </c>
    </row>
    <row r="25" spans="1:6">
      <c r="A25" s="348" t="s">
        <v>15</v>
      </c>
      <c r="B25" s="334">
        <v>201</v>
      </c>
    </row>
    <row r="26" spans="1:6">
      <c r="A26" s="348" t="s">
        <v>16</v>
      </c>
      <c r="B26" s="334">
        <v>68</v>
      </c>
    </row>
    <row r="27" spans="1:6">
      <c r="A27" s="348" t="s">
        <v>17</v>
      </c>
      <c r="B27" s="334">
        <v>6</v>
      </c>
    </row>
    <row r="28" spans="1:6" s="356" customFormat="1">
      <c r="A28" s="355" t="s">
        <v>18</v>
      </c>
      <c r="B28" s="355">
        <v>517</v>
      </c>
    </row>
    <row r="29" spans="1:6">
      <c r="A29" s="355" t="s">
        <v>713</v>
      </c>
      <c r="B29" s="355">
        <v>167</v>
      </c>
      <c r="C29" s="356"/>
      <c r="D29" s="356"/>
      <c r="E29" s="356"/>
      <c r="F29" s="356"/>
    </row>
    <row r="30" spans="1:6">
      <c r="A30" s="341" t="s">
        <v>714</v>
      </c>
      <c r="B30" s="341">
        <v>34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5</v>
      </c>
      <c r="D36" s="334">
        <v>1941092.477</v>
      </c>
      <c r="E36" s="334">
        <v>11</v>
      </c>
      <c r="F36" s="334">
        <v>2429925.2409999999</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3529</v>
      </c>
      <c r="D39" s="334">
        <v>58192373.240000002</v>
      </c>
      <c r="E39" s="334">
        <v>4599</v>
      </c>
      <c r="F39" s="334">
        <v>17733751.920000002</v>
      </c>
    </row>
    <row r="40" spans="1:6">
      <c r="A40" s="348" t="s">
        <v>29</v>
      </c>
      <c r="B40" s="348" t="s">
        <v>28</v>
      </c>
      <c r="C40" s="334">
        <v>0</v>
      </c>
      <c r="D40" s="334">
        <v>0</v>
      </c>
      <c r="E40" s="334">
        <v>0</v>
      </c>
      <c r="F40" s="334">
        <v>0</v>
      </c>
    </row>
    <row r="41" spans="1:6">
      <c r="A41" s="348" t="s">
        <v>31</v>
      </c>
      <c r="B41" s="348" t="s">
        <v>32</v>
      </c>
      <c r="C41" s="334">
        <v>56</v>
      </c>
      <c r="D41" s="334">
        <v>1703540.5090000001</v>
      </c>
      <c r="E41" s="334">
        <v>115</v>
      </c>
      <c r="F41" s="334">
        <v>1399816.639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82280.597999999998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54250.502999999997</v>
      </c>
      <c r="E47" s="334">
        <v>3</v>
      </c>
      <c r="F47" s="334">
        <v>5725.9409999999998</v>
      </c>
    </row>
    <row r="48" spans="1:6">
      <c r="A48" s="348" t="s">
        <v>31</v>
      </c>
      <c r="B48" s="348" t="s">
        <v>28</v>
      </c>
      <c r="C48" s="334">
        <v>19</v>
      </c>
      <c r="D48" s="334">
        <v>763557.26899999997</v>
      </c>
      <c r="E48" s="334">
        <v>36</v>
      </c>
      <c r="F48" s="334">
        <v>1051280.9609999999</v>
      </c>
    </row>
    <row r="49" spans="1:6">
      <c r="A49" s="348" t="s">
        <v>31</v>
      </c>
      <c r="B49" s="348" t="s">
        <v>39</v>
      </c>
      <c r="C49" s="334">
        <v>0</v>
      </c>
      <c r="D49" s="334">
        <v>0</v>
      </c>
      <c r="E49" s="334">
        <v>0</v>
      </c>
      <c r="F49" s="334">
        <v>0</v>
      </c>
    </row>
    <row r="50" spans="1:6">
      <c r="A50" s="348" t="s">
        <v>31</v>
      </c>
      <c r="B50" s="348" t="s">
        <v>40</v>
      </c>
      <c r="C50" s="334">
        <v>8</v>
      </c>
      <c r="D50" s="334">
        <v>6392763.2050000001</v>
      </c>
      <c r="E50" s="334">
        <v>9</v>
      </c>
      <c r="F50" s="334">
        <v>3283686.5729999999</v>
      </c>
    </row>
    <row r="51" spans="1:6">
      <c r="A51" s="348" t="s">
        <v>41</v>
      </c>
      <c r="B51" s="348" t="s">
        <v>42</v>
      </c>
      <c r="C51" s="334">
        <v>5</v>
      </c>
      <c r="D51" s="334">
        <v>902219.598</v>
      </c>
      <c r="E51" s="334">
        <v>17</v>
      </c>
      <c r="F51" s="334">
        <v>114663.806</v>
      </c>
    </row>
    <row r="52" spans="1:6">
      <c r="A52" s="348" t="s">
        <v>41</v>
      </c>
      <c r="B52" s="348" t="s">
        <v>28</v>
      </c>
      <c r="C52" s="334">
        <v>2</v>
      </c>
      <c r="D52" s="334">
        <v>116315.012</v>
      </c>
      <c r="E52" s="334">
        <v>6</v>
      </c>
      <c r="F52" s="334">
        <v>74481.387000000002</v>
      </c>
    </row>
    <row r="53" spans="1:6">
      <c r="A53" s="348" t="s">
        <v>43</v>
      </c>
      <c r="B53" s="348" t="s">
        <v>44</v>
      </c>
      <c r="C53" s="334">
        <v>107</v>
      </c>
      <c r="D53" s="334">
        <v>4488493.0109999999</v>
      </c>
      <c r="E53" s="334">
        <v>184</v>
      </c>
      <c r="F53" s="334">
        <v>641694.49100000004</v>
      </c>
    </row>
    <row r="54" spans="1:6">
      <c r="A54" s="348" t="s">
        <v>45</v>
      </c>
      <c r="B54" s="348" t="s">
        <v>46</v>
      </c>
      <c r="C54" s="334">
        <v>0</v>
      </c>
      <c r="D54" s="334">
        <v>0</v>
      </c>
      <c r="E54" s="334">
        <v>1</v>
      </c>
      <c r="F54" s="334">
        <v>871266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20</v>
      </c>
      <c r="D57" s="334">
        <v>519407.88500000001</v>
      </c>
      <c r="E57" s="334">
        <v>44</v>
      </c>
      <c r="F57" s="334">
        <v>663718.14399999997</v>
      </c>
    </row>
    <row r="58" spans="1:6">
      <c r="A58" s="348" t="s">
        <v>48</v>
      </c>
      <c r="B58" s="348" t="s">
        <v>50</v>
      </c>
      <c r="C58" s="334">
        <v>21</v>
      </c>
      <c r="D58" s="334">
        <v>4878324.2510000002</v>
      </c>
      <c r="E58" s="334">
        <v>34</v>
      </c>
      <c r="F58" s="334">
        <v>328901.61599999998</v>
      </c>
    </row>
    <row r="59" spans="1:6">
      <c r="A59" s="348" t="s">
        <v>48</v>
      </c>
      <c r="B59" s="348" t="s">
        <v>51</v>
      </c>
      <c r="C59" s="334">
        <v>60</v>
      </c>
      <c r="D59" s="334">
        <v>6585816.5499999998</v>
      </c>
      <c r="E59" s="334">
        <v>116</v>
      </c>
      <c r="F59" s="334">
        <v>2797688.4360000002</v>
      </c>
    </row>
    <row r="60" spans="1:6">
      <c r="A60" s="348" t="s">
        <v>48</v>
      </c>
      <c r="B60" s="348" t="s">
        <v>52</v>
      </c>
      <c r="C60" s="334">
        <v>36</v>
      </c>
      <c r="D60" s="334">
        <v>1472269.5</v>
      </c>
      <c r="E60" s="334">
        <v>45</v>
      </c>
      <c r="F60" s="334">
        <v>1477485.463</v>
      </c>
    </row>
    <row r="61" spans="1:6">
      <c r="A61" s="348" t="s">
        <v>48</v>
      </c>
      <c r="B61" s="348" t="s">
        <v>53</v>
      </c>
      <c r="C61" s="334">
        <v>136</v>
      </c>
      <c r="D61" s="334">
        <v>5591763.0690000001</v>
      </c>
      <c r="E61" s="334">
        <v>277</v>
      </c>
      <c r="F61" s="334">
        <v>3741097.139</v>
      </c>
    </row>
    <row r="62" spans="1:6">
      <c r="A62" s="348" t="s">
        <v>48</v>
      </c>
      <c r="B62" s="348" t="s">
        <v>54</v>
      </c>
      <c r="C62" s="334">
        <v>9</v>
      </c>
      <c r="D62" s="334">
        <v>1382141.9110000001</v>
      </c>
      <c r="E62" s="334">
        <v>11</v>
      </c>
      <c r="F62" s="334">
        <v>780848.71799999999</v>
      </c>
    </row>
    <row r="63" spans="1:6">
      <c r="A63" s="348" t="s">
        <v>48</v>
      </c>
      <c r="B63" s="348" t="s">
        <v>28</v>
      </c>
      <c r="C63" s="334">
        <v>89</v>
      </c>
      <c r="D63" s="334">
        <v>8657223.3599999994</v>
      </c>
      <c r="E63" s="334">
        <v>116</v>
      </c>
      <c r="F63" s="334">
        <v>4316310.3619999997</v>
      </c>
    </row>
    <row r="64" spans="1:6">
      <c r="A64" s="348" t="s">
        <v>55</v>
      </c>
      <c r="B64" s="348" t="s">
        <v>56</v>
      </c>
      <c r="C64" s="334">
        <v>0</v>
      </c>
      <c r="D64" s="334">
        <v>0</v>
      </c>
      <c r="E64" s="334">
        <v>0</v>
      </c>
      <c r="F64" s="334">
        <v>0</v>
      </c>
    </row>
    <row r="65" spans="1:6">
      <c r="A65" s="348" t="s">
        <v>55</v>
      </c>
      <c r="B65" s="348" t="s">
        <v>28</v>
      </c>
      <c r="C65" s="334">
        <v>2</v>
      </c>
      <c r="D65" s="334">
        <v>109082.06600000001</v>
      </c>
      <c r="E65" s="334">
        <v>2</v>
      </c>
      <c r="F65" s="334">
        <v>261702.511</v>
      </c>
    </row>
    <row r="66" spans="1:6">
      <c r="A66" s="348" t="s">
        <v>55</v>
      </c>
      <c r="B66" s="348" t="s">
        <v>57</v>
      </c>
      <c r="C66" s="334">
        <v>3</v>
      </c>
      <c r="D66" s="334">
        <v>6343419.0980000002</v>
      </c>
      <c r="E66" s="334">
        <v>16</v>
      </c>
      <c r="F66" s="334">
        <v>2736819.662</v>
      </c>
    </row>
    <row r="67" spans="1:6">
      <c r="A67" s="355" t="s">
        <v>55</v>
      </c>
      <c r="B67" s="355" t="s">
        <v>58</v>
      </c>
      <c r="C67" s="334">
        <v>0</v>
      </c>
      <c r="D67" s="334">
        <v>0</v>
      </c>
      <c r="E67" s="334">
        <v>0</v>
      </c>
      <c r="F67" s="334">
        <v>0</v>
      </c>
    </row>
    <row r="68" spans="1:6">
      <c r="A68" s="341" t="s">
        <v>55</v>
      </c>
      <c r="B68" s="341" t="s">
        <v>59</v>
      </c>
      <c r="C68" s="334">
        <v>0</v>
      </c>
      <c r="D68" s="334">
        <v>0</v>
      </c>
      <c r="E68" s="334">
        <v>9</v>
      </c>
      <c r="F68" s="334">
        <v>122885.07399999999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37270594</v>
      </c>
      <c r="E73" s="476"/>
    </row>
    <row r="74" spans="1:6">
      <c r="A74" s="348" t="s">
        <v>63</v>
      </c>
      <c r="B74" s="348" t="s">
        <v>651</v>
      </c>
      <c r="C74" s="1307" t="s">
        <v>653</v>
      </c>
      <c r="D74" s="476">
        <v>3471545.5</v>
      </c>
      <c r="E74" s="476"/>
    </row>
    <row r="75" spans="1:6">
      <c r="A75" s="348" t="s">
        <v>64</v>
      </c>
      <c r="B75" s="348" t="s">
        <v>650</v>
      </c>
      <c r="C75" s="1307" t="s">
        <v>654</v>
      </c>
      <c r="D75" s="476">
        <v>7985389</v>
      </c>
      <c r="E75" s="476"/>
    </row>
    <row r="76" spans="1:6">
      <c r="A76" s="348" t="s">
        <v>64</v>
      </c>
      <c r="B76" s="348" t="s">
        <v>651</v>
      </c>
      <c r="C76" s="1307" t="s">
        <v>655</v>
      </c>
      <c r="D76" s="476">
        <v>588105.5</v>
      </c>
      <c r="E76" s="476"/>
    </row>
    <row r="77" spans="1:6">
      <c r="A77" s="348" t="s">
        <v>65</v>
      </c>
      <c r="B77" s="348" t="s">
        <v>650</v>
      </c>
      <c r="C77" s="1307" t="s">
        <v>656</v>
      </c>
      <c r="D77" s="476">
        <v>202214803</v>
      </c>
      <c r="E77" s="476"/>
    </row>
    <row r="78" spans="1:6">
      <c r="A78" s="341" t="s">
        <v>65</v>
      </c>
      <c r="B78" s="341" t="s">
        <v>651</v>
      </c>
      <c r="C78" s="341" t="s">
        <v>657</v>
      </c>
      <c r="D78" s="1308">
        <v>23684785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285523</v>
      </c>
      <c r="C83" s="476"/>
    </row>
    <row r="84" spans="1:6">
      <c r="A84" s="341" t="s">
        <v>336</v>
      </c>
      <c r="B84" s="1308">
        <v>102059</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12108.459054427283</v>
      </c>
    </row>
    <row r="91" spans="1:6">
      <c r="A91" s="348" t="s">
        <v>67</v>
      </c>
      <c r="B91" s="334">
        <v>2400.2118500089487</v>
      </c>
    </row>
    <row r="92" spans="1:6">
      <c r="A92" s="341" t="s">
        <v>68</v>
      </c>
      <c r="B92" s="342">
        <v>1384.3648524204159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2031</v>
      </c>
    </row>
    <row r="98" spans="1:6">
      <c r="A98" s="348" t="s">
        <v>71</v>
      </c>
      <c r="B98" s="334">
        <v>0</v>
      </c>
    </row>
    <row r="99" spans="1:6">
      <c r="A99" s="348" t="s">
        <v>72</v>
      </c>
      <c r="B99" s="334">
        <v>23</v>
      </c>
    </row>
    <row r="100" spans="1:6">
      <c r="A100" s="348" t="s">
        <v>73</v>
      </c>
      <c r="B100" s="334">
        <v>497</v>
      </c>
    </row>
    <row r="101" spans="1:6">
      <c r="A101" s="348" t="s">
        <v>74</v>
      </c>
      <c r="B101" s="334">
        <v>48</v>
      </c>
    </row>
    <row r="102" spans="1:6">
      <c r="A102" s="348" t="s">
        <v>75</v>
      </c>
      <c r="B102" s="334">
        <v>61</v>
      </c>
    </row>
    <row r="103" spans="1:6">
      <c r="A103" s="348" t="s">
        <v>76</v>
      </c>
      <c r="B103" s="334">
        <v>100</v>
      </c>
    </row>
    <row r="104" spans="1:6">
      <c r="A104" s="348" t="s">
        <v>77</v>
      </c>
      <c r="B104" s="334">
        <v>1227</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18</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117</v>
      </c>
    </row>
    <row r="130" spans="1:6">
      <c r="A130" s="348" t="s">
        <v>294</v>
      </c>
      <c r="B130" s="334">
        <v>2</v>
      </c>
    </row>
    <row r="131" spans="1:6">
      <c r="A131" s="348" t="s">
        <v>295</v>
      </c>
      <c r="B131" s="334">
        <v>1</v>
      </c>
    </row>
    <row r="132" spans="1:6">
      <c r="A132" s="341" t="s">
        <v>296</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42259.058404183954</v>
      </c>
      <c r="C3" s="43" t="s">
        <v>169</v>
      </c>
      <c r="D3" s="43"/>
      <c r="E3" s="154"/>
      <c r="F3" s="43"/>
      <c r="G3" s="43"/>
      <c r="H3" s="43"/>
      <c r="I3" s="43"/>
      <c r="J3" s="43"/>
      <c r="K3" s="96"/>
    </row>
    <row r="4" spans="1:11">
      <c r="A4" s="383" t="s">
        <v>170</v>
      </c>
      <c r="B4" s="49">
        <f>IF(ISERROR('SEAP template'!B78+'SEAP template'!C78),0,'SEAP template'!B78+'SEAP template'!C78)</f>
        <v>15893.035756856647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0.13788501744001069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871.26599999999996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871.26599999999996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0.13788501744001069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120.13452760488835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17733.751920000002</v>
      </c>
      <c r="C5" s="17">
        <f>IF(ISERROR('Eigen informatie GS &amp; warmtenet'!B59),0,'Eigen informatie GS &amp; warmtenet'!B59)</f>
        <v>0</v>
      </c>
      <c r="D5" s="30">
        <f>(SUM(HH_hh_gas_kWh,HH_rest_gas_kWh)/1000)*0.902</f>
        <v>52489.520662480005</v>
      </c>
      <c r="E5" s="17">
        <f>B46*B57</f>
        <v>1760.7706616836244</v>
      </c>
      <c r="F5" s="17">
        <f>B51*B62</f>
        <v>0</v>
      </c>
      <c r="G5" s="18"/>
      <c r="H5" s="17"/>
      <c r="I5" s="17"/>
      <c r="J5" s="17">
        <f>B50*B61+C50*C61</f>
        <v>0</v>
      </c>
      <c r="K5" s="17"/>
      <c r="L5" s="17"/>
      <c r="M5" s="17"/>
      <c r="N5" s="17">
        <f>B48*B59+C48*C59</f>
        <v>6359.1162805782797</v>
      </c>
      <c r="O5" s="17">
        <f>B69*B70*B71</f>
        <v>267.83435961724928</v>
      </c>
      <c r="P5" s="17">
        <f>B77*B78*B79/1000-B77*B78*B79/1000/B80</f>
        <v>326.5527385382357</v>
      </c>
    </row>
    <row r="6" spans="1:16">
      <c r="A6" s="16" t="s">
        <v>615</v>
      </c>
      <c r="B6" s="809">
        <f>kWh_PV_kleiner_dan_10kW</f>
        <v>2400.2118500089487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20133.963770008952</v>
      </c>
      <c r="C8" s="21">
        <f>C5</f>
        <v>0</v>
      </c>
      <c r="D8" s="21">
        <f>D5</f>
        <v>52489.520662480005</v>
      </c>
      <c r="E8" s="21">
        <f>E5</f>
        <v>1760.7706616836244</v>
      </c>
      <c r="F8" s="21">
        <f>F5</f>
        <v>0</v>
      </c>
      <c r="G8" s="21"/>
      <c r="H8" s="21"/>
      <c r="I8" s="21"/>
      <c r="J8" s="21">
        <f>J5</f>
        <v>0</v>
      </c>
      <c r="K8" s="21"/>
      <c r="L8" s="21">
        <f>L5</f>
        <v>0</v>
      </c>
      <c r="M8" s="21">
        <f>M5</f>
        <v>0</v>
      </c>
      <c r="N8" s="21">
        <f>N5</f>
        <v>6359.1162805782797</v>
      </c>
      <c r="O8" s="21">
        <f>O5</f>
        <v>267.83435961724928</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0.13788501744001069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2776.1719455642278</v>
      </c>
      <c r="C12" s="23">
        <f ca="1">C10*C8</f>
        <v>0</v>
      </c>
      <c r="D12" s="23">
        <f>D8*D10</f>
        <v>10602.883173820961</v>
      </c>
      <c r="E12" s="23">
        <f>E10*E8</f>
        <v>399.69494020218275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2031</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4.0492957746478879</v>
      </c>
      <c r="D20" s="229"/>
      <c r="E20" s="15"/>
    </row>
    <row r="21" spans="1:7">
      <c r="A21" s="171" t="s">
        <v>73</v>
      </c>
      <c r="B21" s="37">
        <f>aantalw2001_elektriciteit</f>
        <v>497</v>
      </c>
      <c r="C21" s="167">
        <f>IF(ISERROR(B21/SUM($B$20,$B$21,$B$22)*100),0,B21/SUM($B$20,$B$21,$B$22)*100)</f>
        <v>87.5</v>
      </c>
      <c r="D21" s="229"/>
      <c r="E21" s="15"/>
    </row>
    <row r="22" spans="1:7">
      <c r="A22" s="171" t="s">
        <v>74</v>
      </c>
      <c r="B22" s="37">
        <f>aantalw2001_hout</f>
        <v>48</v>
      </c>
      <c r="C22" s="167">
        <f>IF(ISERROR(B22/SUM($B$20,$B$21,$B$22)*100),0,B22/SUM($B$20,$B$21,$B$22)*100)</f>
        <v>8.4507042253521121</v>
      </c>
      <c r="D22" s="229"/>
      <c r="E22" s="15"/>
    </row>
    <row r="23" spans="1:7">
      <c r="A23" s="171" t="s">
        <v>75</v>
      </c>
      <c r="B23" s="37">
        <f>aantalw2001_niet_gespec</f>
        <v>61</v>
      </c>
      <c r="C23" s="166" t="s">
        <v>110</v>
      </c>
      <c r="D23" s="228"/>
      <c r="E23" s="15"/>
    </row>
    <row r="24" spans="1:7">
      <c r="A24" s="171" t="s">
        <v>76</v>
      </c>
      <c r="B24" s="37">
        <f>aantalw2001_steenkool</f>
        <v>100</v>
      </c>
      <c r="C24" s="166" t="s">
        <v>110</v>
      </c>
      <c r="D24" s="229"/>
      <c r="E24" s="15"/>
    </row>
    <row r="25" spans="1:7">
      <c r="A25" s="171" t="s">
        <v>77</v>
      </c>
      <c r="B25" s="37">
        <f>aantalw2001_stookolie</f>
        <v>1227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4670</v>
      </c>
      <c r="C28" s="36"/>
      <c r="D28" s="228"/>
    </row>
    <row r="29" spans="1:7" s="15" customFormat="1">
      <c r="A29" s="230" t="s">
        <v>837</v>
      </c>
      <c r="B29" s="37">
        <f>SUM(HH_hh_gas_aantal,HH_rest_gas_aantal)</f>
        <v>3529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3529</v>
      </c>
      <c r="C32" s="167">
        <f>IF(ISERROR(B32/SUM($B$32,$B$34,$B$35,$B$36,$B$38,$B$39)*100),0,B32/SUM($B$32,$B$34,$B$35,$B$36,$B$38,$B$39)*100)</f>
        <v>76.072429402888559</v>
      </c>
      <c r="D32" s="233"/>
      <c r="G32" s="15"/>
    </row>
    <row r="33" spans="1:7">
      <c r="A33" s="171" t="s">
        <v>71</v>
      </c>
      <c r="B33" s="34" t="s">
        <v>110</v>
      </c>
      <c r="C33" s="167"/>
      <c r="D33" s="233"/>
      <c r="G33" s="15"/>
    </row>
    <row r="34" spans="1:7">
      <c r="A34" s="171" t="s">
        <v>72</v>
      </c>
      <c r="B34" s="33">
        <f>IF((($B$28-$B$32-$B$39-$B$77-$B$38)*C20/100)&lt;0,0,($B$28-$B$32-$B$39-$B$77-$B$38)*C20/100)</f>
        <v>44.947183098591559</v>
      </c>
      <c r="C34" s="167">
        <f>IF(ISERROR(B34/SUM($B$32,$B$34,$B$35,$B$36,$B$38,$B$39)*100),0,B34/SUM($B$32,$B$34,$B$35,$B$36,$B$38,$B$39)*100)</f>
        <v>0.9688981051647243</v>
      </c>
      <c r="D34" s="233"/>
      <c r="G34" s="15"/>
    </row>
    <row r="35" spans="1:7">
      <c r="A35" s="171" t="s">
        <v>73</v>
      </c>
      <c r="B35" s="33">
        <f>IF((($B$28-$B$32-$B$39-$B$77-$B$38)*C21/100)&lt;0,0,($B$28-$B$32-$B$39-$B$77-$B$38)*C21/100)</f>
        <v>971.25</v>
      </c>
      <c r="C35" s="167">
        <f>IF(ISERROR(B35/SUM($B$32,$B$34,$B$35,$B$36,$B$38,$B$39)*100),0,B35/SUM($B$32,$B$34,$B$35,$B$36,$B$38,$B$39)*100)</f>
        <v>20.936624272472514</v>
      </c>
      <c r="D35" s="233"/>
      <c r="G35" s="15"/>
    </row>
    <row r="36" spans="1:7">
      <c r="A36" s="171" t="s">
        <v>74</v>
      </c>
      <c r="B36" s="33">
        <f>IF((($B$28-$B$32-$B$39-$B$77-$B$38)*C22/100)&lt;0,0,($B$28-$B$32-$B$39-$B$77-$B$38)*C22/100)</f>
        <v>93.802816901408448</v>
      </c>
      <c r="C36" s="167">
        <f>IF(ISERROR(B36/SUM($B$32,$B$34,$B$35,$B$36,$B$38,$B$39)*100),0,B36/SUM($B$32,$B$34,$B$35,$B$36,$B$38,$B$39)*100)</f>
        <v>2.0220482194742067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3529</v>
      </c>
      <c r="C44" s="34" t="s">
        <v>110</v>
      </c>
      <c r="D44" s="174"/>
    </row>
    <row r="45" spans="1:7">
      <c r="A45" s="171" t="s">
        <v>71</v>
      </c>
      <c r="B45" s="33" t="str">
        <f t="shared" si="0"/>
        <v>-</v>
      </c>
      <c r="C45" s="34" t="s">
        <v>110</v>
      </c>
      <c r="D45" s="174"/>
    </row>
    <row r="46" spans="1:7">
      <c r="A46" s="171" t="s">
        <v>72</v>
      </c>
      <c r="B46" s="33">
        <f t="shared" si="0"/>
        <v>44.947183098591559</v>
      </c>
      <c r="C46" s="34" t="s">
        <v>110</v>
      </c>
      <c r="D46" s="174"/>
    </row>
    <row r="47" spans="1:7">
      <c r="A47" s="171" t="s">
        <v>73</v>
      </c>
      <c r="B47" s="33">
        <f t="shared" si="0"/>
        <v>971.25</v>
      </c>
      <c r="C47" s="34" t="s">
        <v>110</v>
      </c>
      <c r="D47" s="174"/>
    </row>
    <row r="48" spans="1:7">
      <c r="A48" s="171" t="s">
        <v>74</v>
      </c>
      <c r="B48" s="33">
        <f t="shared" si="0"/>
        <v>93.802816901408448</v>
      </c>
      <c r="C48" s="33">
        <f>B48*10</f>
        <v>938.02816901408448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14106.049878</v>
      </c>
      <c r="C5" s="17">
        <f>IF(ISERROR('Eigen informatie GS &amp; warmtenet'!B60),0,'Eigen informatie GS &amp; warmtenet'!B60)</f>
        <v>0</v>
      </c>
      <c r="D5" s="30">
        <f>SUM(D6:D12)</f>
        <v>26236.425766452005</v>
      </c>
      <c r="E5" s="17">
        <f>SUM(E6:E12)</f>
        <v>198.32254802499048</v>
      </c>
      <c r="F5" s="17">
        <f>SUM(F6:F12)</f>
        <v>1621.9503283269812</v>
      </c>
      <c r="G5" s="18"/>
      <c r="H5" s="17"/>
      <c r="I5" s="17"/>
      <c r="J5" s="17">
        <f>SUM(J6:J12)</f>
        <v>1.9539295907603775E-2</v>
      </c>
      <c r="K5" s="17"/>
      <c r="L5" s="17"/>
      <c r="M5" s="17"/>
      <c r="N5" s="17">
        <f>SUM(N6:N12)</f>
        <v>773.54888713786841</v>
      </c>
      <c r="O5" s="17">
        <f>B38*B39*B40</f>
        <v>9.7945215316823084</v>
      </c>
      <c r="P5" s="17">
        <f>B46*B47*B48/1000-B46*B47*B48/1000/B49</f>
        <v>52.539138306495019</v>
      </c>
      <c r="R5" s="32"/>
    </row>
    <row r="6" spans="1:18">
      <c r="A6" s="32" t="s">
        <v>53</v>
      </c>
      <c r="B6" s="37">
        <f>B26</f>
        <v>3741.097139</v>
      </c>
      <c r="C6" s="33"/>
      <c r="D6" s="37">
        <f>IF(ISERROR(TER_kantoor_gas_kWh/1000),0,TER_kantoor_gas_kWh/1000)*0.902</f>
        <v>5043.7702882380008</v>
      </c>
      <c r="E6" s="33">
        <f>$C$26*'E Balans VL '!I12/100/3.6*1000000</f>
        <v>30.103409187291518</v>
      </c>
      <c r="F6" s="33">
        <f>$C$26*('E Balans VL '!L12+'E Balans VL '!N12)/100/3.6*1000000</f>
        <v>457.38848032467354</v>
      </c>
      <c r="G6" s="34"/>
      <c r="H6" s="33"/>
      <c r="I6" s="33"/>
      <c r="J6" s="33">
        <f>$C$26*('E Balans VL '!D12+'E Balans VL '!E12)/100/3.6*1000000</f>
        <v>0</v>
      </c>
      <c r="K6" s="33"/>
      <c r="L6" s="33"/>
      <c r="M6" s="33"/>
      <c r="N6" s="33">
        <f>$C$26*'E Balans VL '!Y12/100/3.6*1000000</f>
        <v>2.0106554831183474</v>
      </c>
      <c r="O6" s="33"/>
      <c r="P6" s="33"/>
      <c r="R6" s="32"/>
    </row>
    <row r="7" spans="1:18">
      <c r="A7" s="32" t="s">
        <v>52</v>
      </c>
      <c r="B7" s="37">
        <f t="shared" ref="B7:B12" si="0">B27</f>
        <v>1477.485463</v>
      </c>
      <c r="C7" s="33"/>
      <c r="D7" s="37">
        <f>IF(ISERROR(TER_horeca_gas_kWh/1000),0,TER_horeca_gas_kWh/1000)*0.902</f>
        <v>1327.9870890000002</v>
      </c>
      <c r="E7" s="33">
        <f>$C$27*'E Balans VL '!I9/100/3.6*1000000</f>
        <v>15.864565802612068</v>
      </c>
      <c r="F7" s="33">
        <f>$C$27*('E Balans VL '!L9+'E Balans VL '!N9)/100/3.6*1000000</f>
        <v>177.70567410793097</v>
      </c>
      <c r="G7" s="34"/>
      <c r="H7" s="33"/>
      <c r="I7" s="33"/>
      <c r="J7" s="33">
        <f>$C$27*('E Balans VL '!D9+'E Balans VL '!E9)/100/3.6*1000000</f>
        <v>0</v>
      </c>
      <c r="K7" s="33"/>
      <c r="L7" s="33"/>
      <c r="M7" s="33"/>
      <c r="N7" s="33">
        <f>$C$27*'E Balans VL '!Y9/100/3.6*1000000</f>
        <v>0.22150501605744652</v>
      </c>
      <c r="O7" s="33"/>
      <c r="P7" s="33"/>
      <c r="R7" s="32"/>
    </row>
    <row r="8" spans="1:18">
      <c r="A8" s="6" t="s">
        <v>51</v>
      </c>
      <c r="B8" s="37">
        <f t="shared" si="0"/>
        <v>2797.6884360000004</v>
      </c>
      <c r="C8" s="33"/>
      <c r="D8" s="37">
        <f>IF(ISERROR(TER_handel_gas_kWh/1000),0,TER_handel_gas_kWh/1000)*0.902</f>
        <v>5940.4065280999994</v>
      </c>
      <c r="E8" s="33">
        <f>$C$28*'E Balans VL '!I13/100/3.6*1000000</f>
        <v>75.081392582180882</v>
      </c>
      <c r="F8" s="33">
        <f>$C$28*('E Balans VL '!L13+'E Balans VL '!N13)/100/3.6*1000000</f>
        <v>266.985703775339</v>
      </c>
      <c r="G8" s="34"/>
      <c r="H8" s="33"/>
      <c r="I8" s="33"/>
      <c r="J8" s="33">
        <f>$C$28*('E Balans VL '!D13+'E Balans VL '!E13)/100/3.6*1000000</f>
        <v>0</v>
      </c>
      <c r="K8" s="33"/>
      <c r="L8" s="33"/>
      <c r="M8" s="33"/>
      <c r="N8" s="33">
        <f>$C$28*'E Balans VL '!Y13/100/3.6*1000000</f>
        <v>1.1090355068263722</v>
      </c>
      <c r="O8" s="33"/>
      <c r="P8" s="33"/>
      <c r="R8" s="32"/>
    </row>
    <row r="9" spans="1:18">
      <c r="A9" s="32" t="s">
        <v>50</v>
      </c>
      <c r="B9" s="37">
        <f t="shared" si="0"/>
        <v>328.90161599999999</v>
      </c>
      <c r="C9" s="33"/>
      <c r="D9" s="37">
        <f>IF(ISERROR(TER_gezond_gas_kWh/1000),0,TER_gezond_gas_kWh/1000)*0.902</f>
        <v>4400.2484744020003</v>
      </c>
      <c r="E9" s="33">
        <f>$C$29*'E Balans VL '!I10/100/3.6*1000000</f>
        <v>0.61646872340064196</v>
      </c>
      <c r="F9" s="33">
        <f>$C$29*('E Balans VL '!L10+'E Balans VL '!N10)/100/3.6*1000000</f>
        <v>27.038713831209311</v>
      </c>
      <c r="G9" s="34"/>
      <c r="H9" s="33"/>
      <c r="I9" s="33"/>
      <c r="J9" s="33">
        <f>$C$29*('E Balans VL '!D10+'E Balans VL '!E10)/100/3.6*1000000</f>
        <v>0</v>
      </c>
      <c r="K9" s="33"/>
      <c r="L9" s="33"/>
      <c r="M9" s="33"/>
      <c r="N9" s="33">
        <f>$C$29*'E Balans VL '!Y10/100/3.6*1000000</f>
        <v>2.5590999683457203</v>
      </c>
      <c r="O9" s="33"/>
      <c r="P9" s="33"/>
      <c r="R9" s="32"/>
    </row>
    <row r="10" spans="1:18">
      <c r="A10" s="32" t="s">
        <v>49</v>
      </c>
      <c r="B10" s="37">
        <f t="shared" si="0"/>
        <v>663.71814399999994</v>
      </c>
      <c r="C10" s="33"/>
      <c r="D10" s="37">
        <f>IF(ISERROR(TER_ander_gas_kWh/1000),0,TER_ander_gas_kWh/1000)*0.902</f>
        <v>468.50591226999995</v>
      </c>
      <c r="E10" s="33">
        <f>$C$30*'E Balans VL '!I14/100/3.6*1000000</f>
        <v>1.0231282443280376</v>
      </c>
      <c r="F10" s="33">
        <f>$C$30*('E Balans VL '!L14+'E Balans VL '!N14)/100/3.6*1000000</f>
        <v>103.04242508546739</v>
      </c>
      <c r="G10" s="34"/>
      <c r="H10" s="33"/>
      <c r="I10" s="33"/>
      <c r="J10" s="33">
        <f>$C$30*('E Balans VL '!D14+'E Balans VL '!E14)/100/3.6*1000000</f>
        <v>1.1267315468014759E-2</v>
      </c>
      <c r="K10" s="33"/>
      <c r="L10" s="33"/>
      <c r="M10" s="33"/>
      <c r="N10" s="33">
        <f>$C$30*'E Balans VL '!Y14/100/3.6*1000000</f>
        <v>439.09465206356037</v>
      </c>
      <c r="O10" s="33"/>
      <c r="P10" s="33"/>
      <c r="R10" s="32"/>
    </row>
    <row r="11" spans="1:18">
      <c r="A11" s="32" t="s">
        <v>54</v>
      </c>
      <c r="B11" s="37">
        <f t="shared" si="0"/>
        <v>780.84871799999996</v>
      </c>
      <c r="C11" s="33"/>
      <c r="D11" s="37">
        <f>IF(ISERROR(TER_onderwijs_gas_kWh/1000),0,TER_onderwijs_gas_kWh/1000)*0.902</f>
        <v>1246.6920037220002</v>
      </c>
      <c r="E11" s="33">
        <f>$C$31*'E Balans VL '!I11/100/3.6*1000000</f>
        <v>19.916975549809845</v>
      </c>
      <c r="F11" s="33">
        <f>$C$31*('E Balans VL '!L11+'E Balans VL '!N11)/100/3.6*1000000</f>
        <v>93.904407967517429</v>
      </c>
      <c r="G11" s="34"/>
      <c r="H11" s="33"/>
      <c r="I11" s="33"/>
      <c r="J11" s="33">
        <f>$C$31*('E Balans VL '!D11+'E Balans VL '!E11)/100/3.6*1000000</f>
        <v>0</v>
      </c>
      <c r="K11" s="33"/>
      <c r="L11" s="33"/>
      <c r="M11" s="33"/>
      <c r="N11" s="33">
        <f>$C$31*'E Balans VL '!Y11/100/3.6*1000000</f>
        <v>1.736588495959108</v>
      </c>
      <c r="O11" s="33"/>
      <c r="P11" s="33"/>
      <c r="R11" s="32"/>
    </row>
    <row r="12" spans="1:18">
      <c r="A12" s="32" t="s">
        <v>259</v>
      </c>
      <c r="B12" s="37">
        <f t="shared" si="0"/>
        <v>4316.3103620000002</v>
      </c>
      <c r="C12" s="33"/>
      <c r="D12" s="37">
        <f>IF(ISERROR(TER_rest_gas_kWh/1000),0,TER_rest_gas_kWh/1000)*0.902</f>
        <v>7808.8154707200001</v>
      </c>
      <c r="E12" s="33">
        <f>$C$32*'E Balans VL '!I8/100/3.6*1000000</f>
        <v>55.716607935367499</v>
      </c>
      <c r="F12" s="33">
        <f>$C$32*('E Balans VL '!L8+'E Balans VL '!N8)/100/3.6*1000000</f>
        <v>495.88492323484343</v>
      </c>
      <c r="G12" s="34"/>
      <c r="H12" s="33"/>
      <c r="I12" s="33"/>
      <c r="J12" s="33">
        <f>$C$32*('E Balans VL '!D8+'E Balans VL '!E8)/100/3.6*1000000</f>
        <v>8.2719804395890162E-3</v>
      </c>
      <c r="K12" s="33"/>
      <c r="L12" s="33"/>
      <c r="M12" s="33"/>
      <c r="N12" s="33">
        <f>$C$32*'E Balans VL '!Y8/100/3.6*1000000</f>
        <v>326.81735060400104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14106.049878</v>
      </c>
      <c r="C16" s="21">
        <f t="shared" ca="1" si="1"/>
        <v>0</v>
      </c>
      <c r="D16" s="21">
        <f t="shared" ca="1" si="1"/>
        <v>26236.425766452005</v>
      </c>
      <c r="E16" s="21">
        <f t="shared" si="1"/>
        <v>198.32254802499048</v>
      </c>
      <c r="F16" s="21">
        <f t="shared" ca="1" si="1"/>
        <v>1621.9503283269812</v>
      </c>
      <c r="G16" s="21">
        <f t="shared" si="1"/>
        <v>0</v>
      </c>
      <c r="H16" s="21">
        <f t="shared" si="1"/>
        <v>0</v>
      </c>
      <c r="I16" s="21">
        <f t="shared" si="1"/>
        <v>0</v>
      </c>
      <c r="J16" s="21">
        <f t="shared" si="1"/>
        <v>1.9539295907603775E-2</v>
      </c>
      <c r="K16" s="21">
        <f t="shared" si="1"/>
        <v>0</v>
      </c>
      <c r="L16" s="21">
        <f t="shared" ca="1" si="1"/>
        <v>0</v>
      </c>
      <c r="M16" s="21">
        <f t="shared" si="1"/>
        <v>0</v>
      </c>
      <c r="N16" s="21">
        <f t="shared" ca="1" si="1"/>
        <v>773.54888713786841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0.13788501744001069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1945.0129334376907</v>
      </c>
      <c r="C20" s="23">
        <f t="shared" ref="C20:P20" ca="1" si="2">C16*C18</f>
        <v>0</v>
      </c>
      <c r="D20" s="23">
        <f t="shared" ca="1" si="2"/>
        <v>5299.7580048233049</v>
      </c>
      <c r="E20" s="23">
        <f t="shared" si="2"/>
        <v>45.019218401672838</v>
      </c>
      <c r="F20" s="23">
        <f t="shared" ca="1" si="2"/>
        <v>433.060737663304</v>
      </c>
      <c r="G20" s="23">
        <f t="shared" si="2"/>
        <v>0</v>
      </c>
      <c r="H20" s="23">
        <f t="shared" si="2"/>
        <v>0</v>
      </c>
      <c r="I20" s="23">
        <f t="shared" si="2"/>
        <v>0</v>
      </c>
      <c r="J20" s="23">
        <f t="shared" si="2"/>
        <v>6.9169107512917364E-3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3741.097139</v>
      </c>
      <c r="C26" s="39">
        <f>IF(ISERROR(B26*3.6/1000000/'E Balans VL '!Z12*100),0,B26*3.6/1000000/'E Balans VL '!Z12*100)</f>
        <v>7.9363953093045253E-2</v>
      </c>
      <c r="D26" s="237" t="s">
        <v>716</v>
      </c>
      <c r="F26" s="6"/>
    </row>
    <row r="27" spans="1:18">
      <c r="A27" s="231" t="s">
        <v>52</v>
      </c>
      <c r="B27" s="33">
        <f>IF(ISERROR(TER_horeca_ele_kWh/1000),0,TER_horeca_ele_kWh/1000)</f>
        <v>1477.485463</v>
      </c>
      <c r="C27" s="39">
        <f>IF(ISERROR(B27*3.6/1000000/'E Balans VL '!Z9*100),0,B27*3.6/1000000/'E Balans VL '!Z9*100)</f>
        <v>0.11126774367856272</v>
      </c>
      <c r="D27" s="237" t="s">
        <v>716</v>
      </c>
      <c r="F27" s="6"/>
    </row>
    <row r="28" spans="1:18">
      <c r="A28" s="171" t="s">
        <v>51</v>
      </c>
      <c r="B28" s="33">
        <f>IF(ISERROR(TER_handel_ele_kWh/1000),0,TER_handel_ele_kWh/1000)</f>
        <v>2797.6884360000004</v>
      </c>
      <c r="C28" s="39">
        <f>IF(ISERROR(B28*3.6/1000000/'E Balans VL '!Z13*100),0,B28*3.6/1000000/'E Balans VL '!Z13*100)</f>
        <v>8.1206982313522413E-2</v>
      </c>
      <c r="D28" s="237" t="s">
        <v>716</v>
      </c>
      <c r="F28" s="6"/>
    </row>
    <row r="29" spans="1:18">
      <c r="A29" s="231" t="s">
        <v>50</v>
      </c>
      <c r="B29" s="33">
        <f>IF(ISERROR(TER_gezond_ele_kWh/1000),0,TER_gezond_ele_kWh/1000)</f>
        <v>328.90161599999999</v>
      </c>
      <c r="C29" s="39">
        <f>IF(ISERROR(B29*3.6/1000000/'E Balans VL '!Z10*100),0,B29*3.6/1000000/'E Balans VL '!Z10*100)</f>
        <v>3.3170120204752303E-2</v>
      </c>
      <c r="D29" s="237" t="s">
        <v>716</v>
      </c>
      <c r="F29" s="6"/>
    </row>
    <row r="30" spans="1:18">
      <c r="A30" s="231" t="s">
        <v>49</v>
      </c>
      <c r="B30" s="33">
        <f>IF(ISERROR(TER_ander_ele_kWh/1000),0,TER_ander_ele_kWh/1000)</f>
        <v>663.71814399999994</v>
      </c>
      <c r="C30" s="39">
        <f>IF(ISERROR(B30*3.6/1000000/'E Balans VL '!Z14*100),0,B30*3.6/1000000/'E Balans VL '!Z14*100)</f>
        <v>4.8161806122923319E-2</v>
      </c>
      <c r="D30" s="237" t="s">
        <v>716</v>
      </c>
      <c r="F30" s="6"/>
    </row>
    <row r="31" spans="1:18">
      <c r="A31" s="231" t="s">
        <v>54</v>
      </c>
      <c r="B31" s="33">
        <f>IF(ISERROR(TER_onderwijs_ele_kWh/1000),0,TER_onderwijs_ele_kWh/1000)</f>
        <v>780.84871799999996</v>
      </c>
      <c r="C31" s="39">
        <f>IF(ISERROR(B31*3.6/1000000/'E Balans VL '!Z11*100),0,B31*3.6/1000000/'E Balans VL '!Z11*100)</f>
        <v>0.22257368227041038</v>
      </c>
      <c r="D31" s="237" t="s">
        <v>716</v>
      </c>
    </row>
    <row r="32" spans="1:18">
      <c r="A32" s="231" t="s">
        <v>259</v>
      </c>
      <c r="B32" s="33">
        <f>IF(ISERROR(TER_rest_ele_kWh/1000),0,TER_rest_ele_kWh/1000)</f>
        <v>4316.3103620000002</v>
      </c>
      <c r="C32" s="39">
        <f>IF(ISERROR(B32*3.6/1000000/'E Balans VL '!Z8*100),0,B32*3.6/1000000/'E Balans VL '!Z8*100)</f>
        <v>3.5358335294245112E-2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5822.790712</v>
      </c>
      <c r="C5" s="17">
        <f>IF(ISERROR('Eigen informatie GS &amp; warmtenet'!B61),0,'Eigen informatie GS &amp; warmtenet'!B61)</f>
        <v>0</v>
      </c>
      <c r="D5" s="30">
        <f>SUM(D6:D15)</f>
        <v>8040.5285603719994</v>
      </c>
      <c r="E5" s="17">
        <f>SUM(E6:E15)</f>
        <v>444.00731602569283</v>
      </c>
      <c r="F5" s="17">
        <f>SUM(F6:F15)</f>
        <v>1532.2694940150889</v>
      </c>
      <c r="G5" s="18"/>
      <c r="H5" s="17"/>
      <c r="I5" s="17"/>
      <c r="J5" s="17">
        <f>SUM(J6:J15)</f>
        <v>9.3940648299420282</v>
      </c>
      <c r="K5" s="17"/>
      <c r="L5" s="17"/>
      <c r="M5" s="17"/>
      <c r="N5" s="17">
        <f>SUM(N6:N15)</f>
        <v>334.31984109580338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82.280597999999998</v>
      </c>
      <c r="C8" s="33"/>
      <c r="D8" s="37">
        <f>IF( ISERROR(IND_metaal_Gas_kWH/1000),0,IND_metaal_Gas_kWH/1000)*0.902</f>
        <v>0</v>
      </c>
      <c r="E8" s="33">
        <f>C30*'E Balans VL '!I18/100/3.6*1000000</f>
        <v>0.59359676464904132</v>
      </c>
      <c r="F8" s="33">
        <f>C30*'E Balans VL '!L18/100/3.6*1000000+C30*'E Balans VL '!N18/100/3.6*1000000</f>
        <v>7.7822274228494184</v>
      </c>
      <c r="G8" s="34"/>
      <c r="H8" s="33"/>
      <c r="I8" s="33"/>
      <c r="J8" s="40">
        <f>C30*'E Balans VL '!D18/100/3.6*1000000+C30*'E Balans VL '!E18/100/3.6*1000000</f>
        <v>8.2758303617256168E-2</v>
      </c>
      <c r="K8" s="33"/>
      <c r="L8" s="33"/>
      <c r="M8" s="33"/>
      <c r="N8" s="33">
        <f>C30*'E Balans VL '!Y18/100/3.6*1000000</f>
        <v>1.0402444516902538</v>
      </c>
      <c r="O8" s="33"/>
      <c r="P8" s="33"/>
      <c r="R8" s="32"/>
    </row>
    <row r="9" spans="1:18">
      <c r="A9" s="6" t="s">
        <v>32</v>
      </c>
      <c r="B9" s="37">
        <f t="shared" si="0"/>
        <v>1399.8166389999999</v>
      </c>
      <c r="C9" s="33"/>
      <c r="D9" s="37">
        <f>IF( ISERROR(IND_andere_gas_kWh/1000),0,IND_andere_gas_kWh/1000)*0.902</f>
        <v>1536.5935391180001</v>
      </c>
      <c r="E9" s="33">
        <f>C31*'E Balans VL '!I19/100/3.6*1000000</f>
        <v>387.90790856038285</v>
      </c>
      <c r="F9" s="33">
        <f>C31*'E Balans VL '!L19/100/3.6*1000000+C31*'E Balans VL '!N19/100/3.6*1000000</f>
        <v>1160.1710554302706</v>
      </c>
      <c r="G9" s="34"/>
      <c r="H9" s="33"/>
      <c r="I9" s="33"/>
      <c r="J9" s="40">
        <f>C31*'E Balans VL '!D19/100/3.6*1000000+C31*'E Balans VL '!E19/100/3.6*1000000</f>
        <v>0</v>
      </c>
      <c r="K9" s="33"/>
      <c r="L9" s="33"/>
      <c r="M9" s="33"/>
      <c r="N9" s="33">
        <f>C31*'E Balans VL '!Y19/100/3.6*1000000</f>
        <v>101.60956638034914</v>
      </c>
      <c r="O9" s="33"/>
      <c r="P9" s="33"/>
      <c r="R9" s="32"/>
    </row>
    <row r="10" spans="1:18">
      <c r="A10" s="6" t="s">
        <v>40</v>
      </c>
      <c r="B10" s="37">
        <f t="shared" si="0"/>
        <v>3283.686573</v>
      </c>
      <c r="C10" s="33"/>
      <c r="D10" s="37">
        <f>IF( ISERROR(IND_voed_gas_kWh/1000),0,IND_voed_gas_kWh/1000)*0.902</f>
        <v>5766.27241091</v>
      </c>
      <c r="E10" s="33">
        <f>C32*'E Balans VL '!I20/100/3.6*1000000</f>
        <v>5.813237490162189</v>
      </c>
      <c r="F10" s="33">
        <f>C32*'E Balans VL '!L20/100/3.6*1000000+C32*'E Balans VL '!N20/100/3.6*1000000</f>
        <v>177.34817799503784</v>
      </c>
      <c r="G10" s="34"/>
      <c r="H10" s="33"/>
      <c r="I10" s="33"/>
      <c r="J10" s="40">
        <f>C32*'E Balans VL '!D20/100/3.6*1000000+C32*'E Balans VL '!E20/100/3.6*1000000</f>
        <v>0</v>
      </c>
      <c r="K10" s="33"/>
      <c r="L10" s="33"/>
      <c r="M10" s="33"/>
      <c r="N10" s="33">
        <f>C32*'E Balans VL '!Y20/100/3.6*1000000</f>
        <v>190.80726771815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5.7259409999999997</v>
      </c>
      <c r="C13" s="33"/>
      <c r="D13" s="37">
        <f>IF( ISERROR(IND_papier_gas_kWh/1000),0,IND_papier_gas_kWh/1000)*0.902</f>
        <v>48.933953705999997</v>
      </c>
      <c r="E13" s="33">
        <f>C35*'E Balans VL '!I23/100/3.6*1000000</f>
        <v>8.4248253856288279E-3</v>
      </c>
      <c r="F13" s="33">
        <f>C35*'E Balans VL '!L23/100/3.6*1000000+C35*'E Balans VL '!N23/100/3.6*1000000</f>
        <v>6.1309405445682093E-2</v>
      </c>
      <c r="G13" s="34"/>
      <c r="H13" s="33"/>
      <c r="I13" s="33"/>
      <c r="J13" s="40">
        <f>C35*'E Balans VL '!D23/100/3.6*1000000+C35*'E Balans VL '!E23/100/3.6*1000000</f>
        <v>0.62645005479687021</v>
      </c>
      <c r="K13" s="33"/>
      <c r="L13" s="33"/>
      <c r="M13" s="33"/>
      <c r="N13" s="33">
        <f>C35*'E Balans VL '!Y23/100/3.6*1000000</f>
        <v>-5.1872119086210623E-2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1051.2809609999999</v>
      </c>
      <c r="C15" s="33"/>
      <c r="D15" s="37">
        <f>IF( ISERROR(IND_rest_gas_kWh/1000),0,IND_rest_gas_kWh/1000)*0.902</f>
        <v>688.72865663800007</v>
      </c>
      <c r="E15" s="33">
        <f>C37*'E Balans VL '!I15/100/3.6*1000000</f>
        <v>49.684148385113133</v>
      </c>
      <c r="F15" s="33">
        <f>C37*'E Balans VL '!L15/100/3.6*1000000+C37*'E Balans VL '!N15/100/3.6*1000000</f>
        <v>186.90672376148547</v>
      </c>
      <c r="G15" s="34"/>
      <c r="H15" s="33"/>
      <c r="I15" s="33"/>
      <c r="J15" s="40">
        <f>C37*'E Balans VL '!D15/100/3.6*1000000+C37*'E Balans VL '!E15/100/3.6*1000000</f>
        <v>8.6848564715279011</v>
      </c>
      <c r="K15" s="33"/>
      <c r="L15" s="33"/>
      <c r="M15" s="33"/>
      <c r="N15" s="33">
        <f>C37*'E Balans VL '!Y15/100/3.6*1000000</f>
        <v>40.914634664700209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5822.790712</v>
      </c>
      <c r="C18" s="21">
        <f>C5+C16</f>
        <v>0</v>
      </c>
      <c r="D18" s="21">
        <f>MAX((D5+D16),0)</f>
        <v>8040.5285603719994</v>
      </c>
      <c r="E18" s="21">
        <f>MAX((E5+E16),0)</f>
        <v>444.00731602569283</v>
      </c>
      <c r="F18" s="21">
        <f>MAX((F5+F16),0)</f>
        <v>1532.2694940150889</v>
      </c>
      <c r="G18" s="21"/>
      <c r="H18" s="21"/>
      <c r="I18" s="21"/>
      <c r="J18" s="21">
        <f>MAX((J5+J16),0)</f>
        <v>9.3940648299420282</v>
      </c>
      <c r="K18" s="21"/>
      <c r="L18" s="21">
        <f>MAX((L5+L16),0)</f>
        <v>0</v>
      </c>
      <c r="M18" s="21"/>
      <c r="N18" s="21">
        <f>MAX((N5+N16),0)</f>
        <v>334.31984109580338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0.13788501744001069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802.87559887365228</v>
      </c>
      <c r="C22" s="23">
        <f ca="1">C18*C20</f>
        <v>0</v>
      </c>
      <c r="D22" s="23">
        <f>D18*D20</f>
        <v>1624.1867691951441</v>
      </c>
      <c r="E22" s="23">
        <f>E18*E20</f>
        <v>100.78966073783228</v>
      </c>
      <c r="F22" s="23">
        <f>F18*F20</f>
        <v>409.11595490202876</v>
      </c>
      <c r="G22" s="23"/>
      <c r="H22" s="23"/>
      <c r="I22" s="23"/>
      <c r="J22" s="23">
        <f>J18*J20</f>
        <v>3.3254989497994778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82.280597999999998</v>
      </c>
      <c r="C30" s="39">
        <f>IF(ISERROR(B30*3.6/1000000/'E Balans VL '!Z18*100),0,B30*3.6/1000000/'E Balans VL '!Z18*100)</f>
        <v>4.7499305362008063E-3</v>
      </c>
      <c r="D30" s="237" t="s">
        <v>716</v>
      </c>
    </row>
    <row r="31" spans="1:18">
      <c r="A31" s="6" t="s">
        <v>32</v>
      </c>
      <c r="B31" s="37">
        <f>IF( ISERROR(IND_ander_ele_kWh/1000),0,IND_ander_ele_kWh/1000)</f>
        <v>1399.8166389999999</v>
      </c>
      <c r="C31" s="39">
        <f>IF(ISERROR(B31*3.6/1000000/'E Balans VL '!Z19*100),0,B31*3.6/1000000/'E Balans VL '!Z19*100)</f>
        <v>7.0406239611754518E-2</v>
      </c>
      <c r="D31" s="237" t="s">
        <v>716</v>
      </c>
    </row>
    <row r="32" spans="1:18">
      <c r="A32" s="171" t="s">
        <v>40</v>
      </c>
      <c r="B32" s="37">
        <f>IF( ISERROR(IND_voed_ele_kWh/1000),0,IND_voed_ele_kWh/1000)</f>
        <v>3283.686573</v>
      </c>
      <c r="C32" s="39">
        <f>IF(ISERROR(B32*3.6/1000000/'E Balans VL '!Z20*100),0,B32*3.6/1000000/'E Balans VL '!Z20*100)</f>
        <v>0.10936626222640507</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5.7259409999999997</v>
      </c>
      <c r="C35" s="39">
        <f>IF(ISERROR(B35*3.6/1000000/'E Balans VL '!Z22*100),0,B35*3.6/1000000/'E Balans VL '!Z22*100)</f>
        <v>1.0680813979346659E-3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1051.2809609999999</v>
      </c>
      <c r="C37" s="39">
        <f>IF(ISERROR(B37*3.6/1000000/'E Balans VL '!Z15*100),0,B37*3.6/1000000/'E Balans VL '!Z15*100)</f>
        <v>8.2028663615086733E-3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189.14519300000001</v>
      </c>
      <c r="C5" s="17">
        <f>'Eigen informatie GS &amp; warmtenet'!B62</f>
        <v>0</v>
      </c>
      <c r="D5" s="30">
        <f>IF(ISERROR(SUM(LB_lb_gas_kWh,LB_rest_gas_kWh)/1000),0,SUM(LB_lb_gas_kWh,LB_rest_gas_kWh)/1000)*0.902</f>
        <v>918.71821821999993</v>
      </c>
      <c r="E5" s="17">
        <f>B17*'E Balans VL '!I25/3.6*1000000/100</f>
        <v>5.9031591011400977</v>
      </c>
      <c r="F5" s="17">
        <f>B17*('E Balans VL '!L25/3.6*1000000+'E Balans VL '!N25/3.6*1000000)/100</f>
        <v>668.46006500125407</v>
      </c>
      <c r="G5" s="18"/>
      <c r="H5" s="17"/>
      <c r="I5" s="17"/>
      <c r="J5" s="17">
        <f>('E Balans VL '!D25+'E Balans VL '!E25)/3.6*1000000*landbouw!B17/100</f>
        <v>52.110812381917704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189.14519300000001</v>
      </c>
      <c r="C8" s="21">
        <f>C5+C6</f>
        <v>0</v>
      </c>
      <c r="D8" s="21">
        <f>MAX((D5+D6),0)</f>
        <v>918.71821821999993</v>
      </c>
      <c r="E8" s="21">
        <f>MAX((E5+E6),0)</f>
        <v>5.9031591011400977</v>
      </c>
      <c r="F8" s="21">
        <f>MAX((F5+F6),0)</f>
        <v>668.46006500125407</v>
      </c>
      <c r="G8" s="21"/>
      <c r="H8" s="21"/>
      <c r="I8" s="21"/>
      <c r="J8" s="21">
        <f>MAX((J5+J6),0)</f>
        <v>52.110812381917704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0.13788501744001069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26.080288235499189</v>
      </c>
      <c r="C12" s="23">
        <f ca="1">C8*C10</f>
        <v>0</v>
      </c>
      <c r="D12" s="23">
        <f>D8*D10</f>
        <v>185.58108008043999</v>
      </c>
      <c r="E12" s="23">
        <f>E8*E10</f>
        <v>1.3400171159588021</v>
      </c>
      <c r="F12" s="23">
        <f>F8*F10</f>
        <v>178.47883735533483</v>
      </c>
      <c r="G12" s="23"/>
      <c r="H12" s="23"/>
      <c r="I12" s="23"/>
      <c r="J12" s="23">
        <f>J8*J10</f>
        <v>18.447227583198867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2.8117788860629229E-2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65.505061485788758</v>
      </c>
      <c r="C26" s="247">
        <f>B26*'GWP N2O_CH4'!B5</f>
        <v>1375.6062912015639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18.93403993680425</v>
      </c>
      <c r="C27" s="247">
        <f>B27*'GWP N2O_CH4'!B5</f>
        <v>397.61483867288928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0.72461128453326507</v>
      </c>
      <c r="C28" s="247">
        <f>B28*'GWP N2O_CH4'!B4</f>
        <v>224.62949820531216</v>
      </c>
      <c r="D28" s="50"/>
    </row>
    <row r="29" spans="1:4">
      <c r="A29" s="41" t="s">
        <v>276</v>
      </c>
      <c r="B29" s="247">
        <f>B34*'ha_N2O bodem landbouw'!B4</f>
        <v>3.2363008786630481</v>
      </c>
      <c r="C29" s="247">
        <f>B29*'GWP N2O_CH4'!B4</f>
        <v>1003.2532723855448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7.0966251440363786E-4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4.8380538663000001E-4</v>
      </c>
      <c r="C5" s="463" t="s">
        <v>210</v>
      </c>
      <c r="D5" s="448">
        <f>SUM(D6:D11)</f>
        <v>1.785558980715524E-3</v>
      </c>
      <c r="E5" s="448">
        <f>SUM(E6:E11)</f>
        <v>1.6782434116130998E-3</v>
      </c>
      <c r="F5" s="461" t="s">
        <v>210</v>
      </c>
      <c r="G5" s="448">
        <f>SUM(G6:G11)</f>
        <v>0.66550571534275849</v>
      </c>
      <c r="H5" s="448">
        <f>SUM(H6:H11)</f>
        <v>0.13838269764384109</v>
      </c>
      <c r="I5" s="463" t="s">
        <v>210</v>
      </c>
      <c r="J5" s="463" t="s">
        <v>210</v>
      </c>
      <c r="K5" s="463" t="s">
        <v>210</v>
      </c>
      <c r="L5" s="463" t="s">
        <v>210</v>
      </c>
      <c r="M5" s="448">
        <f>SUM(M6:M11)</f>
        <v>4.7467648339811742E-2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7.2864011270000001E-5</v>
      </c>
      <c r="C6" s="449"/>
      <c r="D6" s="917">
        <f>vkm_2011_GW_PW*SUMIFS(TableVerdeelsleutelVkm[CNG],TableVerdeelsleutelVkm[Voertuigtype],"Lichte voertuigen")*SUMIFS(TableECFTransport[EnergieConsumptieFactor (PJ per km)],TableECFTransport[Index],CONCATENATE($A6,"_CNG_CNG"))</f>
        <v>2.53360578293592E-4</v>
      </c>
      <c r="E6" s="917">
        <f>vkm_2011_GW_PW*SUMIFS(TableVerdeelsleutelVkm[LPG],TableVerdeelsleutelVkm[Voertuigtype],"Lichte voertuigen")*SUMIFS(TableECFTransport[EnergieConsumptieFactor (PJ per km)],TableECFTransport[Index],CONCATENATE($A6,"_LPG_LPG"))</f>
        <v>1.996063932264E-4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5.4335181147742946E-2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1.9013704543792243E-2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4.3830569433489395E-3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3.284134504316772E-2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8.2737931240543833E-6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1.8937345586960566E-3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1.5611435495E-5</v>
      </c>
      <c r="C8" s="449"/>
      <c r="D8" s="451">
        <f>vkm_2011_NGW_PW*SUMIFS(TableVerdeelsleutelVkm[CNG],TableVerdeelsleutelVkm[Voertuigtype],"Lichte voertuigen")*SUMIFS(TableECFTransport[EnergieConsumptieFactor (PJ per km)],TableECFTransport[Index],CONCATENATE($A8,"_CNG_CNG"))</f>
        <v>9.6068062656719998E-5</v>
      </c>
      <c r="E8" s="451">
        <f>vkm_2011_NGW_PW*SUMIFS(TableVerdeelsleutelVkm[LPG],TableVerdeelsleutelVkm[Voertuigtype],"Lichte voertuigen")*SUMIFS(TableECFTransport[EnergieConsumptieFactor (PJ per km)],TableECFTransport[Index],CONCATENATE($A8,"_LPG_LPG"))</f>
        <v>7.0165417161025006E-5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1.7724071577481102E-2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7.0250194541403741E-3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1.4838742005192519E-3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7.1176638174623294E-3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1.6919529582117937E-6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4.1042007433114816E-4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3.9532993986499999E-4</v>
      </c>
      <c r="C10" s="449"/>
      <c r="D10" s="451">
        <f>vkm_2011_SW_PW*SUMIFS(TableVerdeelsleutelVkm[CNG],TableVerdeelsleutelVkm[Voertuigtype],"Lichte voertuigen")*SUMIFS(TableECFTransport[EnergieConsumptieFactor (PJ per km)],TableECFTransport[Index],CONCATENATE($A10,"_CNG_CNG"))</f>
        <v>1.4361303397652121E-3</v>
      </c>
      <c r="E10" s="451">
        <f>vkm_2011_SW_PW*SUMIFS(TableVerdeelsleutelVkm[LPG],TableVerdeelsleutelVkm[Voertuigtype],"Lichte voertuigen")*SUMIFS(TableECFTransport[EnergieConsumptieFactor (PJ per km)],TableECFTransport[Index],CONCATENATE($A10,"_LPG_LPG"))</f>
        <v>1.4084716012256748E-3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0.34057595043758659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0.11227591230452745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2.7019126939142418E-2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0.21291150331931782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5.809559529875947E-5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1.227743562377393E-2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134.39038517500001</v>
      </c>
      <c r="C14" s="21"/>
      <c r="D14" s="21">
        <f t="shared" ref="D14:M14" si="0">((D5)*10^9/3600)+D12</f>
        <v>495.98860575431223</v>
      </c>
      <c r="E14" s="21">
        <f t="shared" si="0"/>
        <v>466.17872544808324</v>
      </c>
      <c r="F14" s="21"/>
      <c r="G14" s="21">
        <f t="shared" si="0"/>
        <v>184862.69870632183</v>
      </c>
      <c r="H14" s="21">
        <f t="shared" si="0"/>
        <v>38439.6382344003</v>
      </c>
      <c r="I14" s="21"/>
      <c r="J14" s="21"/>
      <c r="K14" s="21"/>
      <c r="L14" s="21"/>
      <c r="M14" s="21">
        <f t="shared" si="0"/>
        <v>13185.457872169929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0.13788501744001069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18.530420603624631</v>
      </c>
      <c r="C18" s="23"/>
      <c r="D18" s="23">
        <f t="shared" ref="D18:M18" si="1">D14*D16</f>
        <v>100.18969836237108</v>
      </c>
      <c r="E18" s="23">
        <f t="shared" si="1"/>
        <v>105.8225706767149</v>
      </c>
      <c r="F18" s="23"/>
      <c r="G18" s="23">
        <f t="shared" si="1"/>
        <v>49358.340554587929</v>
      </c>
      <c r="H18" s="23">
        <f t="shared" si="1"/>
        <v>9571.4699203656746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1.29512871E-3</v>
      </c>
      <c r="C50" s="321">
        <f t="shared" ref="C50:P50" si="2">SUM(C51:C52)</f>
        <v>0</v>
      </c>
      <c r="D50" s="321">
        <f t="shared" si="2"/>
        <v>0</v>
      </c>
      <c r="E50" s="321">
        <f t="shared" si="2"/>
        <v>0</v>
      </c>
      <c r="F50" s="321">
        <f t="shared" si="2"/>
        <v>0</v>
      </c>
      <c r="G50" s="321">
        <f t="shared" si="2"/>
        <v>3.5050981498669876E-3</v>
      </c>
      <c r="H50" s="321">
        <f t="shared" si="2"/>
        <v>0</v>
      </c>
      <c r="I50" s="321">
        <f t="shared" si="2"/>
        <v>0</v>
      </c>
      <c r="J50" s="321">
        <f t="shared" si="2"/>
        <v>0</v>
      </c>
      <c r="K50" s="321">
        <f t="shared" si="2"/>
        <v>0</v>
      </c>
      <c r="L50" s="321">
        <f t="shared" si="2"/>
        <v>0</v>
      </c>
      <c r="M50" s="321">
        <f t="shared" si="2"/>
        <v>1.9481374298741268E-4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3.5050981498669876E-3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1.9481374298741268E-4</v>
      </c>
      <c r="N51" s="323"/>
      <c r="O51" s="323"/>
      <c r="P51" s="326"/>
    </row>
    <row r="52" spans="1:18">
      <c r="A52" s="4" t="s">
        <v>329</v>
      </c>
      <c r="B52" s="918">
        <f>vkm_2011_tram*SUMIFS(TableECFTransport[EnergieConsumptieFactor (PJ per km)],TableECFTransport[Index],"Tram_gemiddeld_Electric_Electric")</f>
        <v>1.29512871E-3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359.75797499999999</v>
      </c>
      <c r="C54" s="21">
        <f t="shared" ref="C54:P54" si="3">(C50)*10^9/3600</f>
        <v>0</v>
      </c>
      <c r="D54" s="21">
        <f t="shared" si="3"/>
        <v>0</v>
      </c>
      <c r="E54" s="21">
        <f t="shared" si="3"/>
        <v>0</v>
      </c>
      <c r="F54" s="21">
        <f t="shared" si="3"/>
        <v>0</v>
      </c>
      <c r="G54" s="21">
        <f t="shared" si="3"/>
        <v>973.63837496305212</v>
      </c>
      <c r="H54" s="21">
        <f t="shared" si="3"/>
        <v>0</v>
      </c>
      <c r="I54" s="21">
        <f t="shared" si="3"/>
        <v>0</v>
      </c>
      <c r="J54" s="21">
        <f t="shared" si="3"/>
        <v>0</v>
      </c>
      <c r="K54" s="21">
        <f t="shared" si="3"/>
        <v>0</v>
      </c>
      <c r="L54" s="21">
        <f t="shared" si="3"/>
        <v>0</v>
      </c>
      <c r="M54" s="21">
        <f t="shared" si="3"/>
        <v>54.11492860761463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0.13788501744001069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49.605234657057927</v>
      </c>
      <c r="C58" s="23">
        <f t="shared" ref="C58:P58" ca="1" si="4">C54*C56</f>
        <v>0</v>
      </c>
      <c r="D58" s="23">
        <f t="shared" si="4"/>
        <v>0</v>
      </c>
      <c r="E58" s="23">
        <f t="shared" si="4"/>
        <v>0</v>
      </c>
      <c r="F58" s="23">
        <f t="shared" si="4"/>
        <v>0</v>
      </c>
      <c r="G58" s="23">
        <f t="shared" si="4"/>
        <v>259.96144611513495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14977.315877999999</v>
      </c>
      <c r="D10" s="712">
        <f ca="1">tertiair!C16</f>
        <v>0</v>
      </c>
      <c r="E10" s="712">
        <f ca="1">tertiair!D16</f>
        <v>26236.425766452005</v>
      </c>
      <c r="F10" s="712">
        <f>tertiair!E16</f>
        <v>198.32254802499048</v>
      </c>
      <c r="G10" s="712">
        <f ca="1">tertiair!F16</f>
        <v>1621.9503283269812</v>
      </c>
      <c r="H10" s="712">
        <f>tertiair!G16</f>
        <v>0</v>
      </c>
      <c r="I10" s="712">
        <f>tertiair!H16</f>
        <v>0</v>
      </c>
      <c r="J10" s="712">
        <f>tertiair!I16</f>
        <v>0</v>
      </c>
      <c r="K10" s="712">
        <f>tertiair!J16</f>
        <v>1.9539295907603775E-2</v>
      </c>
      <c r="L10" s="712">
        <f>tertiair!K16</f>
        <v>0</v>
      </c>
      <c r="M10" s="712">
        <f ca="1">tertiair!L16</f>
        <v>0</v>
      </c>
      <c r="N10" s="712">
        <f>tertiair!M16</f>
        <v>0</v>
      </c>
      <c r="O10" s="712">
        <f ca="1">tertiair!N16</f>
        <v>773.54888713786841</v>
      </c>
      <c r="P10" s="712">
        <f>tertiair!O16</f>
        <v>9.7945215316823084</v>
      </c>
      <c r="Q10" s="713">
        <f>tertiair!P16</f>
        <v>52.539138306495019</v>
      </c>
      <c r="R10" s="715">
        <f ca="1">SUM(C10:Q10)</f>
        <v>43869.916607075924</v>
      </c>
      <c r="S10" s="67"/>
    </row>
    <row r="11" spans="1:19" s="474" customFormat="1">
      <c r="A11" s="834" t="s">
        <v>224</v>
      </c>
      <c r="B11" s="839"/>
      <c r="C11" s="712">
        <f>huishoudens!B8</f>
        <v>20133.963770008952</v>
      </c>
      <c r="D11" s="712">
        <f>huishoudens!C8</f>
        <v>0</v>
      </c>
      <c r="E11" s="712">
        <f>huishoudens!D8</f>
        <v>52489.520662480005</v>
      </c>
      <c r="F11" s="712">
        <f>huishoudens!E8</f>
        <v>1760.7706616836244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6359.1162805782797</v>
      </c>
      <c r="P11" s="712">
        <f>huishoudens!O8</f>
        <v>267.83435961724928</v>
      </c>
      <c r="Q11" s="713">
        <f>huishoudens!P8</f>
        <v>326.5527385382357</v>
      </c>
      <c r="R11" s="715">
        <f>SUM(C11:Q11)</f>
        <v>81337.758472906338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5822.790712</v>
      </c>
      <c r="D13" s="712">
        <f>industrie!C18</f>
        <v>0</v>
      </c>
      <c r="E13" s="712">
        <f>industrie!D18</f>
        <v>8040.5285603719994</v>
      </c>
      <c r="F13" s="712">
        <f>industrie!E18</f>
        <v>444.00731602569283</v>
      </c>
      <c r="G13" s="712">
        <f>industrie!F18</f>
        <v>1532.2694940150889</v>
      </c>
      <c r="H13" s="712">
        <f>industrie!G18</f>
        <v>0</v>
      </c>
      <c r="I13" s="712">
        <f>industrie!H18</f>
        <v>0</v>
      </c>
      <c r="J13" s="712">
        <f>industrie!I18</f>
        <v>0</v>
      </c>
      <c r="K13" s="712">
        <f>industrie!J18</f>
        <v>9.3940648299420282</v>
      </c>
      <c r="L13" s="712">
        <f>industrie!K18</f>
        <v>0</v>
      </c>
      <c r="M13" s="712">
        <f>industrie!L18</f>
        <v>0</v>
      </c>
      <c r="N13" s="712">
        <f>industrie!M18</f>
        <v>0</v>
      </c>
      <c r="O13" s="712">
        <f>industrie!N18</f>
        <v>334.31984109580338</v>
      </c>
      <c r="P13" s="712">
        <f>industrie!O18</f>
        <v>0</v>
      </c>
      <c r="Q13" s="713">
        <f>industrie!P18</f>
        <v>0</v>
      </c>
      <c r="R13" s="715">
        <f>SUM(C13:Q13)</f>
        <v>16183.309988338524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40934.070360008955</v>
      </c>
      <c r="D16" s="748">
        <f t="shared" ref="D16:R16" ca="1" si="0">SUM(D9:D15)</f>
        <v>0</v>
      </c>
      <c r="E16" s="748">
        <f t="shared" ca="1" si="0"/>
        <v>86766.474989304013</v>
      </c>
      <c r="F16" s="748">
        <f t="shared" si="0"/>
        <v>2403.1005257343077</v>
      </c>
      <c r="G16" s="748">
        <f t="shared" ca="1" si="0"/>
        <v>3154.2198223420701</v>
      </c>
      <c r="H16" s="748">
        <f t="shared" si="0"/>
        <v>0</v>
      </c>
      <c r="I16" s="748">
        <f t="shared" si="0"/>
        <v>0</v>
      </c>
      <c r="J16" s="748">
        <f t="shared" si="0"/>
        <v>0</v>
      </c>
      <c r="K16" s="748">
        <f t="shared" si="0"/>
        <v>9.4136041258496324</v>
      </c>
      <c r="L16" s="748">
        <f t="shared" si="0"/>
        <v>0</v>
      </c>
      <c r="M16" s="748">
        <f t="shared" ca="1" si="0"/>
        <v>0</v>
      </c>
      <c r="N16" s="748">
        <f t="shared" si="0"/>
        <v>0</v>
      </c>
      <c r="O16" s="748">
        <f t="shared" ca="1" si="0"/>
        <v>7466.985008811951</v>
      </c>
      <c r="P16" s="748">
        <f t="shared" si="0"/>
        <v>277.62888114893161</v>
      </c>
      <c r="Q16" s="748">
        <f t="shared" si="0"/>
        <v>379.09187684473073</v>
      </c>
      <c r="R16" s="748">
        <f t="shared" ca="1" si="0"/>
        <v>141390.98506832079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359.75797499999999</v>
      </c>
      <c r="D19" s="712">
        <f>transport!C54</f>
        <v>0</v>
      </c>
      <c r="E19" s="712">
        <f>transport!D54</f>
        <v>0</v>
      </c>
      <c r="F19" s="712">
        <f>transport!E54</f>
        <v>0</v>
      </c>
      <c r="G19" s="712">
        <f>transport!F54</f>
        <v>0</v>
      </c>
      <c r="H19" s="712">
        <f>transport!G54</f>
        <v>973.63837496305212</v>
      </c>
      <c r="I19" s="712">
        <f>transport!H54</f>
        <v>0</v>
      </c>
      <c r="J19" s="712">
        <f>transport!I54</f>
        <v>0</v>
      </c>
      <c r="K19" s="712">
        <f>transport!J54</f>
        <v>0</v>
      </c>
      <c r="L19" s="712">
        <f>transport!K54</f>
        <v>0</v>
      </c>
      <c r="M19" s="712">
        <f>transport!L54</f>
        <v>0</v>
      </c>
      <c r="N19" s="712">
        <f>transport!M54</f>
        <v>54.11492860761463</v>
      </c>
      <c r="O19" s="712">
        <f>transport!N54</f>
        <v>0</v>
      </c>
      <c r="P19" s="712">
        <f>transport!O54</f>
        <v>0</v>
      </c>
      <c r="Q19" s="713">
        <f>transport!P54</f>
        <v>0</v>
      </c>
      <c r="R19" s="715">
        <f>SUM(C19:Q19)</f>
        <v>1387.5112785706669</v>
      </c>
      <c r="S19" s="67"/>
    </row>
    <row r="20" spans="1:19" s="474" customFormat="1">
      <c r="A20" s="834" t="s">
        <v>306</v>
      </c>
      <c r="B20" s="839"/>
      <c r="C20" s="712">
        <f>transport!B14</f>
        <v>134.39038517500001</v>
      </c>
      <c r="D20" s="712">
        <f>transport!C14</f>
        <v>0</v>
      </c>
      <c r="E20" s="712">
        <f>transport!D14</f>
        <v>495.98860575431223</v>
      </c>
      <c r="F20" s="712">
        <f>transport!E14</f>
        <v>466.17872544808324</v>
      </c>
      <c r="G20" s="712">
        <f>transport!F14</f>
        <v>0</v>
      </c>
      <c r="H20" s="712">
        <f>transport!G14</f>
        <v>184862.69870632183</v>
      </c>
      <c r="I20" s="712">
        <f>transport!H14</f>
        <v>38439.6382344003</v>
      </c>
      <c r="J20" s="712">
        <f>transport!I14</f>
        <v>0</v>
      </c>
      <c r="K20" s="712">
        <f>transport!J14</f>
        <v>0</v>
      </c>
      <c r="L20" s="712">
        <f>transport!K14</f>
        <v>0</v>
      </c>
      <c r="M20" s="712">
        <f>transport!L14</f>
        <v>0</v>
      </c>
      <c r="N20" s="712">
        <f>transport!M14</f>
        <v>13185.457872169929</v>
      </c>
      <c r="O20" s="712">
        <f>transport!N14</f>
        <v>0</v>
      </c>
      <c r="P20" s="712">
        <f>transport!O14</f>
        <v>0</v>
      </c>
      <c r="Q20" s="713">
        <f>transport!P14</f>
        <v>0</v>
      </c>
      <c r="R20" s="715">
        <f>SUM(C20:Q20)</f>
        <v>237584.35252926947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494.14836017499999</v>
      </c>
      <c r="D22" s="837">
        <f t="shared" ref="D22:R22" si="1">SUM(D18:D21)</f>
        <v>0</v>
      </c>
      <c r="E22" s="837">
        <f t="shared" si="1"/>
        <v>495.98860575431223</v>
      </c>
      <c r="F22" s="837">
        <f t="shared" si="1"/>
        <v>466.17872544808324</v>
      </c>
      <c r="G22" s="837">
        <f t="shared" si="1"/>
        <v>0</v>
      </c>
      <c r="H22" s="837">
        <f t="shared" si="1"/>
        <v>185836.33708128487</v>
      </c>
      <c r="I22" s="837">
        <f t="shared" si="1"/>
        <v>38439.6382344003</v>
      </c>
      <c r="J22" s="837">
        <f t="shared" si="1"/>
        <v>0</v>
      </c>
      <c r="K22" s="837">
        <f t="shared" si="1"/>
        <v>0</v>
      </c>
      <c r="L22" s="837">
        <f t="shared" si="1"/>
        <v>0</v>
      </c>
      <c r="M22" s="837">
        <f t="shared" si="1"/>
        <v>0</v>
      </c>
      <c r="N22" s="837">
        <f t="shared" si="1"/>
        <v>13239.572800777543</v>
      </c>
      <c r="O22" s="837">
        <f t="shared" si="1"/>
        <v>0</v>
      </c>
      <c r="P22" s="837">
        <f t="shared" si="1"/>
        <v>0</v>
      </c>
      <c r="Q22" s="837">
        <f t="shared" si="1"/>
        <v>0</v>
      </c>
      <c r="R22" s="837">
        <f t="shared" si="1"/>
        <v>238971.86380784013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189.14519300000001</v>
      </c>
      <c r="D24" s="712">
        <f>+landbouw!C8</f>
        <v>0</v>
      </c>
      <c r="E24" s="712">
        <f>+landbouw!D8</f>
        <v>918.71821821999993</v>
      </c>
      <c r="F24" s="712">
        <f>+landbouw!E8</f>
        <v>5.9031591011400977</v>
      </c>
      <c r="G24" s="712">
        <f>+landbouw!F8</f>
        <v>668.46006500125407</v>
      </c>
      <c r="H24" s="712">
        <f>+landbouw!G8</f>
        <v>0</v>
      </c>
      <c r="I24" s="712">
        <f>+landbouw!H8</f>
        <v>0</v>
      </c>
      <c r="J24" s="712">
        <f>+landbouw!I8</f>
        <v>0</v>
      </c>
      <c r="K24" s="712">
        <f>+landbouw!J8</f>
        <v>52.110812381917704</v>
      </c>
      <c r="L24" s="712">
        <f>+landbouw!K8</f>
        <v>0</v>
      </c>
      <c r="M24" s="712">
        <f>+landbouw!L8</f>
        <v>0</v>
      </c>
      <c r="N24" s="712">
        <f>+landbouw!M8</f>
        <v>0</v>
      </c>
      <c r="O24" s="712">
        <f>+landbouw!N8</f>
        <v>0</v>
      </c>
      <c r="P24" s="712">
        <f>+landbouw!O8</f>
        <v>0</v>
      </c>
      <c r="Q24" s="713">
        <f>+landbouw!P8</f>
        <v>0</v>
      </c>
      <c r="R24" s="715">
        <f>SUM(C24:Q24)</f>
        <v>1834.3374477043117</v>
      </c>
      <c r="S24" s="67"/>
    </row>
    <row r="25" spans="1:19" s="474" customFormat="1" ht="15" thickBot="1">
      <c r="A25" s="856" t="s">
        <v>734</v>
      </c>
      <c r="B25" s="982"/>
      <c r="C25" s="983">
        <f>IF(Onbekend_ele_kWh="---",0,Onbekend_ele_kWh)/1000+IF(REST_rest_ele_kWh="---",0,REST_rest_ele_kWh)/1000</f>
        <v>641.69449100000008</v>
      </c>
      <c r="D25" s="983"/>
      <c r="E25" s="983">
        <f>IF(onbekend_gas_kWh="---",0,onbekend_gas_kWh)/1000+IF(REST_rest_gas_kWh="---",0,REST_rest_gas_kWh)/1000</f>
        <v>4488.4930109999996</v>
      </c>
      <c r="F25" s="983"/>
      <c r="G25" s="983"/>
      <c r="H25" s="983"/>
      <c r="I25" s="983"/>
      <c r="J25" s="983"/>
      <c r="K25" s="983"/>
      <c r="L25" s="983"/>
      <c r="M25" s="983"/>
      <c r="N25" s="983"/>
      <c r="O25" s="983"/>
      <c r="P25" s="983"/>
      <c r="Q25" s="984"/>
      <c r="R25" s="715">
        <f>SUM(C25:Q25)</f>
        <v>5130.1875019999998</v>
      </c>
      <c r="S25" s="67"/>
    </row>
    <row r="26" spans="1:19" s="474" customFormat="1" ht="15.75" thickBot="1">
      <c r="A26" s="720" t="s">
        <v>735</v>
      </c>
      <c r="B26" s="842"/>
      <c r="C26" s="837">
        <f>SUM(C24:C25)</f>
        <v>830.83968400000003</v>
      </c>
      <c r="D26" s="837">
        <f t="shared" ref="D26:R26" si="2">SUM(D24:D25)</f>
        <v>0</v>
      </c>
      <c r="E26" s="837">
        <f t="shared" si="2"/>
        <v>5407.21122922</v>
      </c>
      <c r="F26" s="837">
        <f t="shared" si="2"/>
        <v>5.9031591011400977</v>
      </c>
      <c r="G26" s="837">
        <f t="shared" si="2"/>
        <v>668.46006500125407</v>
      </c>
      <c r="H26" s="837">
        <f t="shared" si="2"/>
        <v>0</v>
      </c>
      <c r="I26" s="837">
        <f t="shared" si="2"/>
        <v>0</v>
      </c>
      <c r="J26" s="837">
        <f t="shared" si="2"/>
        <v>0</v>
      </c>
      <c r="K26" s="837">
        <f t="shared" si="2"/>
        <v>52.110812381917704</v>
      </c>
      <c r="L26" s="837">
        <f t="shared" si="2"/>
        <v>0</v>
      </c>
      <c r="M26" s="837">
        <f t="shared" si="2"/>
        <v>0</v>
      </c>
      <c r="N26" s="837">
        <f t="shared" si="2"/>
        <v>0</v>
      </c>
      <c r="O26" s="837">
        <f t="shared" si="2"/>
        <v>0</v>
      </c>
      <c r="P26" s="837">
        <f t="shared" si="2"/>
        <v>0</v>
      </c>
      <c r="Q26" s="837">
        <f t="shared" si="2"/>
        <v>0</v>
      </c>
      <c r="R26" s="837">
        <f t="shared" si="2"/>
        <v>6964.5249497043114</v>
      </c>
      <c r="S26" s="67"/>
    </row>
    <row r="27" spans="1:19" s="474" customFormat="1" ht="17.25" thickTop="1" thickBot="1">
      <c r="A27" s="721" t="s">
        <v>115</v>
      </c>
      <c r="B27" s="829"/>
      <c r="C27" s="722">
        <f ca="1">C22+C16+C26</f>
        <v>42259.058404183954</v>
      </c>
      <c r="D27" s="722">
        <f t="shared" ref="D27:R27" ca="1" si="3">D22+D16+D26</f>
        <v>0</v>
      </c>
      <c r="E27" s="722">
        <f t="shared" ca="1" si="3"/>
        <v>92669.674824278336</v>
      </c>
      <c r="F27" s="722">
        <f t="shared" si="3"/>
        <v>2875.1824102835312</v>
      </c>
      <c r="G27" s="722">
        <f t="shared" ca="1" si="3"/>
        <v>3822.679887343324</v>
      </c>
      <c r="H27" s="722">
        <f t="shared" si="3"/>
        <v>185836.33708128487</v>
      </c>
      <c r="I27" s="722">
        <f t="shared" si="3"/>
        <v>38439.6382344003</v>
      </c>
      <c r="J27" s="722">
        <f t="shared" si="3"/>
        <v>0</v>
      </c>
      <c r="K27" s="722">
        <f t="shared" si="3"/>
        <v>61.524416507767334</v>
      </c>
      <c r="L27" s="722">
        <f t="shared" si="3"/>
        <v>0</v>
      </c>
      <c r="M27" s="722">
        <f t="shared" ca="1" si="3"/>
        <v>0</v>
      </c>
      <c r="N27" s="722">
        <f t="shared" si="3"/>
        <v>13239.572800777543</v>
      </c>
      <c r="O27" s="722">
        <f t="shared" ca="1" si="3"/>
        <v>7466.985008811951</v>
      </c>
      <c r="P27" s="722">
        <f t="shared" si="3"/>
        <v>277.62888114893161</v>
      </c>
      <c r="Q27" s="722">
        <f t="shared" si="3"/>
        <v>379.09187684473073</v>
      </c>
      <c r="R27" s="722">
        <f t="shared" ca="1" si="3"/>
        <v>387327.37382586522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2065.1474610425789</v>
      </c>
      <c r="D40" s="712">
        <f ca="1">tertiair!C20</f>
        <v>0</v>
      </c>
      <c r="E40" s="712">
        <f ca="1">tertiair!D20</f>
        <v>5299.7580048233049</v>
      </c>
      <c r="F40" s="712">
        <f>tertiair!E20</f>
        <v>45.019218401672838</v>
      </c>
      <c r="G40" s="712">
        <f ca="1">tertiair!F20</f>
        <v>433.060737663304</v>
      </c>
      <c r="H40" s="712">
        <f>tertiair!G20</f>
        <v>0</v>
      </c>
      <c r="I40" s="712">
        <f>tertiair!H20</f>
        <v>0</v>
      </c>
      <c r="J40" s="712">
        <f>tertiair!I20</f>
        <v>0</v>
      </c>
      <c r="K40" s="712">
        <f>tertiair!J20</f>
        <v>6.9169107512917364E-3</v>
      </c>
      <c r="L40" s="712">
        <f>tertiair!K20</f>
        <v>0</v>
      </c>
      <c r="M40" s="712">
        <f ca="1">tertiair!L20</f>
        <v>0</v>
      </c>
      <c r="N40" s="712">
        <f>tertiair!M20</f>
        <v>0</v>
      </c>
      <c r="O40" s="712">
        <f ca="1">tertiair!N20</f>
        <v>0</v>
      </c>
      <c r="P40" s="712">
        <f>tertiair!O20</f>
        <v>0</v>
      </c>
      <c r="Q40" s="795">
        <f>tertiair!P20</f>
        <v>0</v>
      </c>
      <c r="R40" s="875">
        <f t="shared" ca="1" si="4"/>
        <v>7842.9923388416128</v>
      </c>
    </row>
    <row r="41" spans="1:18">
      <c r="A41" s="847" t="s">
        <v>224</v>
      </c>
      <c r="B41" s="854"/>
      <c r="C41" s="712">
        <f ca="1">huishoudens!B12</f>
        <v>2776.1719455642278</v>
      </c>
      <c r="D41" s="712">
        <f ca="1">huishoudens!C12</f>
        <v>0</v>
      </c>
      <c r="E41" s="712">
        <f>huishoudens!D12</f>
        <v>10602.883173820961</v>
      </c>
      <c r="F41" s="712">
        <f>huishoudens!E12</f>
        <v>399.69494020218275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13778.750059587372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802.87559887365228</v>
      </c>
      <c r="D43" s="712">
        <f ca="1">industrie!C22</f>
        <v>0</v>
      </c>
      <c r="E43" s="712">
        <f>industrie!D22</f>
        <v>1624.1867691951441</v>
      </c>
      <c r="F43" s="712">
        <f>industrie!E22</f>
        <v>100.78966073783228</v>
      </c>
      <c r="G43" s="712">
        <f>industrie!F22</f>
        <v>409.11595490202876</v>
      </c>
      <c r="H43" s="712">
        <f>industrie!G22</f>
        <v>0</v>
      </c>
      <c r="I43" s="712">
        <f>industrie!H22</f>
        <v>0</v>
      </c>
      <c r="J43" s="712">
        <f>industrie!I22</f>
        <v>0</v>
      </c>
      <c r="K43" s="712">
        <f>industrie!J22</f>
        <v>3.3254989497994778</v>
      </c>
      <c r="L43" s="712">
        <f>industrie!K22</f>
        <v>0</v>
      </c>
      <c r="M43" s="712">
        <f>industrie!L22</f>
        <v>0</v>
      </c>
      <c r="N43" s="712">
        <f>industrie!M22</f>
        <v>0</v>
      </c>
      <c r="O43" s="712">
        <f>industrie!N22</f>
        <v>0</v>
      </c>
      <c r="P43" s="712">
        <f>industrie!O22</f>
        <v>0</v>
      </c>
      <c r="Q43" s="795">
        <f>industrie!P22</f>
        <v>0</v>
      </c>
      <c r="R43" s="874">
        <f t="shared" ca="1" si="4"/>
        <v>2940.2934826584574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5644.1950054804583</v>
      </c>
      <c r="D46" s="748">
        <f t="shared" ref="D46:Q46" ca="1" si="5">SUM(D39:D45)</f>
        <v>0</v>
      </c>
      <c r="E46" s="748">
        <f t="shared" ca="1" si="5"/>
        <v>17526.827947839411</v>
      </c>
      <c r="F46" s="748">
        <f t="shared" si="5"/>
        <v>545.50381934168786</v>
      </c>
      <c r="G46" s="748">
        <f t="shared" ca="1" si="5"/>
        <v>842.17669256533281</v>
      </c>
      <c r="H46" s="748">
        <f t="shared" si="5"/>
        <v>0</v>
      </c>
      <c r="I46" s="748">
        <f t="shared" si="5"/>
        <v>0</v>
      </c>
      <c r="J46" s="748">
        <f t="shared" si="5"/>
        <v>0</v>
      </c>
      <c r="K46" s="748">
        <f t="shared" si="5"/>
        <v>3.3324158605507694</v>
      </c>
      <c r="L46" s="748">
        <f t="shared" si="5"/>
        <v>0</v>
      </c>
      <c r="M46" s="748">
        <f t="shared" ca="1" si="5"/>
        <v>0</v>
      </c>
      <c r="N46" s="748">
        <f t="shared" si="5"/>
        <v>0</v>
      </c>
      <c r="O46" s="748">
        <f t="shared" ca="1" si="5"/>
        <v>0</v>
      </c>
      <c r="P46" s="748">
        <f t="shared" si="5"/>
        <v>0</v>
      </c>
      <c r="Q46" s="748">
        <f t="shared" si="5"/>
        <v>0</v>
      </c>
      <c r="R46" s="748">
        <f ca="1">SUM(R39:R45)</f>
        <v>24562.035881087442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49.605234657057927</v>
      </c>
      <c r="D49" s="712">
        <f ca="1">transport!C58</f>
        <v>0</v>
      </c>
      <c r="E49" s="712">
        <f>transport!D58</f>
        <v>0</v>
      </c>
      <c r="F49" s="712">
        <f>transport!E58</f>
        <v>0</v>
      </c>
      <c r="G49" s="712">
        <f>transport!F58</f>
        <v>0</v>
      </c>
      <c r="H49" s="712">
        <f>transport!G58</f>
        <v>259.96144611513495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309.56668077219285</v>
      </c>
    </row>
    <row r="50" spans="1:18">
      <c r="A50" s="850" t="s">
        <v>306</v>
      </c>
      <c r="B50" s="860"/>
      <c r="C50" s="718">
        <f ca="1">transport!B18</f>
        <v>18.530420603624631</v>
      </c>
      <c r="D50" s="718">
        <f>transport!C18</f>
        <v>0</v>
      </c>
      <c r="E50" s="718">
        <f>transport!D18</f>
        <v>100.18969836237108</v>
      </c>
      <c r="F50" s="718">
        <f>transport!E18</f>
        <v>105.8225706767149</v>
      </c>
      <c r="G50" s="718">
        <f>transport!F18</f>
        <v>0</v>
      </c>
      <c r="H50" s="718">
        <f>transport!G18</f>
        <v>49358.340554587929</v>
      </c>
      <c r="I50" s="718">
        <f>transport!H18</f>
        <v>9571.4699203656746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59154.353164596308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68.135655260682555</v>
      </c>
      <c r="D52" s="748">
        <f t="shared" ref="D52:Q52" ca="1" si="6">SUM(D48:D51)</f>
        <v>0</v>
      </c>
      <c r="E52" s="748">
        <f t="shared" si="6"/>
        <v>100.18969836237108</v>
      </c>
      <c r="F52" s="748">
        <f t="shared" si="6"/>
        <v>105.8225706767149</v>
      </c>
      <c r="G52" s="748">
        <f t="shared" si="6"/>
        <v>0</v>
      </c>
      <c r="H52" s="748">
        <f t="shared" si="6"/>
        <v>49618.302000703065</v>
      </c>
      <c r="I52" s="748">
        <f t="shared" si="6"/>
        <v>9571.4699203656746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59463.919845368502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26.080288235499189</v>
      </c>
      <c r="D54" s="718">
        <f ca="1">+landbouw!C12</f>
        <v>0</v>
      </c>
      <c r="E54" s="718">
        <f>+landbouw!D12</f>
        <v>185.58108008043999</v>
      </c>
      <c r="F54" s="718">
        <f>+landbouw!E12</f>
        <v>1.3400171159588021</v>
      </c>
      <c r="G54" s="718">
        <f>+landbouw!F12</f>
        <v>178.47883735533483</v>
      </c>
      <c r="H54" s="718">
        <f>+landbouw!G12</f>
        <v>0</v>
      </c>
      <c r="I54" s="718">
        <f>+landbouw!H12</f>
        <v>0</v>
      </c>
      <c r="J54" s="718">
        <f>+landbouw!I12</f>
        <v>0</v>
      </c>
      <c r="K54" s="718">
        <f>+landbouw!J12</f>
        <v>18.447227583198867</v>
      </c>
      <c r="L54" s="718">
        <f>+landbouw!K12</f>
        <v>0</v>
      </c>
      <c r="M54" s="718">
        <f>+landbouw!L12</f>
        <v>0</v>
      </c>
      <c r="N54" s="718">
        <f>+landbouw!M12</f>
        <v>0</v>
      </c>
      <c r="O54" s="718">
        <f>+landbouw!N12</f>
        <v>0</v>
      </c>
      <c r="P54" s="718">
        <f>+landbouw!O12</f>
        <v>0</v>
      </c>
      <c r="Q54" s="719">
        <f>+landbouw!P12</f>
        <v>0</v>
      </c>
      <c r="R54" s="747">
        <f ca="1">SUM(C54:Q54)</f>
        <v>409.9274503704317</v>
      </c>
    </row>
    <row r="55" spans="1:18" ht="15" thickBot="1">
      <c r="A55" s="850" t="s">
        <v>734</v>
      </c>
      <c r="B55" s="860"/>
      <c r="C55" s="718">
        <f ca="1">C25*'EF ele_warmte'!B12</f>
        <v>88.480056082693793</v>
      </c>
      <c r="D55" s="718"/>
      <c r="E55" s="718">
        <f>E25*EF_CO2_aardgas</f>
        <v>906.67558822199999</v>
      </c>
      <c r="F55" s="718"/>
      <c r="G55" s="718"/>
      <c r="H55" s="718"/>
      <c r="I55" s="718"/>
      <c r="J55" s="718"/>
      <c r="K55" s="718"/>
      <c r="L55" s="718"/>
      <c r="M55" s="718"/>
      <c r="N55" s="718"/>
      <c r="O55" s="718"/>
      <c r="P55" s="718"/>
      <c r="Q55" s="719"/>
      <c r="R55" s="747">
        <f ca="1">SUM(C55:Q55)</f>
        <v>995.15564430469374</v>
      </c>
    </row>
    <row r="56" spans="1:18" ht="15.75" thickBot="1">
      <c r="A56" s="848" t="s">
        <v>735</v>
      </c>
      <c r="B56" s="861"/>
      <c r="C56" s="748">
        <f ca="1">SUM(C54:C55)</f>
        <v>114.56034431819299</v>
      </c>
      <c r="D56" s="748">
        <f t="shared" ref="D56:Q56" ca="1" si="7">SUM(D54:D55)</f>
        <v>0</v>
      </c>
      <c r="E56" s="748">
        <f t="shared" si="7"/>
        <v>1092.2566683024399</v>
      </c>
      <c r="F56" s="748">
        <f t="shared" si="7"/>
        <v>1.3400171159588021</v>
      </c>
      <c r="G56" s="748">
        <f t="shared" si="7"/>
        <v>178.47883735533483</v>
      </c>
      <c r="H56" s="748">
        <f t="shared" si="7"/>
        <v>0</v>
      </c>
      <c r="I56" s="748">
        <f t="shared" si="7"/>
        <v>0</v>
      </c>
      <c r="J56" s="748">
        <f t="shared" si="7"/>
        <v>0</v>
      </c>
      <c r="K56" s="748">
        <f t="shared" si="7"/>
        <v>18.447227583198867</v>
      </c>
      <c r="L56" s="748">
        <f t="shared" si="7"/>
        <v>0</v>
      </c>
      <c r="M56" s="748">
        <f t="shared" si="7"/>
        <v>0</v>
      </c>
      <c r="N56" s="748">
        <f t="shared" si="7"/>
        <v>0</v>
      </c>
      <c r="O56" s="748">
        <f t="shared" si="7"/>
        <v>0</v>
      </c>
      <c r="P56" s="748">
        <f t="shared" si="7"/>
        <v>0</v>
      </c>
      <c r="Q56" s="749">
        <f t="shared" si="7"/>
        <v>0</v>
      </c>
      <c r="R56" s="750">
        <f ca="1">SUM(R54:R55)</f>
        <v>1405.0830946751255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5826.8910050593331</v>
      </c>
      <c r="D61" s="756">
        <f t="shared" ref="D61:Q61" ca="1" si="8">D46+D52+D56</f>
        <v>0</v>
      </c>
      <c r="E61" s="756">
        <f t="shared" ca="1" si="8"/>
        <v>18719.274314504222</v>
      </c>
      <c r="F61" s="756">
        <f t="shared" si="8"/>
        <v>652.66640713436163</v>
      </c>
      <c r="G61" s="756">
        <f t="shared" ca="1" si="8"/>
        <v>1020.6555299206676</v>
      </c>
      <c r="H61" s="756">
        <f t="shared" si="8"/>
        <v>49618.302000703065</v>
      </c>
      <c r="I61" s="756">
        <f t="shared" si="8"/>
        <v>9571.4699203656746</v>
      </c>
      <c r="J61" s="756">
        <f t="shared" si="8"/>
        <v>0</v>
      </c>
      <c r="K61" s="756">
        <f t="shared" si="8"/>
        <v>21.779643443749634</v>
      </c>
      <c r="L61" s="756">
        <f t="shared" si="8"/>
        <v>0</v>
      </c>
      <c r="M61" s="756">
        <f t="shared" ca="1" si="8"/>
        <v>0</v>
      </c>
      <c r="N61" s="756">
        <f t="shared" si="8"/>
        <v>0</v>
      </c>
      <c r="O61" s="756">
        <f t="shared" ca="1" si="8"/>
        <v>0</v>
      </c>
      <c r="P61" s="756">
        <f t="shared" si="8"/>
        <v>0</v>
      </c>
      <c r="Q61" s="756">
        <f t="shared" si="8"/>
        <v>0</v>
      </c>
      <c r="R61" s="756">
        <f ca="1">R46+R52+R56</f>
        <v>85431.038821131064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0.13788501744001064</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12108.459054427283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3784.5767024293646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15893.035756856647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12108.459054427283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3784.5767024293646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15893.035756856647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20133.963770008952</v>
      </c>
      <c r="C4" s="478">
        <f>huishoudens!C8</f>
        <v>0</v>
      </c>
      <c r="D4" s="478">
        <f>huishoudens!D8</f>
        <v>52489.520662480005</v>
      </c>
      <c r="E4" s="478">
        <f>huishoudens!E8</f>
        <v>1760.7706616836244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6359.1162805782797</v>
      </c>
      <c r="O4" s="478">
        <f>huishoudens!O8</f>
        <v>267.83435961724928</v>
      </c>
      <c r="P4" s="479">
        <f>huishoudens!P8</f>
        <v>326.5527385382357</v>
      </c>
      <c r="Q4" s="480">
        <f>SUM(B4:P4)</f>
        <v>81337.758472906338</v>
      </c>
    </row>
    <row r="5" spans="1:17">
      <c r="A5" s="477" t="s">
        <v>155</v>
      </c>
      <c r="B5" s="478">
        <f ca="1">tertiair!B16</f>
        <v>14106.049878</v>
      </c>
      <c r="C5" s="478">
        <f ca="1">tertiair!C16</f>
        <v>0</v>
      </c>
      <c r="D5" s="478">
        <f ca="1">tertiair!D16</f>
        <v>26236.425766452005</v>
      </c>
      <c r="E5" s="478">
        <f>tertiair!E16</f>
        <v>198.32254802499048</v>
      </c>
      <c r="F5" s="478">
        <f ca="1">tertiair!F16</f>
        <v>1621.9503283269812</v>
      </c>
      <c r="G5" s="478">
        <f>tertiair!G16</f>
        <v>0</v>
      </c>
      <c r="H5" s="478">
        <f>tertiair!H16</f>
        <v>0</v>
      </c>
      <c r="I5" s="478">
        <f>tertiair!I16</f>
        <v>0</v>
      </c>
      <c r="J5" s="478">
        <f>tertiair!J16</f>
        <v>1.9539295907603775E-2</v>
      </c>
      <c r="K5" s="478">
        <f>tertiair!K16</f>
        <v>0</v>
      </c>
      <c r="L5" s="478">
        <f ca="1">tertiair!L16</f>
        <v>0</v>
      </c>
      <c r="M5" s="478">
        <f>tertiair!M16</f>
        <v>0</v>
      </c>
      <c r="N5" s="478">
        <f ca="1">tertiair!N16</f>
        <v>773.54888713786841</v>
      </c>
      <c r="O5" s="478">
        <f>tertiair!O16</f>
        <v>9.7945215316823084</v>
      </c>
      <c r="P5" s="479">
        <f>tertiair!P16</f>
        <v>52.539138306495019</v>
      </c>
      <c r="Q5" s="477">
        <f t="shared" ref="Q5:Q14" ca="1" si="0">SUM(B5:P5)</f>
        <v>42998.650607075921</v>
      </c>
    </row>
    <row r="6" spans="1:17">
      <c r="A6" s="477" t="s">
        <v>193</v>
      </c>
      <c r="B6" s="478">
        <f>'openbare verlichting'!B8</f>
        <v>871.26599999999996</v>
      </c>
      <c r="C6" s="478"/>
      <c r="D6" s="478"/>
      <c r="E6" s="478"/>
      <c r="F6" s="478"/>
      <c r="G6" s="478"/>
      <c r="H6" s="478"/>
      <c r="I6" s="478"/>
      <c r="J6" s="478"/>
      <c r="K6" s="478"/>
      <c r="L6" s="478"/>
      <c r="M6" s="478"/>
      <c r="N6" s="478"/>
      <c r="O6" s="478"/>
      <c r="P6" s="479"/>
      <c r="Q6" s="477">
        <f t="shared" si="0"/>
        <v>871.26599999999996</v>
      </c>
    </row>
    <row r="7" spans="1:17">
      <c r="A7" s="477" t="s">
        <v>111</v>
      </c>
      <c r="B7" s="478">
        <f>landbouw!B8</f>
        <v>189.14519300000001</v>
      </c>
      <c r="C7" s="478">
        <f>landbouw!C8</f>
        <v>0</v>
      </c>
      <c r="D7" s="478">
        <f>landbouw!D8</f>
        <v>918.71821821999993</v>
      </c>
      <c r="E7" s="478">
        <f>landbouw!E8</f>
        <v>5.9031591011400977</v>
      </c>
      <c r="F7" s="478">
        <f>landbouw!F8</f>
        <v>668.46006500125407</v>
      </c>
      <c r="G7" s="478">
        <f>landbouw!G8</f>
        <v>0</v>
      </c>
      <c r="H7" s="478">
        <f>landbouw!H8</f>
        <v>0</v>
      </c>
      <c r="I7" s="478">
        <f>landbouw!I8</f>
        <v>0</v>
      </c>
      <c r="J7" s="478">
        <f>landbouw!J8</f>
        <v>52.110812381917704</v>
      </c>
      <c r="K7" s="478">
        <f>landbouw!K8</f>
        <v>0</v>
      </c>
      <c r="L7" s="478">
        <f>landbouw!L8</f>
        <v>0</v>
      </c>
      <c r="M7" s="478">
        <f>landbouw!M8</f>
        <v>0</v>
      </c>
      <c r="N7" s="478">
        <f>landbouw!N8</f>
        <v>0</v>
      </c>
      <c r="O7" s="478">
        <f>landbouw!O8</f>
        <v>0</v>
      </c>
      <c r="P7" s="479">
        <f>landbouw!P8</f>
        <v>0</v>
      </c>
      <c r="Q7" s="477">
        <f t="shared" si="0"/>
        <v>1834.3374477043117</v>
      </c>
    </row>
    <row r="8" spans="1:17">
      <c r="A8" s="477" t="s">
        <v>629</v>
      </c>
      <c r="B8" s="478">
        <f>industrie!B18</f>
        <v>5822.790712</v>
      </c>
      <c r="C8" s="478">
        <f>industrie!C18</f>
        <v>0</v>
      </c>
      <c r="D8" s="478">
        <f>industrie!D18</f>
        <v>8040.5285603719994</v>
      </c>
      <c r="E8" s="478">
        <f>industrie!E18</f>
        <v>444.00731602569283</v>
      </c>
      <c r="F8" s="478">
        <f>industrie!F18</f>
        <v>1532.2694940150889</v>
      </c>
      <c r="G8" s="478">
        <f>industrie!G18</f>
        <v>0</v>
      </c>
      <c r="H8" s="478">
        <f>industrie!H18</f>
        <v>0</v>
      </c>
      <c r="I8" s="478">
        <f>industrie!I18</f>
        <v>0</v>
      </c>
      <c r="J8" s="478">
        <f>industrie!J18</f>
        <v>9.3940648299420282</v>
      </c>
      <c r="K8" s="478">
        <f>industrie!K18</f>
        <v>0</v>
      </c>
      <c r="L8" s="478">
        <f>industrie!L18</f>
        <v>0</v>
      </c>
      <c r="M8" s="478">
        <f>industrie!M18</f>
        <v>0</v>
      </c>
      <c r="N8" s="478">
        <f>industrie!N18</f>
        <v>334.31984109580338</v>
      </c>
      <c r="O8" s="478">
        <f>industrie!O18</f>
        <v>0</v>
      </c>
      <c r="P8" s="479">
        <f>industrie!P18</f>
        <v>0</v>
      </c>
      <c r="Q8" s="477">
        <f t="shared" si="0"/>
        <v>16183.309988338524</v>
      </c>
    </row>
    <row r="9" spans="1:17" s="483" customFormat="1">
      <c r="A9" s="481" t="s">
        <v>555</v>
      </c>
      <c r="B9" s="482">
        <f>transport!B14</f>
        <v>134.39038517500001</v>
      </c>
      <c r="C9" s="482">
        <f>transport!C14</f>
        <v>0</v>
      </c>
      <c r="D9" s="482">
        <f>transport!D14</f>
        <v>495.98860575431223</v>
      </c>
      <c r="E9" s="482">
        <f>transport!E14</f>
        <v>466.17872544808324</v>
      </c>
      <c r="F9" s="482">
        <f>transport!F14</f>
        <v>0</v>
      </c>
      <c r="G9" s="482">
        <f>transport!G14</f>
        <v>184862.69870632183</v>
      </c>
      <c r="H9" s="482">
        <f>transport!H14</f>
        <v>38439.6382344003</v>
      </c>
      <c r="I9" s="482">
        <f>transport!I14</f>
        <v>0</v>
      </c>
      <c r="J9" s="482">
        <f>transport!J14</f>
        <v>0</v>
      </c>
      <c r="K9" s="482">
        <f>transport!K14</f>
        <v>0</v>
      </c>
      <c r="L9" s="482">
        <f>transport!L14</f>
        <v>0</v>
      </c>
      <c r="M9" s="482">
        <f>transport!M14</f>
        <v>13185.457872169929</v>
      </c>
      <c r="N9" s="482">
        <f>transport!N14</f>
        <v>0</v>
      </c>
      <c r="O9" s="482">
        <f>transport!O14</f>
        <v>0</v>
      </c>
      <c r="P9" s="482">
        <f>transport!P14</f>
        <v>0</v>
      </c>
      <c r="Q9" s="481">
        <f>SUM(B9:P9)</f>
        <v>237584.35252926947</v>
      </c>
    </row>
    <row r="10" spans="1:17">
      <c r="A10" s="477" t="s">
        <v>545</v>
      </c>
      <c r="B10" s="478">
        <f>transport!B54</f>
        <v>359.75797499999999</v>
      </c>
      <c r="C10" s="478">
        <f>transport!C54</f>
        <v>0</v>
      </c>
      <c r="D10" s="478">
        <f>transport!D54</f>
        <v>0</v>
      </c>
      <c r="E10" s="478">
        <f>transport!E54</f>
        <v>0</v>
      </c>
      <c r="F10" s="478">
        <f>transport!F54</f>
        <v>0</v>
      </c>
      <c r="G10" s="478">
        <f>transport!G54</f>
        <v>973.63837496305212</v>
      </c>
      <c r="H10" s="478">
        <f>transport!H54</f>
        <v>0</v>
      </c>
      <c r="I10" s="478">
        <f>transport!I54</f>
        <v>0</v>
      </c>
      <c r="J10" s="478">
        <f>transport!J54</f>
        <v>0</v>
      </c>
      <c r="K10" s="478">
        <f>transport!K54</f>
        <v>0</v>
      </c>
      <c r="L10" s="478">
        <f>transport!L54</f>
        <v>0</v>
      </c>
      <c r="M10" s="478">
        <f>transport!M54</f>
        <v>54.11492860761463</v>
      </c>
      <c r="N10" s="478">
        <f>transport!N54</f>
        <v>0</v>
      </c>
      <c r="O10" s="478">
        <f>transport!O54</f>
        <v>0</v>
      </c>
      <c r="P10" s="479">
        <f>transport!P54</f>
        <v>0</v>
      </c>
      <c r="Q10" s="477">
        <f t="shared" si="0"/>
        <v>1387.5112785706669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641.69449100000008</v>
      </c>
      <c r="C14" s="485"/>
      <c r="D14" s="485">
        <f>'SEAP template'!E25</f>
        <v>4488.4930109999996</v>
      </c>
      <c r="E14" s="485"/>
      <c r="F14" s="485"/>
      <c r="G14" s="485"/>
      <c r="H14" s="485"/>
      <c r="I14" s="485"/>
      <c r="J14" s="485"/>
      <c r="K14" s="485"/>
      <c r="L14" s="485"/>
      <c r="M14" s="485"/>
      <c r="N14" s="485"/>
      <c r="O14" s="485"/>
      <c r="P14" s="486"/>
      <c r="Q14" s="477">
        <f t="shared" si="0"/>
        <v>5130.1875019999998</v>
      </c>
    </row>
    <row r="15" spans="1:17" s="489" customFormat="1">
      <c r="A15" s="487" t="s">
        <v>549</v>
      </c>
      <c r="B15" s="488">
        <f ca="1">SUM(B4:B14)</f>
        <v>42259.058404183954</v>
      </c>
      <c r="C15" s="488">
        <f t="shared" ref="C15:Q15" ca="1" si="1">SUM(C4:C14)</f>
        <v>0</v>
      </c>
      <c r="D15" s="488">
        <f t="shared" ca="1" si="1"/>
        <v>92669.674824278336</v>
      </c>
      <c r="E15" s="488">
        <f t="shared" si="1"/>
        <v>2875.1824102835312</v>
      </c>
      <c r="F15" s="488">
        <f t="shared" ca="1" si="1"/>
        <v>3822.6798873433245</v>
      </c>
      <c r="G15" s="488">
        <f t="shared" si="1"/>
        <v>185836.33708128487</v>
      </c>
      <c r="H15" s="488">
        <f t="shared" si="1"/>
        <v>38439.6382344003</v>
      </c>
      <c r="I15" s="488">
        <f t="shared" si="1"/>
        <v>0</v>
      </c>
      <c r="J15" s="488">
        <f t="shared" si="1"/>
        <v>61.524416507767341</v>
      </c>
      <c r="K15" s="488">
        <f t="shared" si="1"/>
        <v>0</v>
      </c>
      <c r="L15" s="488">
        <f t="shared" ca="1" si="1"/>
        <v>0</v>
      </c>
      <c r="M15" s="488">
        <f t="shared" si="1"/>
        <v>13239.572800777543</v>
      </c>
      <c r="N15" s="488">
        <f t="shared" ca="1" si="1"/>
        <v>7466.985008811951</v>
      </c>
      <c r="O15" s="488">
        <f t="shared" si="1"/>
        <v>277.62888114893161</v>
      </c>
      <c r="P15" s="488">
        <f t="shared" si="1"/>
        <v>379.09187684473073</v>
      </c>
      <c r="Q15" s="488">
        <f t="shared" ca="1" si="1"/>
        <v>387327.37382586527</v>
      </c>
    </row>
    <row r="17" spans="1:17">
      <c r="A17" s="490" t="s">
        <v>550</v>
      </c>
      <c r="B17" s="807">
        <f ca="1">huishoudens!B10</f>
        <v>0.13788501744001069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2776.1719455642278</v>
      </c>
      <c r="C22" s="478">
        <f t="shared" ref="C22:C32" ca="1" si="3">C4*$C$17</f>
        <v>0</v>
      </c>
      <c r="D22" s="478">
        <f t="shared" ref="D22:D32" si="4">D4*$D$17</f>
        <v>10602.883173820961</v>
      </c>
      <c r="E22" s="478">
        <f t="shared" ref="E22:E32" si="5">E4*$E$17</f>
        <v>399.69494020218275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13778.750059587372</v>
      </c>
    </row>
    <row r="23" spans="1:17">
      <c r="A23" s="477" t="s">
        <v>155</v>
      </c>
      <c r="B23" s="478">
        <f t="shared" ca="1" si="2"/>
        <v>1945.0129334376907</v>
      </c>
      <c r="C23" s="478">
        <f t="shared" ca="1" si="3"/>
        <v>0</v>
      </c>
      <c r="D23" s="478">
        <f t="shared" ca="1" si="4"/>
        <v>5299.7580048233049</v>
      </c>
      <c r="E23" s="478">
        <f t="shared" si="5"/>
        <v>45.019218401672838</v>
      </c>
      <c r="F23" s="478">
        <f t="shared" ca="1" si="6"/>
        <v>433.060737663304</v>
      </c>
      <c r="G23" s="478">
        <f t="shared" si="7"/>
        <v>0</v>
      </c>
      <c r="H23" s="478">
        <f t="shared" si="8"/>
        <v>0</v>
      </c>
      <c r="I23" s="478">
        <f t="shared" si="9"/>
        <v>0</v>
      </c>
      <c r="J23" s="478">
        <f t="shared" si="10"/>
        <v>6.9169107512917364E-3</v>
      </c>
      <c r="K23" s="478">
        <f t="shared" si="11"/>
        <v>0</v>
      </c>
      <c r="L23" s="478">
        <f t="shared" ca="1" si="12"/>
        <v>0</v>
      </c>
      <c r="M23" s="478">
        <f t="shared" si="13"/>
        <v>0</v>
      </c>
      <c r="N23" s="478">
        <f t="shared" ca="1" si="14"/>
        <v>0</v>
      </c>
      <c r="O23" s="478">
        <f t="shared" si="15"/>
        <v>0</v>
      </c>
      <c r="P23" s="479">
        <f t="shared" si="16"/>
        <v>0</v>
      </c>
      <c r="Q23" s="477">
        <f t="shared" ref="Q23:Q31" ca="1" si="17">SUM(B23:P23)</f>
        <v>7722.857811236724</v>
      </c>
    </row>
    <row r="24" spans="1:17">
      <c r="A24" s="477" t="s">
        <v>193</v>
      </c>
      <c r="B24" s="478">
        <f t="shared" ca="1" si="2"/>
        <v>120.13452760488835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120.13452760488835</v>
      </c>
    </row>
    <row r="25" spans="1:17">
      <c r="A25" s="477" t="s">
        <v>111</v>
      </c>
      <c r="B25" s="478">
        <f t="shared" ca="1" si="2"/>
        <v>26.080288235499189</v>
      </c>
      <c r="C25" s="478">
        <f t="shared" ca="1" si="3"/>
        <v>0</v>
      </c>
      <c r="D25" s="478">
        <f t="shared" si="4"/>
        <v>185.58108008043999</v>
      </c>
      <c r="E25" s="478">
        <f t="shared" si="5"/>
        <v>1.3400171159588021</v>
      </c>
      <c r="F25" s="478">
        <f t="shared" si="6"/>
        <v>178.47883735533483</v>
      </c>
      <c r="G25" s="478">
        <f t="shared" si="7"/>
        <v>0</v>
      </c>
      <c r="H25" s="478">
        <f t="shared" si="8"/>
        <v>0</v>
      </c>
      <c r="I25" s="478">
        <f t="shared" si="9"/>
        <v>0</v>
      </c>
      <c r="J25" s="478">
        <f t="shared" si="10"/>
        <v>18.447227583198867</v>
      </c>
      <c r="K25" s="478">
        <f t="shared" si="11"/>
        <v>0</v>
      </c>
      <c r="L25" s="478">
        <f t="shared" si="12"/>
        <v>0</v>
      </c>
      <c r="M25" s="478">
        <f t="shared" si="13"/>
        <v>0</v>
      </c>
      <c r="N25" s="478">
        <f t="shared" si="14"/>
        <v>0</v>
      </c>
      <c r="O25" s="478">
        <f t="shared" si="15"/>
        <v>0</v>
      </c>
      <c r="P25" s="479">
        <f t="shared" si="16"/>
        <v>0</v>
      </c>
      <c r="Q25" s="477">
        <f t="shared" ca="1" si="17"/>
        <v>409.9274503704317</v>
      </c>
    </row>
    <row r="26" spans="1:17">
      <c r="A26" s="477" t="s">
        <v>629</v>
      </c>
      <c r="B26" s="478">
        <f t="shared" ca="1" si="2"/>
        <v>802.87559887365228</v>
      </c>
      <c r="C26" s="478">
        <f t="shared" ca="1" si="3"/>
        <v>0</v>
      </c>
      <c r="D26" s="478">
        <f t="shared" si="4"/>
        <v>1624.1867691951441</v>
      </c>
      <c r="E26" s="478">
        <f t="shared" si="5"/>
        <v>100.78966073783228</v>
      </c>
      <c r="F26" s="478">
        <f t="shared" si="6"/>
        <v>409.11595490202876</v>
      </c>
      <c r="G26" s="478">
        <f t="shared" si="7"/>
        <v>0</v>
      </c>
      <c r="H26" s="478">
        <f t="shared" si="8"/>
        <v>0</v>
      </c>
      <c r="I26" s="478">
        <f t="shared" si="9"/>
        <v>0</v>
      </c>
      <c r="J26" s="478">
        <f t="shared" si="10"/>
        <v>3.3254989497994778</v>
      </c>
      <c r="K26" s="478">
        <f t="shared" si="11"/>
        <v>0</v>
      </c>
      <c r="L26" s="478">
        <f t="shared" si="12"/>
        <v>0</v>
      </c>
      <c r="M26" s="478">
        <f t="shared" si="13"/>
        <v>0</v>
      </c>
      <c r="N26" s="478">
        <f t="shared" si="14"/>
        <v>0</v>
      </c>
      <c r="O26" s="478">
        <f t="shared" si="15"/>
        <v>0</v>
      </c>
      <c r="P26" s="479">
        <f t="shared" si="16"/>
        <v>0</v>
      </c>
      <c r="Q26" s="477">
        <f t="shared" ca="1" si="17"/>
        <v>2940.2934826584574</v>
      </c>
    </row>
    <row r="27" spans="1:17" s="483" customFormat="1">
      <c r="A27" s="481" t="s">
        <v>555</v>
      </c>
      <c r="B27" s="801">
        <f t="shared" ca="1" si="2"/>
        <v>18.530420603624631</v>
      </c>
      <c r="C27" s="482">
        <f t="shared" ca="1" si="3"/>
        <v>0</v>
      </c>
      <c r="D27" s="482">
        <f t="shared" si="4"/>
        <v>100.18969836237108</v>
      </c>
      <c r="E27" s="482">
        <f t="shared" si="5"/>
        <v>105.8225706767149</v>
      </c>
      <c r="F27" s="482">
        <f t="shared" si="6"/>
        <v>0</v>
      </c>
      <c r="G27" s="482">
        <f t="shared" si="7"/>
        <v>49358.340554587929</v>
      </c>
      <c r="H27" s="482">
        <f t="shared" si="8"/>
        <v>9571.4699203656746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59154.353164596308</v>
      </c>
    </row>
    <row r="28" spans="1:17" ht="16.5" customHeight="1">
      <c r="A28" s="477" t="s">
        <v>545</v>
      </c>
      <c r="B28" s="478">
        <f t="shared" ca="1" si="2"/>
        <v>49.605234657057927</v>
      </c>
      <c r="C28" s="478">
        <f t="shared" ca="1" si="3"/>
        <v>0</v>
      </c>
      <c r="D28" s="478">
        <f t="shared" si="4"/>
        <v>0</v>
      </c>
      <c r="E28" s="478">
        <f t="shared" si="5"/>
        <v>0</v>
      </c>
      <c r="F28" s="478">
        <f t="shared" si="6"/>
        <v>0</v>
      </c>
      <c r="G28" s="478">
        <f t="shared" si="7"/>
        <v>259.96144611513495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309.56668077219285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88.480056082693793</v>
      </c>
      <c r="C32" s="478">
        <f t="shared" ca="1" si="3"/>
        <v>0</v>
      </c>
      <c r="D32" s="478">
        <f t="shared" si="4"/>
        <v>906.67558822199999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995.15564430469374</v>
      </c>
    </row>
    <row r="33" spans="1:17" s="489" customFormat="1">
      <c r="A33" s="487" t="s">
        <v>549</v>
      </c>
      <c r="B33" s="488">
        <f ca="1">SUM(B22:B32)</f>
        <v>5826.891005059334</v>
      </c>
      <c r="C33" s="488">
        <f t="shared" ref="C33:Q33" ca="1" si="19">SUM(C22:C32)</f>
        <v>0</v>
      </c>
      <c r="D33" s="488">
        <f t="shared" ca="1" si="19"/>
        <v>18719.274314504219</v>
      </c>
      <c r="E33" s="488">
        <f t="shared" si="19"/>
        <v>652.66640713436163</v>
      </c>
      <c r="F33" s="488">
        <f t="shared" ca="1" si="19"/>
        <v>1020.6555299206676</v>
      </c>
      <c r="G33" s="488">
        <f t="shared" si="19"/>
        <v>49618.302000703065</v>
      </c>
      <c r="H33" s="488">
        <f t="shared" si="19"/>
        <v>9571.4699203656746</v>
      </c>
      <c r="I33" s="488">
        <f t="shared" si="19"/>
        <v>0</v>
      </c>
      <c r="J33" s="488">
        <f t="shared" si="19"/>
        <v>21.779643443749638</v>
      </c>
      <c r="K33" s="488">
        <f t="shared" si="19"/>
        <v>0</v>
      </c>
      <c r="L33" s="488">
        <f t="shared" ca="1" si="19"/>
        <v>0</v>
      </c>
      <c r="M33" s="488">
        <f t="shared" si="19"/>
        <v>0</v>
      </c>
      <c r="N33" s="488">
        <f t="shared" ca="1" si="19"/>
        <v>0</v>
      </c>
      <c r="O33" s="488">
        <f t="shared" si="19"/>
        <v>0</v>
      </c>
      <c r="P33" s="488">
        <f t="shared" si="19"/>
        <v>0</v>
      </c>
      <c r="Q33" s="488">
        <f t="shared" ca="1" si="19"/>
        <v>85431.038821131049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12108.459054427283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3784.5767024293646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15893.035756856647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0.13788501744001069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0.13788501744001069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2019-08-12T08:40:53Z</dcterms:modified>
</cp:coreProperties>
</file>