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I20" i="15"/>
  <c r="J40" i="14" s="1"/>
  <c r="I15" i="48"/>
  <c r="J27" i="14"/>
  <c r="J7" i="48"/>
  <c r="J25" s="1"/>
  <c r="K33"/>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O15" i="48" l="1"/>
  <c r="J20" i="15"/>
  <c r="K40" i="14" s="1"/>
  <c r="E27"/>
  <c r="J78"/>
  <c r="J8" i="59"/>
  <c r="J10" s="1"/>
  <c r="D90" i="14"/>
  <c r="D17" i="59"/>
  <c r="D20" s="1"/>
  <c r="I90" i="14"/>
  <c r="I17" i="59"/>
  <c r="I20" s="1"/>
  <c r="J5" i="48"/>
  <c r="J23" s="1"/>
  <c r="C10" i="18"/>
  <c r="B15" i="48"/>
  <c r="D15"/>
  <c r="O33"/>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J90" i="14"/>
  <c r="J17" i="59"/>
  <c r="J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B16" i="22" s="1"/>
  <c r="B18" s="1"/>
  <c r="B4" i="6"/>
  <c r="C33" i="48"/>
  <c r="B18" i="15"/>
  <c r="B20" s="1"/>
  <c r="B20" i="16" l="1"/>
  <c r="B22" s="1"/>
  <c r="C43" i="14" s="1"/>
  <c r="R43" s="1"/>
  <c r="B17" i="19"/>
  <c r="B19" s="1"/>
  <c r="C39" i="14" s="1"/>
  <c r="R39" s="1"/>
  <c r="C12" i="59"/>
  <c r="B29" i="20"/>
  <c r="B31" s="1"/>
  <c r="C48" i="14" s="1"/>
  <c r="R48" s="1"/>
  <c r="B10" i="9"/>
  <c r="B12" s="1"/>
  <c r="C55" i="14"/>
  <c r="R55" s="1"/>
  <c r="B10" i="13"/>
  <c r="B56" i="22"/>
  <c r="B58" s="1"/>
  <c r="B17" i="49"/>
  <c r="B19" s="1"/>
  <c r="C42" i="14" s="1"/>
  <c r="R42" s="1"/>
  <c r="B10" i="17"/>
  <c r="B12" s="1"/>
  <c r="C54" i="14" s="1"/>
  <c r="R54" s="1"/>
  <c r="R56" s="1"/>
  <c r="C49"/>
  <c r="R49"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<sst xmlns="http://schemas.openxmlformats.org/spreadsheetml/2006/main" count="2384" uniqueCount="886">
  <si>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</si>
  <si>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</si>
  <si>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</si>
  <si>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</si>
  <si>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</si>
  <si>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</si>
  <si>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</si>
  <si>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</si>
  <si>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</si>
  <si>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</si>
  <si>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</si>
  <si>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</si>
  <si>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</si>
  <si>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</si>
  <si>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</si>
  <si>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</si>
  <si>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</si>
  <si>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</si>
  <si>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</si>
  <si>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</si>
  <si>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</si>
  <si>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</si>
  <si>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</si>
  <si>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</si>
  <si>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</si>
  <si>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</si>
  <si>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</si>
  <si>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</si>
  <si>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</si>
  <si>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</si>
  <si>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</si>
  <si>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</si>
  <si>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</si>
  <si>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</si>
  <si>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</si>
  <si>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</si>
  <si>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</si>
  <si>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</si>
  <si>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</si>
  <si>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</si>
  <si>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</si>
  <si>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</si>
  <si>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</si>
  <si>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</si>
  <si>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</si>
  <si>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</si>
  <si>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</si>
  <si>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</si>
  <si>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</si>
  <si>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</si>
  <si>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</si>
  <si>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</si>
  <si>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</si>
  <si>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</si>
  <si>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</si>
  <si>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</si>
  <si>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</si>
  <si>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</si>
  <si>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</si>
  <si>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</si>
  <si>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</si>
  <si>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</si>
  <si>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</si>
  <si>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</si>
  <si>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</si>
  <si>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</si>
  <si>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</si>
  <si>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</si>
  <si>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</si>
  <si>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</si>
  <si>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</si>
  <si>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</si>
  <si>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</si>
  <si>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</si>
  <si>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</si>
  <si>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</si>
  <si>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</si>
  <si>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</si>
  <si>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</si>
  <si>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</si>
  <si>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</si>
  <si>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</si>
  <si>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</si>
  <si>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</si>
  <si>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</si>
  <si>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</si>
  <si>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</si>
  <si>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</si>
  <si>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</si>
  <si>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</si>
  <si>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</si>
  <si>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</si>
  <si>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</si>
  <si>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</si>
  <si>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</si>
  <si>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</si>
  <si>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</si>
  <si>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</si>
  <si>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</si>
  <si>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</si>
  <si>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</si>
  <si>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</si>
  <si>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</si>
  <si>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</si>
  <si>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</si>
  <si>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</si>
  <si>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</si>
  <si>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</si>
  <si>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</si>
  <si>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</si>
  <si>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</si>
  <si>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</si>
  <si>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</si>
  <si>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</si>
  <si>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</si>
  <si>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</si>
  <si>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</si>
  <si>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</si>
  <si>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</si>
  <si>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</si>
  <si>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</si>
  <si>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</si>
  <si>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</si>
  <si>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</si>
  <si>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</si>
  <si>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</si>
  <si>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</si>
  <si>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</si>
  <si>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</si>
  <si>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</si>
  <si>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</si>
  <si>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</si>
  <si>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</si>
  <si>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</si>
  <si>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</si>
  <si>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</si>
  <si>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</si>
  <si>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</si>
  <si>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</si>
  <si>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</si>
  <si>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</si>
  <si>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</si>
  <si>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</si>
  <si>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</si>
  <si>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</si>
  <si>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</si>
  <si>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</si>
  <si>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</si>
  <si>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</si>
  <si>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</si>
  <si>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</si>
  <si>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</si>
  <si>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</si>
  <si>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</si>
  <si>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</si>
  <si>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</si>
  <si>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</si>
  <si>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</si>
  <si>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</si>
  <si>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</si>
  <si>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</si>
  <si>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</si>
  <si>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</si>
  <si>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</si>
  <si>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</si>
  <si>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</si>
  <si>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</si>
  <si>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</si>
  <si>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</si>
  <si>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</si>
  <si>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</si>
  <si>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</si>
  <si>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</si>
  <si>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</si>
  <si>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</si>
  <si>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</si>
  <si>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</si>
  <si>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</si>
  <si>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</si>
  <si>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</si>
  <si>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</si>
  <si>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</si>
  <si>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</si>
  <si>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</si>
  <si>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</si>
  <si>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</si>
  <si>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</si>
  <si>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</si>
  <si>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</si>
  <si>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</si>
  <si>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</si>
  <si>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</si>
  <si>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</si>
  <si>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</si>
  <si>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</si>
  <si>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</si>
  <si>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</si>
  <si>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</si>
  <si>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</si>
  <si>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</si>
  <si>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</si>
  <si>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</si>
  <si>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</si>
  <si>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</si>
  <si>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</si>
  <si>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</si>
  <si>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</si>
  <si>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</si>
  <si>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</si>
  <si>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</si>
  <si>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</si>
  <si>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</si>
  <si>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</si>
  <si>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</si>
  <si>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</si>
  <si>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</si>
  <si>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</si>
  <si>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</si>
  <si>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</si>
  <si>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</si>
  <si>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</si>
  <si>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</si>
  <si>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</si>
  <si>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</si>
  <si>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</si>
  <si>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</si>
  <si>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</si>
  <si>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</si>
  <si>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</si>
  <si>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</si>
  <si>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</si>
  <si>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</si>
  <si>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</si>
  <si>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</si>
  <si>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</si>
  <si>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</si>
  <si>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</si>
  <si>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</si>
  <si>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</si>
  <si>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</si>
  <si>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</si>
  <si>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</si>
  <si>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</si>
  <si>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</si>
  <si>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</si>
  <si>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</si>
  <si>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</si>
  <si>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</si>
  <si>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</si>
  <si>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</si>
  <si>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</si>
  <si>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</si>
  <si>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</si>
  <si>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</si>
  <si>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</si>
  <si>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</si>
  <si>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</si>
  <si>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</si>
  <si>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</si>
  <si>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</si>
  <si>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</si>
  <si>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</si>
  <si>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</si>
  <si>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</si>
  <si>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</si>
  <si>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</si>
  <si>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</si>
  <si>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</si>
  <si>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</si>
  <si>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</si>
  <si>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</si>
  <si>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</si>
  <si>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</si>
  <si>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</si>
  <si>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</si>
  <si>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</si>
  <si>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</si>
  <si>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</si>
  <si>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</si>
  <si>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</si>
  <si>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</si>
  <si>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</si>
  <si>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</si>
  <si>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</si>
  <si>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</si>
  <si>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</si>
  <si>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</si>
  <si>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</si>
  <si>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</si>
  <si>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</si>
  <si>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</si>
  <si>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</si>
  <si>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</si>
  <si>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</si>
  <si>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</si>
  <si>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</si>
  <si>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</si>
  <si>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</si>
  <si>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</si>
  <si>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</si>
  <si>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</si>
  <si>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</si>
  <si>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</si>
  <si>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</si>
  <si>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</si>
  <si>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</si>
  <si>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</si>
  <si>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</si>
  <si>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</si>
  <si>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</si>
  <si>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</si>
  <si>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</si>
  <si>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</si>
  <si>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</si>
  <si>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</si>
  <si>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</si>
  <si>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</si>
  <si>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</si>
  <si>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</si>
  <si>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</si>
  <si>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</si>
  <si>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</si>
  <si>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</si>
  <si>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</si>
  <si>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</si>
  <si>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</si>
  <si>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</si>
  <si>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</si>
  <si>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</si>
  <si>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</si>
  <si>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</si>
  <si>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</si>
  <si>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</si>
  <si>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</si>
  <si>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</si>
  <si>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</si>
  <si>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</si>
  <si>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</si>
  <si>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</si>
  <si>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</si>
  <si>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</si>
  <si>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</si>
  <si>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</si>
  <si>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</si>
  <si>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</si>
  <si>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</si>
  <si>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</si>
  <si>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</si>
  <si>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</si>
  <si>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</si>
  <si>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</si>
  <si>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</si>
  <si>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</si>
  <si>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</si>
  <si>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</si>
  <si>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</si>
  <si>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</si>
  <si>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</si>
  <si>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</si>
  <si>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</si>
  <si>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</si>
  <si>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</si>
  <si>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</si>
  <si>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</si>
  <si>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</si>
  <si>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</si>
  <si>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</si>
  <si>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</si>
  <si>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</si>
  <si>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</si>
  <si>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</si>
  <si>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</si>
  <si>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</si>
  <si>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</si>
  <si>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</si>
  <si>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</si>
  <si>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</si>
  <si>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</si>
  <si>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</si>
  <si>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</si>
  <si>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</si>
  <si>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</si>
  <si>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</si>
  <si>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</si>
  <si>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</si>
  <si>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</si>
  <si>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</si>
  <si>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</si>
  <si>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</si>
  <si>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</si>
  <si>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</si>
  <si>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</si>
  <si>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</si>
  <si>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</si>
  <si>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</si>
  <si>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</si>
  <si>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</si>
  <si>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</si>
  <si>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</si>
  <si>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</si>
  <si>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</si>
  <si>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</si>
  <si>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</si>
  <si>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</si>
  <si>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</si>
  <si>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</si>
  <si>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</si>
  <si>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</si>
  <si>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</si>
  <si>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</si>
  <si>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</si>
  <si>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</si>
  <si>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</si>
  <si>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</si>
  <si>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</si>
  <si>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</si>
  <si>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</si>
  <si>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</si>
  <si>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</si>
  <si>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</si>
  <si>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</si>
  <si>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</si>
  <si>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</si>
  <si>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</si>
  <si>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</si>
  <si>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</si>
  <si>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</si>
  <si>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</si>
  <si>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</si>
  <si>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</si>
  <si>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</si>
  <si>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</si>
  <si>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</si>
  <si>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</si>
  <si>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</si>
  <si>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</si>
  <si>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</si>
  <si>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</si>
  <si>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</si>
  <si>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</si>
  <si>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</si>
  <si>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</si>
  <si>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</si>
  <si>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</si>
  <si>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</si>
  <si>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</si>
  <si>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</si>
  <si>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</si>
  <si>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</si>
  <si>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</si>
  <si>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</si>
  <si>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</si>
  <si>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</si>
  <si>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</si>
  <si>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</si>
  <si>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</si>
  <si>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</si>
  <si>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</si>
  <si>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</si>
  <si>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</si>
  <si>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</si>
  <si>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</si>
  <si>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</si>
  <si>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</si>
  <si>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</si>
  <si>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</si>
  <si>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</si>
  <si>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</si>
  <si>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</si>
  <si>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</si>
  <si>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</si>
  <si>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</si>
  <si>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</si>
  <si>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</si>
  <si>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</si>
  <si>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</si>
  <si>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</si>
  <si>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</si>
  <si>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</si>
  <si>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</si>
  <si>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</si>
  <si>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</si>
  <si>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</si>
  <si>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</si>
  <si>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</si>
  <si>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</si>
  <si>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</si>
  <si>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</si>
  <si>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</si>
  <si>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</si>
  <si>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</si>
  <si>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</si>
  <si>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</si>
  <si>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</si>
  <si>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</si>
  <si>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</si>
  <si>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</si>
  <si>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</si>
  <si>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</si>
  <si>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</si>
  <si>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</si>
  <si>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</si>
  <si>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</si>
  <si>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</si>
  <si>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</si>
  <si>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</si>
  <si>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</si>
  <si>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</si>
  <si>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</si>
  <si>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</si>
  <si>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</si>
  <si>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</si>
  <si>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</si>
  <si>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</si>
  <si>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</si>
  <si>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</si>
  <si>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</si>
  <si>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</si>
  <si>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</si>
  <si>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</si>
  <si>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</si>
  <si>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</si>
  <si>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</si>
  <si>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</si>
  <si>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</si>
  <si>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</si>
  <si>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</si>
  <si>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</si>
  <si>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</si>
  <si>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</si>
  <si>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</si>
  <si>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</si>
  <si>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</si>
  <si>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</si>
  <si>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</si>
  <si>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</si>
  <si>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</si>
  <si>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</si>
  <si>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</si>
  <si>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</si>
  <si>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</si>
  <si>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</si>
  <si>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</si>
  <si>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</si>
  <si>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</si>
  <si>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</si>
  <si>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</si>
  <si>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</si>
  <si>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</si>
  <si>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</si>
  <si>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</si>
  <si>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</si>
  <si>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</si>
  <si>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</si>
  <si>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</si>
  <si>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</si>
  <si>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</si>
  <si>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</si>
  <si>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</si>
  <si>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</si>
  <si>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</si>
  <si>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</si>
  <si>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</si>
  <si>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</si>
  <si>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</si>
  <si>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</si>
  <si>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</si>
  <si>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</si>
  <si>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</si>
  <si>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</si>
  <si>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</si>
  <si>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</si>
  <si>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</si>
  <si>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</si>
  <si>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</si>
  <si>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</si>
  <si>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</si>
  <si>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</si>
  <si>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</si>
  <si>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</si>
  <si>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</si>
  <si>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</si>
  <si>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</si>
  <si>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</si>
  <si>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</si>
  <si>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</si>
  <si>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</si>
  <si>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</si>
  <si>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</si>
  <si>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</si>
  <si>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</si>
  <si>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</si>
  <si>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</si>
  <si>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</si>
  <si>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</si>
  <si>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</si>
  <si>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</si>
  <si>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</si>
  <si>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</si>
  <si>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</si>
  <si>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</si>
  <si>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</si>
  <si>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</si>
  <si>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</si>
  <si>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</si>
  <si>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</si>
  <si>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</si>
  <si>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</si>
  <si>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</si>
  <si>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</si>
  <si>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</si>
  <si>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</si>
  <si>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</si>
  <si>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</si>
  <si>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</si>
  <si>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</si>
  <si>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</si>
  <si>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</si>
  <si>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</si>
  <si>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</si>
  <si>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</si>
  <si>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</si>
  <si>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</si>
  <si>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</si>
  <si>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</si>
  <si>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</si>
  <si>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</si>
  <si>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</si>
  <si>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</si>
  <si>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</si>
  <si>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</si>
  <si>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</si>
  <si>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</si>
  <si>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</si>
  <si>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</si>
  <si>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</si>
  <si>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</si>
  <si>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</si>
  <si>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</si>
  <si>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</si>
  <si>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</si>
  <si>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</si>
  <si>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</si>
  <si>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</si>
  <si>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</si>
  <si>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</si>
  <si>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</si>
  <si>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</si>
  <si>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</si>
  <si>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</si>
  <si>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</si>
  <si>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</si>
  <si>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</si>
  <si>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</si>
  <si>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</si>
  <si>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</si>
  <si>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</si>
  <si>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</si>
  <si>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</si>
  <si>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</si>
  <si>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</si>
  <si>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</si>
  <si>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</si>
  <si>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</si>
  <si>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</si>
  <si>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</si>
  <si>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</si>
  <si>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</si>
  <si>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</si>
  <si>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</si>
  <si>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</si>
  <si>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</si>
  <si>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</si>
  <si>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</si>
  <si>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</si>
  <si>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</si>
  <si>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</si>
  <si>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</si>
  <si>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</si>
  <si>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</si>
  <si>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</si>
  <si>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</si>
  <si>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</si>
  <si>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</si>
  <si>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</si>
  <si>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</si>
  <si>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</si>
  <si>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</si>
  <si>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</si>
  <si>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</si>
  <si>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</si>
  <si>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</si>
  <si>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</si>
  <si>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</si>
  <si>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</si>
  <si>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</si>
  <si>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</si>
  <si>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</si>
  <si>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</si>
  <si>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</si>
  <si>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</si>
  <si>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</si>
  <si>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</si>
  <si>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</si>
  <si>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</si>
  <si>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</si>
  <si>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</si>
  <si>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</si>
  <si>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</si>
  <si>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</si>
  <si>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</si>
  <si>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</si>
  <si>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</si>
  <si>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</si>
  <si>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</si>
  <si>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</si>
  <si>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</si>
  <si>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</si>
  <si>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</si>
  <si>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</si>
  <si>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</si>
  <si>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</si>
  <si>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</si>
  <si>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</si>
  <si>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</si>
  <si>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</si>
  <si>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</si>
  <si>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</si>
  <si>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</si>
  <si>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</si>
  <si>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</si>
  <si>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</si>
  <si>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</si>
  <si>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</si>
  <si>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</si>
  <si>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</si>
  <si>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</si>
  <si>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</si>
  <si>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</si>
  <si>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</si>
  <si>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</si>
  <si>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</si>
  <si>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</si>
  <si>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</si>
  <si>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</si>
  <si>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</si>
  <si>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</si>
  <si>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</si>
  <si>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</si>
  <si>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</si>
  <si>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</si>
  <si>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</si>
  <si>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</si>
  <si>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</si>
  <si>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</si>
  <si>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</si>
  <si>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</si>
  <si>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</si>
  <si>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</si>
  <si>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</si>
  <si>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</si>
  <si>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</si>
  <si>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</si>
  <si>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</si>
  <si>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</si>
  <si>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</si>
  <si>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</si>
  <si>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</si>
  <si>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</si>
  <si>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</si>
  <si>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</si>
  <si>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</si>
  <si>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</si>
  <si>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</si>
  <si>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</si>
  <si>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</si>
  <si>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</si>
  <si>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</si>
  <si>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</si>
  <si>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</si>
  <si>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</si>
  <si>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</si>
  <si>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</si>
  <si>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</si>
  <si>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</si>
  <si>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</si>
  <si>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</si>
  <si>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</si>
  <si>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</si>
  <si>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</si>
  <si>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</si>
  <si>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</si>
  <si>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</si>
  <si>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</si>
  <si>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</si>
  <si>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</si>
  <si>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</si>
  <si>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</si>
  <si>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</si>
  <si>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</si>
  <si>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</si>
  <si>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</si>
  <si>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</si>
  <si>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</si>
  <si>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</si>
  <si>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</si>
  <si>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</si>
  <si>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</si>
  <si>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</si>
  <si>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</si>
  <si>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</si>
  <si>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</si>
  <si>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</si>
  <si>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</si>
  <si>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</si>
  <si>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</si>
  <si>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</si>
  <si>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</si>
  <si>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</si>
  <si>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</si>
  <si>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</si>
  <si>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</si>
  <si>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</si>
  <si>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</si>
  <si>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</si>
  <si>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</si>
  <si>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</si>
  <si>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</si>
  <si>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</si>
  <si>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</si>
  <si>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</si>
  <si>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</si>
  <si>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</si>
  <si>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</si>
  <si>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</si>
  <si>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</si>
  <si>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</si>
  <si>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</si>
  <si>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</si>
  <si>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</si>
  <si>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</si>
  <si>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</si>
  <si>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</si>
  <si>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</si>
  <si>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</si>
  <si>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</si>
  <si>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</si>
  <si>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</si>
  <si>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</si>
  <si>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</si>
  <si>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</si>
  <si>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</si>
  <si>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</si>
  <si>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</si>
  <si>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</si>
  <si>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</si>
  <si>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</si>
  <si>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</si>
  <si>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</si>
  <si>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</si>
  <si>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</si>
  <si>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</si>
  <si>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</si>
  <si>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</si>
  <si>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</si>
  <si>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</si>
  <si>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</si>
  <si>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</si>
  <si>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</si>
  <si>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</si>
  <si>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</si>
  <si>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</si>
  <si>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</si>
  <si>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</si>
  <si>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</si>
  <si>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</si>
  <si>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</si>
  <si>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</si>
  <si>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44013</t>
  </si>
  <si>
    <t>DESTELBERGEN</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</si>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</sst>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132943.31594559865</c:v>
                </c:pt>
                <c:pt idx="1">
                  <c:v>40476.193816489053</c:v>
                </c:pt>
                <c:pt idx="2">
                  <c:v>1281.6479999999999</c:v>
                </c:pt>
                <c:pt idx="3">
                  <c:v>16913.78465641326</c:v>
                </c:pt>
                <c:pt idx="4">
                  <c:v>37464.319384995717</c:v>
                </c:pt>
                <c:pt idx="5">
                  <c:v>312300.95454708725</c:v>
                </c:pt>
                <c:pt idx="6">
                  <c:v>1274.4590187674332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19072"/>
        <c:axId val="180820608"/>
      </c:barChart>
      <c:catAx>
        <c:axId val="180819072"/>
        <c:scaling>
          <c:orientation val="minMax"/>
        </c:scaling>
        <c:axPos val="b"/>
        <c:numFmt formatCode="General" sourceLinked="0"/>
        <c:tickLblPos val="nextTo"/>
        <c:crossAx val="180820608"/>
        <c:crosses val="autoZero"/>
        <c:auto val="1"/>
        <c:lblAlgn val="ctr"/>
        <c:lblOffset val="100"/>
      </c:catAx>
      <c:valAx>
        <c:axId val="180820608"/>
        <c:scaling>
          <c:orientation val="minMax"/>
        </c:scaling>
        <c:axPos val="l"/>
        <c:majorGridlines/>
        <c:numFmt formatCode="#,##0" sourceLinked="1"/>
        <c:tickLblPos val="nextTo"/>
        <c:crossAx val="180819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132943.31594559865</c:v>
                </c:pt>
                <c:pt idx="1">
                  <c:v>40476.193816489053</c:v>
                </c:pt>
                <c:pt idx="2">
                  <c:v>1281.6479999999999</c:v>
                </c:pt>
                <c:pt idx="3">
                  <c:v>16913.78465641326</c:v>
                </c:pt>
                <c:pt idx="4">
                  <c:v>37464.319384995717</c:v>
                </c:pt>
                <c:pt idx="5">
                  <c:v>312300.95454708725</c:v>
                </c:pt>
                <c:pt idx="6">
                  <c:v>1274.4590187674332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26034.068916707198</c:v>
                </c:pt>
                <c:pt idx="1">
                  <c:v>7872.350377327075</c:v>
                </c:pt>
                <c:pt idx="2">
                  <c:v>269.47009171046102</c:v>
                </c:pt>
                <c:pt idx="3">
                  <c:v>3916.2051245142525</c:v>
                </c:pt>
                <c:pt idx="4">
                  <c:v>7893.965824968338</c:v>
                </c:pt>
                <c:pt idx="5">
                  <c:v>77884.62057267924</c:v>
                </c:pt>
                <c:pt idx="6">
                  <c:v>322.3635559060769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071872"/>
        <c:axId val="181073408"/>
      </c:barChart>
      <c:catAx>
        <c:axId val="181071872"/>
        <c:scaling>
          <c:orientation val="minMax"/>
        </c:scaling>
        <c:axPos val="b"/>
        <c:numFmt formatCode="General" sourceLinked="0"/>
        <c:tickLblPos val="nextTo"/>
        <c:crossAx val="181073408"/>
        <c:crosses val="autoZero"/>
        <c:auto val="1"/>
        <c:lblAlgn val="ctr"/>
        <c:lblOffset val="100"/>
      </c:catAx>
      <c:valAx>
        <c:axId val="181073408"/>
        <c:scaling>
          <c:orientation val="minMax"/>
        </c:scaling>
        <c:axPos val="l"/>
        <c:majorGridlines/>
        <c:numFmt formatCode="#,##0" sourceLinked="1"/>
        <c:tickLblPos val="nextTo"/>
        <c:crossAx val="1810718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26034.068916707198</c:v>
                </c:pt>
                <c:pt idx="1">
                  <c:v>7872.350377327075</c:v>
                </c:pt>
                <c:pt idx="2">
                  <c:v>269.47009171046102</c:v>
                </c:pt>
                <c:pt idx="3">
                  <c:v>3916.2051245142525</c:v>
                </c:pt>
                <c:pt idx="4">
                  <c:v>7893.965824968338</c:v>
                </c:pt>
                <c:pt idx="5">
                  <c:v>77884.62057267924</c:v>
                </c:pt>
                <c:pt idx="6">
                  <c:v>322.3635559060769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44013</v>
      </c>
      <c r="B6" s="415"/>
      <c r="C6" s="416"/>
    </row>
    <row r="7" spans="1:7" s="413" customFormat="1" ht="15.75" customHeight="1">
      <c r="A7" s="417" t="str">
        <f>txtMunicipality</f>
        <v>DESTELBERGEN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18407.053862000001</v>
      </c>
      <c r="D10" s="712">
        <f ca="1">tertiair!C16</f>
        <v>0</v>
      </c>
      <c r="E10" s="712">
        <f ca="1">tertiair!D16</f>
        <v>18185.162250617999</v>
      </c>
      <c r="F10" s="712">
        <f>tertiair!E16</f>
        <v>196.92299140874286</v>
      </c>
      <c r="G10" s="712">
        <f ca="1">tertiair!F16</f>
        <v>2073.2460257066859</v>
      </c>
      <c r="H10" s="712">
        <f>tertiair!G16</f>
        <v>0</v>
      </c>
      <c r="I10" s="712">
        <f>tertiair!H16</f>
        <v>0</v>
      </c>
      <c r="J10" s="712">
        <f>tertiair!I16</f>
        <v>0</v>
      </c>
      <c r="K10" s="712">
        <f>tertiair!J16</f>
        <v>6.981045499930616E-2</v>
      </c>
      <c r="L10" s="712">
        <f>tertiair!K16</f>
        <v>0</v>
      </c>
      <c r="M10" s="712">
        <f ca="1">tertiair!L16</f>
        <v>0</v>
      </c>
      <c r="N10" s="712">
        <f>tertiair!M16</f>
        <v>0</v>
      </c>
      <c r="O10" s="712">
        <f ca="1">tertiair!N16</f>
        <v>2732.8722006153002</v>
      </c>
      <c r="P10" s="712">
        <f>tertiair!O16</f>
        <v>4.8972607658411542</v>
      </c>
      <c r="Q10" s="713">
        <f>tertiair!P16</f>
        <v>157.61741491948504</v>
      </c>
      <c r="R10" s="715">
        <f ca="1">SUM(C10:Q10)</f>
        <v>41757.841816489054</v>
      </c>
      <c r="S10" s="67"/>
    </row>
    <row r="11" spans="1:19" s="474" customFormat="1">
      <c r="A11" s="834" t="s">
        <v>224</v>
      </c>
      <c r="B11" s="839"/>
      <c r="C11" s="712">
        <f>huishoudens!B8</f>
        <v>35311.787582305296</v>
      </c>
      <c r="D11" s="712">
        <f>huishoudens!C8</f>
        <v>0</v>
      </c>
      <c r="E11" s="712">
        <f>huishoudens!D8</f>
        <v>70318.770599440002</v>
      </c>
      <c r="F11" s="712">
        <f>huishoudens!E8</f>
        <v>5241.6921442281655</v>
      </c>
      <c r="G11" s="712">
        <f>huishoudens!F8</f>
        <v>12042.736408159075</v>
      </c>
      <c r="H11" s="712">
        <f>huishoudens!G8</f>
        <v>0</v>
      </c>
      <c r="I11" s="712">
        <f>huishoudens!H8</f>
        <v>0</v>
      </c>
      <c r="J11" s="712">
        <f>huishoudens!I8</f>
        <v>0</v>
      </c>
      <c r="K11" s="712">
        <f>huishoudens!J8</f>
        <v>0</v>
      </c>
      <c r="L11" s="712">
        <f>huishoudens!K8</f>
        <v>0</v>
      </c>
      <c r="M11" s="712">
        <f>huishoudens!L8</f>
        <v>0</v>
      </c>
      <c r="N11" s="712">
        <f>huishoudens!M8</f>
        <v>0</v>
      </c>
      <c r="O11" s="712">
        <f>huishoudens!N8</f>
        <v>8815.4162554860286</v>
      </c>
      <c r="P11" s="712">
        <f>huishoudens!O8</f>
        <v>486.06976374982281</v>
      </c>
      <c r="Q11" s="713">
        <f>huishoudens!P8</f>
        <v>726.8431922302666</v>
      </c>
      <c r="R11" s="715">
        <f>SUM(C11:Q11)</f>
        <v>132943.31594559865</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19639.662279999997</v>
      </c>
      <c r="D13" s="712">
        <f>industrie!C18</f>
        <v>0</v>
      </c>
      <c r="E13" s="712">
        <f>industrie!D18</f>
        <v>11487.419192392001</v>
      </c>
      <c r="F13" s="712">
        <f>industrie!E18</f>
        <v>1178.8389155383215</v>
      </c>
      <c r="G13" s="712">
        <f>industrie!F18</f>
        <v>4206.7948291591993</v>
      </c>
      <c r="H13" s="712">
        <f>industrie!G18</f>
        <v>0</v>
      </c>
      <c r="I13" s="712">
        <f>industrie!H18</f>
        <v>0</v>
      </c>
      <c r="J13" s="712">
        <f>industrie!I18</f>
        <v>0</v>
      </c>
      <c r="K13" s="712">
        <f>industrie!J18</f>
        <v>150.85406619978943</v>
      </c>
      <c r="L13" s="712">
        <f>industrie!K18</f>
        <v>0</v>
      </c>
      <c r="M13" s="712">
        <f>industrie!L18</f>
        <v>0</v>
      </c>
      <c r="N13" s="712">
        <f>industrie!M18</f>
        <v>0</v>
      </c>
      <c r="O13" s="712">
        <f>industrie!N18</f>
        <v>800.75010170640837</v>
      </c>
      <c r="P13" s="712">
        <f>industrie!O18</f>
        <v>0</v>
      </c>
      <c r="Q13" s="713">
        <f>industrie!P18</f>
        <v>0</v>
      </c>
      <c r="R13" s="715">
        <f>SUM(C13:Q13)</f>
        <v>37464.319384995717</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73358.503724305294</v>
      </c>
      <c r="D16" s="748">
        <f t="shared" ref="D16:R16" ca="1" si="0">SUM(D9:D15)</f>
        <v>0</v>
      </c>
      <c r="E16" s="748">
        <f t="shared" ca="1" si="0"/>
        <v>99991.352042450002</v>
      </c>
      <c r="F16" s="748">
        <f t="shared" si="0"/>
        <v>6617.4540511752293</v>
      </c>
      <c r="G16" s="748">
        <f t="shared" ca="1" si="0"/>
        <v>18322.77726302496</v>
      </c>
      <c r="H16" s="748">
        <f t="shared" si="0"/>
        <v>0</v>
      </c>
      <c r="I16" s="748">
        <f t="shared" si="0"/>
        <v>0</v>
      </c>
      <c r="J16" s="748">
        <f t="shared" si="0"/>
        <v>0</v>
      </c>
      <c r="K16" s="748">
        <f t="shared" si="0"/>
        <v>150.92387665478873</v>
      </c>
      <c r="L16" s="748">
        <f t="shared" si="0"/>
        <v>0</v>
      </c>
      <c r="M16" s="748">
        <f t="shared" ca="1" si="0"/>
        <v>0</v>
      </c>
      <c r="N16" s="748">
        <f t="shared" si="0"/>
        <v>0</v>
      </c>
      <c r="O16" s="748">
        <f t="shared" ca="1" si="0"/>
        <v>12349.038557807737</v>
      </c>
      <c r="P16" s="748">
        <f t="shared" si="0"/>
        <v>490.96702451566398</v>
      </c>
      <c r="Q16" s="748">
        <f t="shared" si="0"/>
        <v>884.4606071497517</v>
      </c>
      <c r="R16" s="748">
        <f t="shared" ca="1" si="0"/>
        <v>212165.47714708344</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1207.3541419703254</v>
      </c>
      <c r="I19" s="712">
        <f>transport!H54</f>
        <v>0</v>
      </c>
      <c r="J19" s="712">
        <f>transport!I54</f>
        <v>0</v>
      </c>
      <c r="K19" s="712">
        <f>transport!J54</f>
        <v>0</v>
      </c>
      <c r="L19" s="712">
        <f>transport!K54</f>
        <v>0</v>
      </c>
      <c r="M19" s="712">
        <f>transport!L54</f>
        <v>0</v>
      </c>
      <c r="N19" s="712">
        <f>transport!M54</f>
        <v>67.10487679710792</v>
      </c>
      <c r="O19" s="712">
        <f>transport!N54</f>
        <v>0</v>
      </c>
      <c r="P19" s="712">
        <f>transport!O54</f>
        <v>0</v>
      </c>
      <c r="Q19" s="713">
        <f>transport!P54</f>
        <v>0</v>
      </c>
      <c r="R19" s="715">
        <f>SUM(C19:Q19)</f>
        <v>1274.4590187674332</v>
      </c>
      <c r="S19" s="67"/>
    </row>
    <row r="20" spans="1:19" s="474" customFormat="1">
      <c r="A20" s="834" t="s">
        <v>306</v>
      </c>
      <c r="B20" s="839"/>
      <c r="C20" s="712">
        <f>transport!B14</f>
        <v>152.66715449722221</v>
      </c>
      <c r="D20" s="712">
        <f>transport!C14</f>
        <v>0</v>
      </c>
      <c r="E20" s="712">
        <f>transport!D14</f>
        <v>584.35570816763777</v>
      </c>
      <c r="F20" s="712">
        <f>transport!E14</f>
        <v>542.21847021407643</v>
      </c>
      <c r="G20" s="712">
        <f>transport!F14</f>
        <v>0</v>
      </c>
      <c r="H20" s="712">
        <f>transport!G14</f>
        <v>248586.05845806631</v>
      </c>
      <c r="I20" s="712">
        <f>transport!H14</f>
        <v>45136.228195037169</v>
      </c>
      <c r="J20" s="712">
        <f>transport!I14</f>
        <v>0</v>
      </c>
      <c r="K20" s="712">
        <f>transport!J14</f>
        <v>0</v>
      </c>
      <c r="L20" s="712">
        <f>transport!K14</f>
        <v>0</v>
      </c>
      <c r="M20" s="712">
        <f>transport!L14</f>
        <v>0</v>
      </c>
      <c r="N20" s="712">
        <f>transport!M14</f>
        <v>17299.426561104832</v>
      </c>
      <c r="O20" s="712">
        <f>transport!N14</f>
        <v>0</v>
      </c>
      <c r="P20" s="712">
        <f>transport!O14</f>
        <v>0</v>
      </c>
      <c r="Q20" s="713">
        <f>transport!P14</f>
        <v>0</v>
      </c>
      <c r="R20" s="715">
        <f>SUM(C20:Q20)</f>
        <v>312300.95454708725</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152.66715449722221</v>
      </c>
      <c r="D22" s="837">
        <f t="shared" ref="D22:R22" si="1">SUM(D18:D21)</f>
        <v>0</v>
      </c>
      <c r="E22" s="837">
        <f t="shared" si="1"/>
        <v>584.35570816763777</v>
      </c>
      <c r="F22" s="837">
        <f t="shared" si="1"/>
        <v>542.21847021407643</v>
      </c>
      <c r="G22" s="837">
        <f t="shared" si="1"/>
        <v>0</v>
      </c>
      <c r="H22" s="837">
        <f t="shared" si="1"/>
        <v>249793.41260003665</v>
      </c>
      <c r="I22" s="837">
        <f t="shared" si="1"/>
        <v>45136.228195037169</v>
      </c>
      <c r="J22" s="837">
        <f t="shared" si="1"/>
        <v>0</v>
      </c>
      <c r="K22" s="837">
        <f t="shared" si="1"/>
        <v>0</v>
      </c>
      <c r="L22" s="837">
        <f t="shared" si="1"/>
        <v>0</v>
      </c>
      <c r="M22" s="837">
        <f t="shared" si="1"/>
        <v>0</v>
      </c>
      <c r="N22" s="837">
        <f t="shared" si="1"/>
        <v>17366.53143790194</v>
      </c>
      <c r="O22" s="837">
        <f t="shared" si="1"/>
        <v>0</v>
      </c>
      <c r="P22" s="837">
        <f t="shared" si="1"/>
        <v>0</v>
      </c>
      <c r="Q22" s="837">
        <f t="shared" si="1"/>
        <v>0</v>
      </c>
      <c r="R22" s="837">
        <f t="shared" si="1"/>
        <v>313575.41356585472</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1780.3706729999999</v>
      </c>
      <c r="D24" s="712">
        <f>+landbouw!C8</f>
        <v>0</v>
      </c>
      <c r="E24" s="712">
        <f>+landbouw!D8</f>
        <v>8295.3175521039993</v>
      </c>
      <c r="F24" s="712">
        <f>+landbouw!E8</f>
        <v>55.564781610510565</v>
      </c>
      <c r="G24" s="712">
        <f>+landbouw!F8</f>
        <v>6292.0271825248365</v>
      </c>
      <c r="H24" s="712">
        <f>+landbouw!G8</f>
        <v>0</v>
      </c>
      <c r="I24" s="712">
        <f>+landbouw!H8</f>
        <v>0</v>
      </c>
      <c r="J24" s="712">
        <f>+landbouw!I8</f>
        <v>0</v>
      </c>
      <c r="K24" s="712">
        <f>+landbouw!J8</f>
        <v>490.50446717391094</v>
      </c>
      <c r="L24" s="712">
        <f>+landbouw!K8</f>
        <v>0</v>
      </c>
      <c r="M24" s="712">
        <f>+landbouw!L8</f>
        <v>0</v>
      </c>
      <c r="N24" s="712">
        <f>+landbouw!M8</f>
        <v>0</v>
      </c>
      <c r="O24" s="712">
        <f>+landbouw!N8</f>
        <v>0</v>
      </c>
      <c r="P24" s="712">
        <f>+landbouw!O8</f>
        <v>0</v>
      </c>
      <c r="Q24" s="713">
        <f>+landbouw!P8</f>
        <v>0</v>
      </c>
      <c r="R24" s="715">
        <f>SUM(C24:Q24)</f>
        <v>16913.78465641326</v>
      </c>
      <c r="S24" s="67"/>
    </row>
    <row r="25" spans="1:19" s="474" customFormat="1" ht="15" thickBot="1">
      <c r="A25" s="856" t="s">
        <v>734</v>
      </c>
      <c r="B25" s="982"/>
      <c r="C25" s="983">
        <f>IF(Onbekend_ele_kWh="---",0,Onbekend_ele_kWh)/1000+IF(REST_rest_ele_kWh="---",0,REST_rest_ele_kWh)/1000</f>
        <v>1050.276509</v>
      </c>
      <c r="D25" s="983"/>
      <c r="E25" s="983">
        <f>IF(onbekend_gas_kWh="---",0,onbekend_gas_kWh)/1000+IF(REST_rest_gas_kWh="---",0,REST_rest_gas_kWh)/1000</f>
        <v>3972.179185</v>
      </c>
      <c r="F25" s="983"/>
      <c r="G25" s="983"/>
      <c r="H25" s="983"/>
      <c r="I25" s="983"/>
      <c r="J25" s="983"/>
      <c r="K25" s="983"/>
      <c r="L25" s="983"/>
      <c r="M25" s="983"/>
      <c r="N25" s="983"/>
      <c r="O25" s="983"/>
      <c r="P25" s="983"/>
      <c r="Q25" s="984"/>
      <c r="R25" s="715">
        <f>SUM(C25:Q25)</f>
        <v>5022.4556940000002</v>
      </c>
      <c r="S25" s="67"/>
    </row>
    <row r="26" spans="1:19" s="474" customFormat="1" ht="15.75" thickBot="1">
      <c r="A26" s="720" t="s">
        <v>735</v>
      </c>
      <c r="B26" s="842"/>
      <c r="C26" s="837">
        <f>SUM(C24:C25)</f>
        <v>2830.6471819999997</v>
      </c>
      <c r="D26" s="837">
        <f t="shared" ref="D26:R26" si="2">SUM(D24:D25)</f>
        <v>0</v>
      </c>
      <c r="E26" s="837">
        <f t="shared" si="2"/>
        <v>12267.496737104</v>
      </c>
      <c r="F26" s="837">
        <f t="shared" si="2"/>
        <v>55.564781610510565</v>
      </c>
      <c r="G26" s="837">
        <f t="shared" si="2"/>
        <v>6292.0271825248365</v>
      </c>
      <c r="H26" s="837">
        <f t="shared" si="2"/>
        <v>0</v>
      </c>
      <c r="I26" s="837">
        <f t="shared" si="2"/>
        <v>0</v>
      </c>
      <c r="J26" s="837">
        <f t="shared" si="2"/>
        <v>0</v>
      </c>
      <c r="K26" s="837">
        <f t="shared" si="2"/>
        <v>490.50446717391094</v>
      </c>
      <c r="L26" s="837">
        <f t="shared" si="2"/>
        <v>0</v>
      </c>
      <c r="M26" s="837">
        <f t="shared" si="2"/>
        <v>0</v>
      </c>
      <c r="N26" s="837">
        <f t="shared" si="2"/>
        <v>0</v>
      </c>
      <c r="O26" s="837">
        <f t="shared" si="2"/>
        <v>0</v>
      </c>
      <c r="P26" s="837">
        <f t="shared" si="2"/>
        <v>0</v>
      </c>
      <c r="Q26" s="837">
        <f t="shared" si="2"/>
        <v>0</v>
      </c>
      <c r="R26" s="837">
        <f t="shared" si="2"/>
        <v>21936.24035041326</v>
      </c>
      <c r="S26" s="67"/>
    </row>
    <row r="27" spans="1:19" s="474" customFormat="1" ht="17.25" thickTop="1" thickBot="1">
      <c r="A27" s="721" t="s">
        <v>115</v>
      </c>
      <c r="B27" s="829"/>
      <c r="C27" s="722">
        <f ca="1">C22+C16+C26</f>
        <v>76341.818060802514</v>
      </c>
      <c r="D27" s="722">
        <f t="shared" ref="D27:R27" ca="1" si="3">D22+D16+D26</f>
        <v>0</v>
      </c>
      <c r="E27" s="722">
        <f t="shared" ca="1" si="3"/>
        <v>112843.20448772164</v>
      </c>
      <c r="F27" s="722">
        <f t="shared" si="3"/>
        <v>7215.2373029998162</v>
      </c>
      <c r="G27" s="722">
        <f t="shared" ca="1" si="3"/>
        <v>24614.804445549795</v>
      </c>
      <c r="H27" s="722">
        <f t="shared" si="3"/>
        <v>249793.41260003665</v>
      </c>
      <c r="I27" s="722">
        <f t="shared" si="3"/>
        <v>45136.228195037169</v>
      </c>
      <c r="J27" s="722">
        <f t="shared" si="3"/>
        <v>0</v>
      </c>
      <c r="K27" s="722">
        <f t="shared" si="3"/>
        <v>641.42834382869967</v>
      </c>
      <c r="L27" s="722">
        <f t="shared" si="3"/>
        <v>0</v>
      </c>
      <c r="M27" s="722">
        <f t="shared" ca="1" si="3"/>
        <v>0</v>
      </c>
      <c r="N27" s="722">
        <f t="shared" si="3"/>
        <v>17366.53143790194</v>
      </c>
      <c r="O27" s="722">
        <f t="shared" ca="1" si="3"/>
        <v>12349.038557807737</v>
      </c>
      <c r="P27" s="722">
        <f t="shared" si="3"/>
        <v>490.96702451566398</v>
      </c>
      <c r="Q27" s="722">
        <f t="shared" si="3"/>
        <v>884.4606071497517</v>
      </c>
      <c r="R27" s="722">
        <f t="shared" ca="1" si="3"/>
        <v>547677.13106335141</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3870.1347735981608</v>
      </c>
      <c r="D40" s="712">
        <f ca="1">tertiair!C20</f>
        <v>0</v>
      </c>
      <c r="E40" s="712">
        <f ca="1">tertiair!D20</f>
        <v>3673.4027746248362</v>
      </c>
      <c r="F40" s="712">
        <f>tertiair!E20</f>
        <v>44.701519049784629</v>
      </c>
      <c r="G40" s="712">
        <f ca="1">tertiair!F20</f>
        <v>553.55668886368517</v>
      </c>
      <c r="H40" s="712">
        <f>tertiair!G20</f>
        <v>0</v>
      </c>
      <c r="I40" s="712">
        <f>tertiair!H20</f>
        <v>0</v>
      </c>
      <c r="J40" s="712">
        <f>tertiair!I20</f>
        <v>0</v>
      </c>
      <c r="K40" s="712">
        <f>tertiair!J20</f>
        <v>2.4712901069754378E-2</v>
      </c>
      <c r="L40" s="712">
        <f>tertiair!K20</f>
        <v>0</v>
      </c>
      <c r="M40" s="712">
        <f ca="1">tertiair!L20</f>
        <v>0</v>
      </c>
      <c r="N40" s="712">
        <f>tertiair!M20</f>
        <v>0</v>
      </c>
      <c r="O40" s="712">
        <f ca="1">tertiair!N20</f>
        <v>0</v>
      </c>
      <c r="P40" s="712">
        <f>tertiair!O20</f>
        <v>0</v>
      </c>
      <c r="Q40" s="795">
        <f>tertiair!P20</f>
        <v>0</v>
      </c>
      <c r="R40" s="875">
        <f t="shared" ca="1" si="4"/>
        <v>8141.8204690375369</v>
      </c>
    </row>
    <row r="41" spans="1:18">
      <c r="A41" s="847" t="s">
        <v>224</v>
      </c>
      <c r="B41" s="854"/>
      <c r="C41" s="712">
        <f ca="1">huishoudens!B12</f>
        <v>7424.40251790205</v>
      </c>
      <c r="D41" s="712">
        <f ca="1">huishoudens!C12</f>
        <v>0</v>
      </c>
      <c r="E41" s="712">
        <f>huishoudens!D12</f>
        <v>14204.391661086882</v>
      </c>
      <c r="F41" s="712">
        <f>huishoudens!E12</f>
        <v>1189.8641167397936</v>
      </c>
      <c r="G41" s="712">
        <f>huishoudens!F12</f>
        <v>3215.4106209784732</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26034.068916707198</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4129.2941554577237</v>
      </c>
      <c r="D43" s="712">
        <f ca="1">industrie!C22</f>
        <v>0</v>
      </c>
      <c r="E43" s="712">
        <f>industrie!D22</f>
        <v>2320.4586768631843</v>
      </c>
      <c r="F43" s="712">
        <f>industrie!E22</f>
        <v>267.59643382719901</v>
      </c>
      <c r="G43" s="712">
        <f>industrie!F22</f>
        <v>1123.2142193855063</v>
      </c>
      <c r="H43" s="712">
        <f>industrie!G22</f>
        <v>0</v>
      </c>
      <c r="I43" s="712">
        <f>industrie!H22</f>
        <v>0</v>
      </c>
      <c r="J43" s="712">
        <f>industrie!I22</f>
        <v>0</v>
      </c>
      <c r="K43" s="712">
        <f>industrie!J22</f>
        <v>53.402339434725455</v>
      </c>
      <c r="L43" s="712">
        <f>industrie!K22</f>
        <v>0</v>
      </c>
      <c r="M43" s="712">
        <f>industrie!L22</f>
        <v>0</v>
      </c>
      <c r="N43" s="712">
        <f>industrie!M22</f>
        <v>0</v>
      </c>
      <c r="O43" s="712">
        <f>industrie!N22</f>
        <v>0</v>
      </c>
      <c r="P43" s="712">
        <f>industrie!O22</f>
        <v>0</v>
      </c>
      <c r="Q43" s="795">
        <f>industrie!P22</f>
        <v>0</v>
      </c>
      <c r="R43" s="874">
        <f t="shared" ca="1" si="4"/>
        <v>7893.965824968338</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15423.831446957935</v>
      </c>
      <c r="D46" s="748">
        <f t="shared" ref="D46:Q46" ca="1" si="5">SUM(D39:D45)</f>
        <v>0</v>
      </c>
      <c r="E46" s="748">
        <f t="shared" ca="1" si="5"/>
        <v>20198.253112574905</v>
      </c>
      <c r="F46" s="748">
        <f t="shared" si="5"/>
        <v>1502.1620696167772</v>
      </c>
      <c r="G46" s="748">
        <f t="shared" ca="1" si="5"/>
        <v>4892.1815292276642</v>
      </c>
      <c r="H46" s="748">
        <f t="shared" si="5"/>
        <v>0</v>
      </c>
      <c r="I46" s="748">
        <f t="shared" si="5"/>
        <v>0</v>
      </c>
      <c r="J46" s="748">
        <f t="shared" si="5"/>
        <v>0</v>
      </c>
      <c r="K46" s="748">
        <f t="shared" si="5"/>
        <v>53.42705233579521</v>
      </c>
      <c r="L46" s="748">
        <f t="shared" si="5"/>
        <v>0</v>
      </c>
      <c r="M46" s="748">
        <f t="shared" ca="1" si="5"/>
        <v>0</v>
      </c>
      <c r="N46" s="748">
        <f t="shared" si="5"/>
        <v>0</v>
      </c>
      <c r="O46" s="748">
        <f t="shared" ca="1" si="5"/>
        <v>0</v>
      </c>
      <c r="P46" s="748">
        <f t="shared" si="5"/>
        <v>0</v>
      </c>
      <c r="Q46" s="748">
        <f t="shared" si="5"/>
        <v>0</v>
      </c>
      <c r="R46" s="748">
        <f ca="1">SUM(R39:R45)</f>
        <v>42069.855210713067</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322.3635559060769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322.3635559060769</v>
      </c>
    </row>
    <row r="50" spans="1:18">
      <c r="A50" s="850" t="s">
        <v>306</v>
      </c>
      <c r="B50" s="860"/>
      <c r="C50" s="718">
        <f ca="1">transport!B18</f>
        <v>32.098698022812499</v>
      </c>
      <c r="D50" s="718">
        <f>transport!C18</f>
        <v>0</v>
      </c>
      <c r="E50" s="718">
        <f>transport!D18</f>
        <v>118.03985304986284</v>
      </c>
      <c r="F50" s="718">
        <f>transport!E18</f>
        <v>123.08359273859536</v>
      </c>
      <c r="G50" s="718">
        <f>transport!F18</f>
        <v>0</v>
      </c>
      <c r="H50" s="718">
        <f>transport!G18</f>
        <v>66372.477608303714</v>
      </c>
      <c r="I50" s="718">
        <f>transport!H18</f>
        <v>11238.920820564255</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77884.62057267924</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32.098698022812499</v>
      </c>
      <c r="D52" s="748">
        <f t="shared" ref="D52:Q52" ca="1" si="6">SUM(D48:D51)</f>
        <v>0</v>
      </c>
      <c r="E52" s="748">
        <f t="shared" si="6"/>
        <v>118.03985304986284</v>
      </c>
      <c r="F52" s="748">
        <f t="shared" si="6"/>
        <v>123.08359273859536</v>
      </c>
      <c r="G52" s="748">
        <f t="shared" si="6"/>
        <v>0</v>
      </c>
      <c r="H52" s="748">
        <f t="shared" si="6"/>
        <v>66694.841164209793</v>
      </c>
      <c r="I52" s="748">
        <f t="shared" si="6"/>
        <v>11238.920820564255</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78206.984128585318</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374.32793444996224</v>
      </c>
      <c r="D54" s="718">
        <f ca="1">+landbouw!C12</f>
        <v>0</v>
      </c>
      <c r="E54" s="718">
        <f>+landbouw!D12</f>
        <v>1675.6541455250081</v>
      </c>
      <c r="F54" s="718">
        <f>+landbouw!E12</f>
        <v>12.613205425585898</v>
      </c>
      <c r="G54" s="718">
        <f>+landbouw!F12</f>
        <v>1679.9712577341315</v>
      </c>
      <c r="H54" s="718">
        <f>+landbouw!G12</f>
        <v>0</v>
      </c>
      <c r="I54" s="718">
        <f>+landbouw!H12</f>
        <v>0</v>
      </c>
      <c r="J54" s="718">
        <f>+landbouw!I12</f>
        <v>0</v>
      </c>
      <c r="K54" s="718">
        <f>+landbouw!J12</f>
        <v>173.63858137956447</v>
      </c>
      <c r="L54" s="718">
        <f>+landbouw!K12</f>
        <v>0</v>
      </c>
      <c r="M54" s="718">
        <f>+landbouw!L12</f>
        <v>0</v>
      </c>
      <c r="N54" s="718">
        <f>+landbouw!M12</f>
        <v>0</v>
      </c>
      <c r="O54" s="718">
        <f>+landbouw!N12</f>
        <v>0</v>
      </c>
      <c r="P54" s="718">
        <f>+landbouw!O12</f>
        <v>0</v>
      </c>
      <c r="Q54" s="719">
        <f>+landbouw!P12</f>
        <v>0</v>
      </c>
      <c r="R54" s="747">
        <f ca="1">SUM(C54:Q54)</f>
        <v>3916.2051245142525</v>
      </c>
    </row>
    <row r="55" spans="1:18" ht="15" thickBot="1">
      <c r="A55" s="850" t="s">
        <v>734</v>
      </c>
      <c r="B55" s="860"/>
      <c r="C55" s="718">
        <f ca="1">C25*'EF ele_warmte'!B12</f>
        <v>220.82358588440263</v>
      </c>
      <c r="D55" s="718"/>
      <c r="E55" s="718">
        <f>E25*EF_CO2_aardgas</f>
        <v>802.38019537000002</v>
      </c>
      <c r="F55" s="718"/>
      <c r="G55" s="718"/>
      <c r="H55" s="718"/>
      <c r="I55" s="718"/>
      <c r="J55" s="718"/>
      <c r="K55" s="718"/>
      <c r="L55" s="718"/>
      <c r="M55" s="718"/>
      <c r="N55" s="718"/>
      <c r="O55" s="718"/>
      <c r="P55" s="718"/>
      <c r="Q55" s="719"/>
      <c r="R55" s="747">
        <f ca="1">SUM(C55:Q55)</f>
        <v>1023.2037812544027</v>
      </c>
    </row>
    <row r="56" spans="1:18" ht="15.75" thickBot="1">
      <c r="A56" s="848" t="s">
        <v>735</v>
      </c>
      <c r="B56" s="861"/>
      <c r="C56" s="748">
        <f ca="1">SUM(C54:C55)</f>
        <v>595.15152033436493</v>
      </c>
      <c r="D56" s="748">
        <f t="shared" ref="D56:Q56" ca="1" si="7">SUM(D54:D55)</f>
        <v>0</v>
      </c>
      <c r="E56" s="748">
        <f t="shared" si="7"/>
        <v>2478.034340895008</v>
      </c>
      <c r="F56" s="748">
        <f t="shared" si="7"/>
        <v>12.613205425585898</v>
      </c>
      <c r="G56" s="748">
        <f t="shared" si="7"/>
        <v>1679.9712577341315</v>
      </c>
      <c r="H56" s="748">
        <f t="shared" si="7"/>
        <v>0</v>
      </c>
      <c r="I56" s="748">
        <f t="shared" si="7"/>
        <v>0</v>
      </c>
      <c r="J56" s="748">
        <f t="shared" si="7"/>
        <v>0</v>
      </c>
      <c r="K56" s="748">
        <f t="shared" si="7"/>
        <v>173.63858137956447</v>
      </c>
      <c r="L56" s="748">
        <f t="shared" si="7"/>
        <v>0</v>
      </c>
      <c r="M56" s="748">
        <f t="shared" si="7"/>
        <v>0</v>
      </c>
      <c r="N56" s="748">
        <f t="shared" si="7"/>
        <v>0</v>
      </c>
      <c r="O56" s="748">
        <f t="shared" si="7"/>
        <v>0</v>
      </c>
      <c r="P56" s="748">
        <f t="shared" si="7"/>
        <v>0</v>
      </c>
      <c r="Q56" s="749">
        <f t="shared" si="7"/>
        <v>0</v>
      </c>
      <c r="R56" s="750">
        <f ca="1">SUM(R54:R55)</f>
        <v>4939.4089057686551</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16051.081665315111</v>
      </c>
      <c r="D61" s="756">
        <f t="shared" ref="D61:Q61" ca="1" si="8">D46+D52+D56</f>
        <v>0</v>
      </c>
      <c r="E61" s="756">
        <f t="shared" ca="1" si="8"/>
        <v>22794.327306519775</v>
      </c>
      <c r="F61" s="756">
        <f t="shared" si="8"/>
        <v>1637.8588677809585</v>
      </c>
      <c r="G61" s="756">
        <f t="shared" ca="1" si="8"/>
        <v>6572.1527869617958</v>
      </c>
      <c r="H61" s="756">
        <f t="shared" si="8"/>
        <v>66694.841164209793</v>
      </c>
      <c r="I61" s="756">
        <f t="shared" si="8"/>
        <v>11238.920820564255</v>
      </c>
      <c r="J61" s="756">
        <f t="shared" si="8"/>
        <v>0</v>
      </c>
      <c r="K61" s="756">
        <f t="shared" si="8"/>
        <v>227.0656337153597</v>
      </c>
      <c r="L61" s="756">
        <f t="shared" si="8"/>
        <v>0</v>
      </c>
      <c r="M61" s="756">
        <f t="shared" ca="1" si="8"/>
        <v>0</v>
      </c>
      <c r="N61" s="756">
        <f t="shared" si="8"/>
        <v>0</v>
      </c>
      <c r="O61" s="756">
        <f t="shared" ca="1" si="8"/>
        <v>0</v>
      </c>
      <c r="P61" s="756">
        <f t="shared" si="8"/>
        <v>0</v>
      </c>
      <c r="Q61" s="756">
        <f t="shared" si="8"/>
        <v>0</v>
      </c>
      <c r="R61" s="756">
        <f ca="1">R46+R52+R56</f>
        <v>125216.24824506704</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0.21025280865765092</v>
      </c>
      <c r="D63" s="802">
        <f t="shared" ca="1" si="9"/>
        <v>0</v>
      </c>
      <c r="E63" s="1008">
        <f t="shared" ca="1" si="9"/>
        <v>0.20200000000000004</v>
      </c>
      <c r="F63" s="802">
        <f t="shared" si="9"/>
        <v>0.22700000000000004</v>
      </c>
      <c r="G63" s="802">
        <f t="shared" ca="1" si="9"/>
        <v>0.26700000000000002</v>
      </c>
      <c r="H63" s="802">
        <f t="shared" si="9"/>
        <v>0.26700000000000002</v>
      </c>
      <c r="I63" s="802">
        <f t="shared" si="9"/>
        <v>0.249</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3712.4892584716945</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3712.4892584716945</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35311.787582305296</v>
      </c>
      <c r="C4" s="478">
        <f>huishoudens!C8</f>
        <v>0</v>
      </c>
      <c r="D4" s="478">
        <f>huishoudens!D8</f>
        <v>70318.770599440002</v>
      </c>
      <c r="E4" s="478">
        <f>huishoudens!E8</f>
        <v>5241.6921442281655</v>
      </c>
      <c r="F4" s="478">
        <f>huishoudens!F8</f>
        <v>12042.736408159075</v>
      </c>
      <c r="G4" s="478">
        <f>huishoudens!G8</f>
        <v>0</v>
      </c>
      <c r="H4" s="478">
        <f>huishoudens!H8</f>
        <v>0</v>
      </c>
      <c r="I4" s="478">
        <f>huishoudens!I8</f>
        <v>0</v>
      </c>
      <c r="J4" s="478">
        <f>huishoudens!J8</f>
        <v>0</v>
      </c>
      <c r="K4" s="478">
        <f>huishoudens!K8</f>
        <v>0</v>
      </c>
      <c r="L4" s="478">
        <f>huishoudens!L8</f>
        <v>0</v>
      </c>
      <c r="M4" s="478">
        <f>huishoudens!M8</f>
        <v>0</v>
      </c>
      <c r="N4" s="478">
        <f>huishoudens!N8</f>
        <v>8815.4162554860286</v>
      </c>
      <c r="O4" s="478">
        <f>huishoudens!O8</f>
        <v>486.06976374982281</v>
      </c>
      <c r="P4" s="479">
        <f>huishoudens!P8</f>
        <v>726.8431922302666</v>
      </c>
      <c r="Q4" s="480">
        <f>SUM(B4:P4)</f>
        <v>132943.31594559865</v>
      </c>
    </row>
    <row r="5" spans="1:17">
      <c r="A5" s="477" t="s">
        <v>155</v>
      </c>
      <c r="B5" s="478">
        <f ca="1">tertiair!B16</f>
        <v>17125.405862</v>
      </c>
      <c r="C5" s="478">
        <f ca="1">tertiair!C16</f>
        <v>0</v>
      </c>
      <c r="D5" s="478">
        <f ca="1">tertiair!D16</f>
        <v>18185.162250617999</v>
      </c>
      <c r="E5" s="478">
        <f>tertiair!E16</f>
        <v>196.92299140874286</v>
      </c>
      <c r="F5" s="478">
        <f ca="1">tertiair!F16</f>
        <v>2073.2460257066859</v>
      </c>
      <c r="G5" s="478">
        <f>tertiair!G16</f>
        <v>0</v>
      </c>
      <c r="H5" s="478">
        <f>tertiair!H16</f>
        <v>0</v>
      </c>
      <c r="I5" s="478">
        <f>tertiair!I16</f>
        <v>0</v>
      </c>
      <c r="J5" s="478">
        <f>tertiair!J16</f>
        <v>6.981045499930616E-2</v>
      </c>
      <c r="K5" s="478">
        <f>tertiair!K16</f>
        <v>0</v>
      </c>
      <c r="L5" s="478">
        <f ca="1">tertiair!L16</f>
        <v>0</v>
      </c>
      <c r="M5" s="478">
        <f>tertiair!M16</f>
        <v>0</v>
      </c>
      <c r="N5" s="478">
        <f ca="1">tertiair!N16</f>
        <v>2732.8722006153002</v>
      </c>
      <c r="O5" s="478">
        <f>tertiair!O16</f>
        <v>4.8972607658411542</v>
      </c>
      <c r="P5" s="479">
        <f>tertiair!P16</f>
        <v>157.61741491948504</v>
      </c>
      <c r="Q5" s="477">
        <f t="shared" ref="Q5:Q14" ca="1" si="0">SUM(B5:P5)</f>
        <v>40476.193816489053</v>
      </c>
    </row>
    <row r="6" spans="1:17">
      <c r="A6" s="477" t="s">
        <v>193</v>
      </c>
      <c r="B6" s="478">
        <f>'openbare verlichting'!B8</f>
        <v>1281.6479999999999</v>
      </c>
      <c r="C6" s="478"/>
      <c r="D6" s="478"/>
      <c r="E6" s="478"/>
      <c r="F6" s="478"/>
      <c r="G6" s="478"/>
      <c r="H6" s="478"/>
      <c r="I6" s="478"/>
      <c r="J6" s="478"/>
      <c r="K6" s="478"/>
      <c r="L6" s="478"/>
      <c r="M6" s="478"/>
      <c r="N6" s="478"/>
      <c r="O6" s="478"/>
      <c r="P6" s="479"/>
      <c r="Q6" s="477">
        <f t="shared" si="0"/>
        <v>1281.6479999999999</v>
      </c>
    </row>
    <row r="7" spans="1:17">
      <c r="A7" s="477" t="s">
        <v>111</v>
      </c>
      <c r="B7" s="478">
        <f>landbouw!B8</f>
        <v>1780.3706729999999</v>
      </c>
      <c r="C7" s="478">
        <f>landbouw!C8</f>
        <v>0</v>
      </c>
      <c r="D7" s="478">
        <f>landbouw!D8</f>
        <v>8295.3175521039993</v>
      </c>
      <c r="E7" s="478">
        <f>landbouw!E8</f>
        <v>55.564781610510565</v>
      </c>
      <c r="F7" s="478">
        <f>landbouw!F8</f>
        <v>6292.0271825248365</v>
      </c>
      <c r="G7" s="478">
        <f>landbouw!G8</f>
        <v>0</v>
      </c>
      <c r="H7" s="478">
        <f>landbouw!H8</f>
        <v>0</v>
      </c>
      <c r="I7" s="478">
        <f>landbouw!I8</f>
        <v>0</v>
      </c>
      <c r="J7" s="478">
        <f>landbouw!J8</f>
        <v>490.50446717391094</v>
      </c>
      <c r="K7" s="478">
        <f>landbouw!K8</f>
        <v>0</v>
      </c>
      <c r="L7" s="478">
        <f>landbouw!L8</f>
        <v>0</v>
      </c>
      <c r="M7" s="478">
        <f>landbouw!M8</f>
        <v>0</v>
      </c>
      <c r="N7" s="478">
        <f>landbouw!N8</f>
        <v>0</v>
      </c>
      <c r="O7" s="478">
        <f>landbouw!O8</f>
        <v>0</v>
      </c>
      <c r="P7" s="479">
        <f>landbouw!P8</f>
        <v>0</v>
      </c>
      <c r="Q7" s="477">
        <f t="shared" si="0"/>
        <v>16913.78465641326</v>
      </c>
    </row>
    <row r="8" spans="1:17">
      <c r="A8" s="477" t="s">
        <v>629</v>
      </c>
      <c r="B8" s="478">
        <f>industrie!B18</f>
        <v>19639.662279999997</v>
      </c>
      <c r="C8" s="478">
        <f>industrie!C18</f>
        <v>0</v>
      </c>
      <c r="D8" s="478">
        <f>industrie!D18</f>
        <v>11487.419192392001</v>
      </c>
      <c r="E8" s="478">
        <f>industrie!E18</f>
        <v>1178.8389155383215</v>
      </c>
      <c r="F8" s="478">
        <f>industrie!F18</f>
        <v>4206.7948291591993</v>
      </c>
      <c r="G8" s="478">
        <f>industrie!G18</f>
        <v>0</v>
      </c>
      <c r="H8" s="478">
        <f>industrie!H18</f>
        <v>0</v>
      </c>
      <c r="I8" s="478">
        <f>industrie!I18</f>
        <v>0</v>
      </c>
      <c r="J8" s="478">
        <f>industrie!J18</f>
        <v>150.85406619978943</v>
      </c>
      <c r="K8" s="478">
        <f>industrie!K18</f>
        <v>0</v>
      </c>
      <c r="L8" s="478">
        <f>industrie!L18</f>
        <v>0</v>
      </c>
      <c r="M8" s="478">
        <f>industrie!M18</f>
        <v>0</v>
      </c>
      <c r="N8" s="478">
        <f>industrie!N18</f>
        <v>800.75010170640837</v>
      </c>
      <c r="O8" s="478">
        <f>industrie!O18</f>
        <v>0</v>
      </c>
      <c r="P8" s="479">
        <f>industrie!P18</f>
        <v>0</v>
      </c>
      <c r="Q8" s="477">
        <f t="shared" si="0"/>
        <v>37464.319384995717</v>
      </c>
    </row>
    <row r="9" spans="1:17" s="483" customFormat="1">
      <c r="A9" s="481" t="s">
        <v>555</v>
      </c>
      <c r="B9" s="482">
        <f>transport!B14</f>
        <v>152.66715449722221</v>
      </c>
      <c r="C9" s="482">
        <f>transport!C14</f>
        <v>0</v>
      </c>
      <c r="D9" s="482">
        <f>transport!D14</f>
        <v>584.35570816763777</v>
      </c>
      <c r="E9" s="482">
        <f>transport!E14</f>
        <v>542.21847021407643</v>
      </c>
      <c r="F9" s="482">
        <f>transport!F14</f>
        <v>0</v>
      </c>
      <c r="G9" s="482">
        <f>transport!G14</f>
        <v>248586.05845806631</v>
      </c>
      <c r="H9" s="482">
        <f>transport!H14</f>
        <v>45136.228195037169</v>
      </c>
      <c r="I9" s="482">
        <f>transport!I14</f>
        <v>0</v>
      </c>
      <c r="J9" s="482">
        <f>transport!J14</f>
        <v>0</v>
      </c>
      <c r="K9" s="482">
        <f>transport!K14</f>
        <v>0</v>
      </c>
      <c r="L9" s="482">
        <f>transport!L14</f>
        <v>0</v>
      </c>
      <c r="M9" s="482">
        <f>transport!M14</f>
        <v>17299.426561104832</v>
      </c>
      <c r="N9" s="482">
        <f>transport!N14</f>
        <v>0</v>
      </c>
      <c r="O9" s="482">
        <f>transport!O14</f>
        <v>0</v>
      </c>
      <c r="P9" s="482">
        <f>transport!P14</f>
        <v>0</v>
      </c>
      <c r="Q9" s="481">
        <f>SUM(B9:P9)</f>
        <v>312300.95454708725</v>
      </c>
    </row>
    <row r="10" spans="1:17">
      <c r="A10" s="477" t="s">
        <v>545</v>
      </c>
      <c r="B10" s="478">
        <f>transport!B54</f>
        <v>0</v>
      </c>
      <c r="C10" s="478">
        <f>transport!C54</f>
        <v>0</v>
      </c>
      <c r="D10" s="478">
        <f>transport!D54</f>
        <v>0</v>
      </c>
      <c r="E10" s="478">
        <f>transport!E54</f>
        <v>0</v>
      </c>
      <c r="F10" s="478">
        <f>transport!F54</f>
        <v>0</v>
      </c>
      <c r="G10" s="478">
        <f>transport!G54</f>
        <v>1207.3541419703254</v>
      </c>
      <c r="H10" s="478">
        <f>transport!H54</f>
        <v>0</v>
      </c>
      <c r="I10" s="478">
        <f>transport!I54</f>
        <v>0</v>
      </c>
      <c r="J10" s="478">
        <f>transport!J54</f>
        <v>0</v>
      </c>
      <c r="K10" s="478">
        <f>transport!K54</f>
        <v>0</v>
      </c>
      <c r="L10" s="478">
        <f>transport!L54</f>
        <v>0</v>
      </c>
      <c r="M10" s="478">
        <f>transport!M54</f>
        <v>67.10487679710792</v>
      </c>
      <c r="N10" s="478">
        <f>transport!N54</f>
        <v>0</v>
      </c>
      <c r="O10" s="478">
        <f>transport!O54</f>
        <v>0</v>
      </c>
      <c r="P10" s="479">
        <f>transport!P54</f>
        <v>0</v>
      </c>
      <c r="Q10" s="477">
        <f t="shared" si="0"/>
        <v>1274.4590187674332</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1050.276509</v>
      </c>
      <c r="C14" s="485"/>
      <c r="D14" s="485">
        <f>'SEAP template'!E25</f>
        <v>3972.179185</v>
      </c>
      <c r="E14" s="485"/>
      <c r="F14" s="485"/>
      <c r="G14" s="485"/>
      <c r="H14" s="485"/>
      <c r="I14" s="485"/>
      <c r="J14" s="485"/>
      <c r="K14" s="485"/>
      <c r="L14" s="485"/>
      <c r="M14" s="485"/>
      <c r="N14" s="485"/>
      <c r="O14" s="485"/>
      <c r="P14" s="486"/>
      <c r="Q14" s="477">
        <f t="shared" si="0"/>
        <v>5022.4556940000002</v>
      </c>
    </row>
    <row r="15" spans="1:17" s="489" customFormat="1">
      <c r="A15" s="487" t="s">
        <v>549</v>
      </c>
      <c r="B15" s="488">
        <f ca="1">SUM(B4:B14)</f>
        <v>76341.818060802514</v>
      </c>
      <c r="C15" s="488">
        <f t="shared" ref="C15:Q15" ca="1" si="1">SUM(C4:C14)</f>
        <v>0</v>
      </c>
      <c r="D15" s="488">
        <f t="shared" ca="1" si="1"/>
        <v>112843.20448772164</v>
      </c>
      <c r="E15" s="488">
        <f t="shared" si="1"/>
        <v>7215.2373029998162</v>
      </c>
      <c r="F15" s="488">
        <f t="shared" ca="1" si="1"/>
        <v>24614.804445549798</v>
      </c>
      <c r="G15" s="488">
        <f t="shared" si="1"/>
        <v>249793.41260003665</v>
      </c>
      <c r="H15" s="488">
        <f t="shared" si="1"/>
        <v>45136.228195037169</v>
      </c>
      <c r="I15" s="488">
        <f t="shared" si="1"/>
        <v>0</v>
      </c>
      <c r="J15" s="488">
        <f t="shared" si="1"/>
        <v>641.42834382869967</v>
      </c>
      <c r="K15" s="488">
        <f t="shared" si="1"/>
        <v>0</v>
      </c>
      <c r="L15" s="488">
        <f t="shared" ca="1" si="1"/>
        <v>0</v>
      </c>
      <c r="M15" s="488">
        <f t="shared" si="1"/>
        <v>17366.53143790194</v>
      </c>
      <c r="N15" s="488">
        <f t="shared" ca="1" si="1"/>
        <v>12349.038557807737</v>
      </c>
      <c r="O15" s="488">
        <f t="shared" si="1"/>
        <v>490.96702451566398</v>
      </c>
      <c r="P15" s="488">
        <f t="shared" si="1"/>
        <v>884.4606071497517</v>
      </c>
      <c r="Q15" s="488">
        <f t="shared" ca="1" si="1"/>
        <v>547677.13106335129</v>
      </c>
    </row>
    <row r="17" spans="1:17">
      <c r="A17" s="490" t="s">
        <v>550</v>
      </c>
      <c r="B17" s="807">
        <f ca="1">huishoudens!B10</f>
        <v>0.21025280865765095</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7424.40251790205</v>
      </c>
      <c r="C22" s="478">
        <f t="shared" ref="C22:C32" ca="1" si="3">C4*$C$17</f>
        <v>0</v>
      </c>
      <c r="D22" s="478">
        <f t="shared" ref="D22:D32" si="4">D4*$D$17</f>
        <v>14204.391661086882</v>
      </c>
      <c r="E22" s="478">
        <f t="shared" ref="E22:E32" si="5">E4*$E$17</f>
        <v>1189.8641167397936</v>
      </c>
      <c r="F22" s="478">
        <f t="shared" ref="F22:F32" si="6">F4*$F$17</f>
        <v>3215.4106209784732</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26034.068916707198</v>
      </c>
    </row>
    <row r="23" spans="1:17">
      <c r="A23" s="477" t="s">
        <v>155</v>
      </c>
      <c r="B23" s="478">
        <f t="shared" ca="1" si="2"/>
        <v>3600.6646818876998</v>
      </c>
      <c r="C23" s="478">
        <f t="shared" ca="1" si="3"/>
        <v>0</v>
      </c>
      <c r="D23" s="478">
        <f t="shared" ca="1" si="4"/>
        <v>3673.4027746248362</v>
      </c>
      <c r="E23" s="478">
        <f t="shared" si="5"/>
        <v>44.701519049784629</v>
      </c>
      <c r="F23" s="478">
        <f t="shared" ca="1" si="6"/>
        <v>553.55668886368517</v>
      </c>
      <c r="G23" s="478">
        <f t="shared" si="7"/>
        <v>0</v>
      </c>
      <c r="H23" s="478">
        <f t="shared" si="8"/>
        <v>0</v>
      </c>
      <c r="I23" s="478">
        <f t="shared" si="9"/>
        <v>0</v>
      </c>
      <c r="J23" s="478">
        <f t="shared" si="10"/>
        <v>2.4712901069754378E-2</v>
      </c>
      <c r="K23" s="478">
        <f t="shared" si="11"/>
        <v>0</v>
      </c>
      <c r="L23" s="478">
        <f t="shared" ca="1" si="12"/>
        <v>0</v>
      </c>
      <c r="M23" s="478">
        <f t="shared" si="13"/>
        <v>0</v>
      </c>
      <c r="N23" s="478">
        <f t="shared" ca="1" si="14"/>
        <v>0</v>
      </c>
      <c r="O23" s="478">
        <f t="shared" si="15"/>
        <v>0</v>
      </c>
      <c r="P23" s="479">
        <f t="shared" si="16"/>
        <v>0</v>
      </c>
      <c r="Q23" s="477">
        <f t="shared" ref="Q23:Q31" ca="1" si="17">SUM(B23:P23)</f>
        <v>7872.350377327075</v>
      </c>
    </row>
    <row r="24" spans="1:17">
      <c r="A24" s="477" t="s">
        <v>193</v>
      </c>
      <c r="B24" s="478">
        <f t="shared" ca="1" si="2"/>
        <v>269.47009171046102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269.47009171046102</v>
      </c>
    </row>
    <row r="25" spans="1:17">
      <c r="A25" s="477" t="s">
        <v>111</v>
      </c>
      <c r="B25" s="478">
        <f t="shared" ca="1" si="2"/>
        <v>374.32793444996224</v>
      </c>
      <c r="C25" s="478">
        <f t="shared" ca="1" si="3"/>
        <v>0</v>
      </c>
      <c r="D25" s="478">
        <f t="shared" si="4"/>
        <v>1675.6541455250081</v>
      </c>
      <c r="E25" s="478">
        <f t="shared" si="5"/>
        <v>12.613205425585898</v>
      </c>
      <c r="F25" s="478">
        <f t="shared" si="6"/>
        <v>1679.9712577341315</v>
      </c>
      <c r="G25" s="478">
        <f t="shared" si="7"/>
        <v>0</v>
      </c>
      <c r="H25" s="478">
        <f t="shared" si="8"/>
        <v>0</v>
      </c>
      <c r="I25" s="478">
        <f t="shared" si="9"/>
        <v>0</v>
      </c>
      <c r="J25" s="478">
        <f t="shared" si="10"/>
        <v>173.63858137956447</v>
      </c>
      <c r="K25" s="478">
        <f t="shared" si="11"/>
        <v>0</v>
      </c>
      <c r="L25" s="478">
        <f t="shared" si="12"/>
        <v>0</v>
      </c>
      <c r="M25" s="478">
        <f t="shared" si="13"/>
        <v>0</v>
      </c>
      <c r="N25" s="478">
        <f t="shared" si="14"/>
        <v>0</v>
      </c>
      <c r="O25" s="478">
        <f t="shared" si="15"/>
        <v>0</v>
      </c>
      <c r="P25" s="479">
        <f t="shared" si="16"/>
        <v>0</v>
      </c>
      <c r="Q25" s="477">
        <f t="shared" ca="1" si="17"/>
        <v>3916.2051245142525</v>
      </c>
    </row>
    <row r="26" spans="1:17">
      <c r="A26" s="477" t="s">
        <v>629</v>
      </c>
      <c r="B26" s="478">
        <f t="shared" ca="1" si="2"/>
        <v>4129.2941554577237</v>
      </c>
      <c r="C26" s="478">
        <f t="shared" ca="1" si="3"/>
        <v>0</v>
      </c>
      <c r="D26" s="478">
        <f t="shared" si="4"/>
        <v>2320.4586768631843</v>
      </c>
      <c r="E26" s="478">
        <f t="shared" si="5"/>
        <v>267.59643382719901</v>
      </c>
      <c r="F26" s="478">
        <f t="shared" si="6"/>
        <v>1123.2142193855063</v>
      </c>
      <c r="G26" s="478">
        <f t="shared" si="7"/>
        <v>0</v>
      </c>
      <c r="H26" s="478">
        <f t="shared" si="8"/>
        <v>0</v>
      </c>
      <c r="I26" s="478">
        <f t="shared" si="9"/>
        <v>0</v>
      </c>
      <c r="J26" s="478">
        <f t="shared" si="10"/>
        <v>53.402339434725455</v>
      </c>
      <c r="K26" s="478">
        <f t="shared" si="11"/>
        <v>0</v>
      </c>
      <c r="L26" s="478">
        <f t="shared" si="12"/>
        <v>0</v>
      </c>
      <c r="M26" s="478">
        <f t="shared" si="13"/>
        <v>0</v>
      </c>
      <c r="N26" s="478">
        <f t="shared" si="14"/>
        <v>0</v>
      </c>
      <c r="O26" s="478">
        <f t="shared" si="15"/>
        <v>0</v>
      </c>
      <c r="P26" s="479">
        <f t="shared" si="16"/>
        <v>0</v>
      </c>
      <c r="Q26" s="477">
        <f t="shared" ca="1" si="17"/>
        <v>7893.965824968338</v>
      </c>
    </row>
    <row r="27" spans="1:17" s="483" customFormat="1">
      <c r="A27" s="481" t="s">
        <v>555</v>
      </c>
      <c r="B27" s="801">
        <f t="shared" ca="1" si="2"/>
        <v>32.098698022812499</v>
      </c>
      <c r="C27" s="482">
        <f t="shared" ca="1" si="3"/>
        <v>0</v>
      </c>
      <c r="D27" s="482">
        <f t="shared" si="4"/>
        <v>118.03985304986284</v>
      </c>
      <c r="E27" s="482">
        <f t="shared" si="5"/>
        <v>123.08359273859536</v>
      </c>
      <c r="F27" s="482">
        <f t="shared" si="6"/>
        <v>0</v>
      </c>
      <c r="G27" s="482">
        <f t="shared" si="7"/>
        <v>66372.477608303714</v>
      </c>
      <c r="H27" s="482">
        <f t="shared" si="8"/>
        <v>11238.920820564255</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77884.62057267924</v>
      </c>
    </row>
    <row r="28" spans="1:17" ht="16.5" customHeight="1">
      <c r="A28" s="477" t="s">
        <v>545</v>
      </c>
      <c r="B28" s="478">
        <f t="shared" ca="1" si="2"/>
        <v>0</v>
      </c>
      <c r="C28" s="478">
        <f t="shared" ca="1" si="3"/>
        <v>0</v>
      </c>
      <c r="D28" s="478">
        <f t="shared" si="4"/>
        <v>0</v>
      </c>
      <c r="E28" s="478">
        <f t="shared" si="5"/>
        <v>0</v>
      </c>
      <c r="F28" s="478">
        <f t="shared" si="6"/>
        <v>0</v>
      </c>
      <c r="G28" s="478">
        <f t="shared" si="7"/>
        <v>322.3635559060769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322.3635559060769</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220.82358588440263</v>
      </c>
      <c r="C32" s="478">
        <f t="shared" ca="1" si="3"/>
        <v>0</v>
      </c>
      <c r="D32" s="478">
        <f t="shared" si="4"/>
        <v>802.38019537000002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1023.2037812544027</v>
      </c>
    </row>
    <row r="33" spans="1:17" s="489" customFormat="1">
      <c r="A33" s="487" t="s">
        <v>549</v>
      </c>
      <c r="B33" s="488">
        <f ca="1">SUM(B22:B32)</f>
        <v>16051.081665315112</v>
      </c>
      <c r="C33" s="488">
        <f t="shared" ref="C33:Q33" ca="1" si="19">SUM(C22:C32)</f>
        <v>0</v>
      </c>
      <c r="D33" s="488">
        <f t="shared" ca="1" si="19"/>
        <v>22794.327306519775</v>
      </c>
      <c r="E33" s="488">
        <f t="shared" si="19"/>
        <v>1637.8588677809585</v>
      </c>
      <c r="F33" s="488">
        <f t="shared" ca="1" si="19"/>
        <v>6572.1527869617958</v>
      </c>
      <c r="G33" s="488">
        <f t="shared" si="19"/>
        <v>66694.841164209793</v>
      </c>
      <c r="H33" s="488">
        <f t="shared" si="19"/>
        <v>11238.920820564255</v>
      </c>
      <c r="I33" s="488">
        <f t="shared" si="19"/>
        <v>0</v>
      </c>
      <c r="J33" s="488">
        <f t="shared" si="19"/>
        <v>227.0656337153597</v>
      </c>
      <c r="K33" s="488">
        <f t="shared" si="19"/>
        <v>0</v>
      </c>
      <c r="L33" s="488">
        <f t="shared" ca="1" si="19"/>
        <v>0</v>
      </c>
      <c r="M33" s="488">
        <f t="shared" si="19"/>
        <v>0</v>
      </c>
      <c r="N33" s="488">
        <f t="shared" ca="1" si="19"/>
        <v>0</v>
      </c>
      <c r="O33" s="488">
        <f t="shared" si="19"/>
        <v>0</v>
      </c>
      <c r="P33" s="488">
        <f t="shared" si="19"/>
        <v>0</v>
      </c>
      <c r="Q33" s="488">
        <f t="shared" ca="1" si="19"/>
        <v>125216.24824506705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3712.4892584716945</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3712.4892584716945</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0.21025280865765095</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0.21025280865765095</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0.21025280865765095</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0.21025280865765095</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44013</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7582</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815.38</v>
      </c>
    </row>
    <row r="15" spans="1:6">
      <c r="A15" s="348" t="s">
        <v>183</v>
      </c>
      <c r="B15" s="334">
        <v>4</v>
      </c>
    </row>
    <row r="16" spans="1:6">
      <c r="A16" s="348" t="s">
        <v>6</v>
      </c>
      <c r="B16" s="334">
        <v>164</v>
      </c>
    </row>
    <row r="17" spans="1:6">
      <c r="A17" s="348" t="s">
        <v>7</v>
      </c>
      <c r="B17" s="334">
        <v>47</v>
      </c>
    </row>
    <row r="18" spans="1:6">
      <c r="A18" s="348" t="s">
        <v>8</v>
      </c>
      <c r="B18" s="334">
        <v>105</v>
      </c>
    </row>
    <row r="19" spans="1:6">
      <c r="A19" s="348" t="s">
        <v>9</v>
      </c>
      <c r="B19" s="334">
        <v>108</v>
      </c>
    </row>
    <row r="20" spans="1:6">
      <c r="A20" s="348" t="s">
        <v>10</v>
      </c>
      <c r="B20" s="334">
        <v>68</v>
      </c>
    </row>
    <row r="21" spans="1:6">
      <c r="A21" s="348" t="s">
        <v>11</v>
      </c>
      <c r="B21" s="334">
        <v>630</v>
      </c>
    </row>
    <row r="22" spans="1:6">
      <c r="A22" s="348" t="s">
        <v>12</v>
      </c>
      <c r="B22" s="334">
        <v>756</v>
      </c>
    </row>
    <row r="23" spans="1:6">
      <c r="A23" s="348" t="s">
        <v>13</v>
      </c>
      <c r="B23" s="334">
        <v>10</v>
      </c>
    </row>
    <row r="24" spans="1:6">
      <c r="A24" s="348" t="s">
        <v>14</v>
      </c>
      <c r="B24" s="334">
        <v>1</v>
      </c>
    </row>
    <row r="25" spans="1:6">
      <c r="A25" s="348" t="s">
        <v>15</v>
      </c>
      <c r="B25" s="334">
        <v>130</v>
      </c>
    </row>
    <row r="26" spans="1:6">
      <c r="A26" s="348" t="s">
        <v>16</v>
      </c>
      <c r="B26" s="334">
        <v>50</v>
      </c>
    </row>
    <row r="27" spans="1:6">
      <c r="A27" s="348" t="s">
        <v>17</v>
      </c>
      <c r="B27" s="334">
        <v>2</v>
      </c>
    </row>
    <row r="28" spans="1:6" s="356" customFormat="1">
      <c r="A28" s="355" t="s">
        <v>18</v>
      </c>
      <c r="B28" s="355">
        <v>57377</v>
      </c>
    </row>
    <row r="29" spans="1:6">
      <c r="A29" s="355" t="s">
        <v>713</v>
      </c>
      <c r="B29" s="355">
        <v>234</v>
      </c>
      <c r="C29" s="356"/>
      <c r="D29" s="356"/>
      <c r="E29" s="356"/>
      <c r="F29" s="356"/>
    </row>
    <row r="30" spans="1:6">
      <c r="A30" s="341" t="s">
        <v>714</v>
      </c>
      <c r="B30" s="341">
        <v>37</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3</v>
      </c>
      <c r="F38" s="334">
        <v>17448.313999999998</v>
      </c>
    </row>
    <row r="39" spans="1:6">
      <c r="A39" s="348" t="s">
        <v>29</v>
      </c>
      <c r="B39" s="348" t="s">
        <v>30</v>
      </c>
      <c r="C39" s="334">
        <v>4906</v>
      </c>
      <c r="D39" s="334">
        <v>77958725.719999999</v>
      </c>
      <c r="E39" s="334">
        <v>7326</v>
      </c>
      <c r="F39" s="334">
        <v>32046082.109999999</v>
      </c>
    </row>
    <row r="40" spans="1:6">
      <c r="A40" s="348" t="s">
        <v>29</v>
      </c>
      <c r="B40" s="348" t="s">
        <v>28</v>
      </c>
      <c r="C40" s="334">
        <v>0</v>
      </c>
      <c r="D40" s="334">
        <v>0</v>
      </c>
      <c r="E40" s="334">
        <v>0</v>
      </c>
      <c r="F40" s="334">
        <v>0</v>
      </c>
    </row>
    <row r="41" spans="1:6">
      <c r="A41" s="348" t="s">
        <v>31</v>
      </c>
      <c r="B41" s="348" t="s">
        <v>32</v>
      </c>
      <c r="C41" s="334">
        <v>71</v>
      </c>
      <c r="D41" s="334">
        <v>1309097.996</v>
      </c>
      <c r="E41" s="334">
        <v>145</v>
      </c>
      <c r="F41" s="334">
        <v>1138248.798</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3</v>
      </c>
      <c r="D44" s="334">
        <v>48562.123</v>
      </c>
      <c r="E44" s="334">
        <v>11</v>
      </c>
      <c r="F44" s="334">
        <v>151843.12299999999</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28</v>
      </c>
      <c r="D48" s="334">
        <v>11287948.93</v>
      </c>
      <c r="E48" s="334">
        <v>48</v>
      </c>
      <c r="F48" s="334">
        <v>18242034.469999999</v>
      </c>
    </row>
    <row r="49" spans="1:6">
      <c r="A49" s="348" t="s">
        <v>31</v>
      </c>
      <c r="B49" s="348" t="s">
        <v>39</v>
      </c>
      <c r="C49" s="334">
        <v>0</v>
      </c>
      <c r="D49" s="334">
        <v>0</v>
      </c>
      <c r="E49" s="334">
        <v>0</v>
      </c>
      <c r="F49" s="334">
        <v>0</v>
      </c>
    </row>
    <row r="50" spans="1:6">
      <c r="A50" s="348" t="s">
        <v>31</v>
      </c>
      <c r="B50" s="348" t="s">
        <v>40</v>
      </c>
      <c r="C50" s="334">
        <v>3</v>
      </c>
      <c r="D50" s="334">
        <v>89888.947</v>
      </c>
      <c r="E50" s="334">
        <v>6</v>
      </c>
      <c r="F50" s="334">
        <v>107535.889</v>
      </c>
    </row>
    <row r="51" spans="1:6">
      <c r="A51" s="348" t="s">
        <v>41</v>
      </c>
      <c r="B51" s="348" t="s">
        <v>42</v>
      </c>
      <c r="C51" s="334">
        <v>14</v>
      </c>
      <c r="D51" s="334">
        <v>9072217.1669999994</v>
      </c>
      <c r="E51" s="334">
        <v>62</v>
      </c>
      <c r="F51" s="334">
        <v>1692478.602</v>
      </c>
    </row>
    <row r="52" spans="1:6">
      <c r="A52" s="348" t="s">
        <v>41</v>
      </c>
      <c r="B52" s="348" t="s">
        <v>28</v>
      </c>
      <c r="C52" s="334">
        <v>4</v>
      </c>
      <c r="D52" s="334">
        <v>124365.485</v>
      </c>
      <c r="E52" s="334">
        <v>6</v>
      </c>
      <c r="F52" s="334">
        <v>87892.070999999996</v>
      </c>
    </row>
    <row r="53" spans="1:6">
      <c r="A53" s="348" t="s">
        <v>43</v>
      </c>
      <c r="B53" s="348" t="s">
        <v>44</v>
      </c>
      <c r="C53" s="334">
        <v>111</v>
      </c>
      <c r="D53" s="334">
        <v>3972179.1850000001</v>
      </c>
      <c r="E53" s="334">
        <v>289</v>
      </c>
      <c r="F53" s="334">
        <v>1050276.5090000001</v>
      </c>
    </row>
    <row r="54" spans="1:6">
      <c r="A54" s="348" t="s">
        <v>45</v>
      </c>
      <c r="B54" s="348" t="s">
        <v>46</v>
      </c>
      <c r="C54" s="334">
        <v>0</v>
      </c>
      <c r="D54" s="334">
        <v>0</v>
      </c>
      <c r="E54" s="334">
        <v>2</v>
      </c>
      <c r="F54" s="334">
        <v>1281648</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44</v>
      </c>
      <c r="D57" s="334">
        <v>1904246.4469999999</v>
      </c>
      <c r="E57" s="334">
        <v>93</v>
      </c>
      <c r="F57" s="334">
        <v>3873312.986</v>
      </c>
    </row>
    <row r="58" spans="1:6">
      <c r="A58" s="348" t="s">
        <v>48</v>
      </c>
      <c r="B58" s="348" t="s">
        <v>50</v>
      </c>
      <c r="C58" s="334">
        <v>39</v>
      </c>
      <c r="D58" s="334">
        <v>1071131.96</v>
      </c>
      <c r="E58" s="334">
        <v>60</v>
      </c>
      <c r="F58" s="334">
        <v>696425.24</v>
      </c>
    </row>
    <row r="59" spans="1:6">
      <c r="A59" s="348" t="s">
        <v>48</v>
      </c>
      <c r="B59" s="348" t="s">
        <v>51</v>
      </c>
      <c r="C59" s="334">
        <v>57</v>
      </c>
      <c r="D59" s="334">
        <v>3139151.8169999998</v>
      </c>
      <c r="E59" s="334">
        <v>178</v>
      </c>
      <c r="F59" s="334">
        <v>3768007.3089999999</v>
      </c>
    </row>
    <row r="60" spans="1:6">
      <c r="A60" s="348" t="s">
        <v>48</v>
      </c>
      <c r="B60" s="348" t="s">
        <v>52</v>
      </c>
      <c r="C60" s="334">
        <v>53</v>
      </c>
      <c r="D60" s="334">
        <v>2160870.5929999999</v>
      </c>
      <c r="E60" s="334">
        <v>81</v>
      </c>
      <c r="F60" s="334">
        <v>1691113.5660000001</v>
      </c>
    </row>
    <row r="61" spans="1:6">
      <c r="A61" s="348" t="s">
        <v>48</v>
      </c>
      <c r="B61" s="348" t="s">
        <v>53</v>
      </c>
      <c r="C61" s="334">
        <v>194</v>
      </c>
      <c r="D61" s="334">
        <v>7678504.75</v>
      </c>
      <c r="E61" s="334">
        <v>380</v>
      </c>
      <c r="F61" s="334">
        <v>4809485.3279999997</v>
      </c>
    </row>
    <row r="62" spans="1:6">
      <c r="A62" s="348" t="s">
        <v>48</v>
      </c>
      <c r="B62" s="348" t="s">
        <v>54</v>
      </c>
      <c r="C62" s="334">
        <v>6</v>
      </c>
      <c r="D62" s="334">
        <v>551166.60699999996</v>
      </c>
      <c r="E62" s="334">
        <v>12</v>
      </c>
      <c r="F62" s="334">
        <v>170184.74600000001</v>
      </c>
    </row>
    <row r="63" spans="1:6">
      <c r="A63" s="348" t="s">
        <v>48</v>
      </c>
      <c r="B63" s="348" t="s">
        <v>28</v>
      </c>
      <c r="C63" s="334">
        <v>94</v>
      </c>
      <c r="D63" s="334">
        <v>3655861.585</v>
      </c>
      <c r="E63" s="334">
        <v>98</v>
      </c>
      <c r="F63" s="334">
        <v>2116876.6869999999</v>
      </c>
    </row>
    <row r="64" spans="1:6">
      <c r="A64" s="348" t="s">
        <v>55</v>
      </c>
      <c r="B64" s="348" t="s">
        <v>56</v>
      </c>
      <c r="C64" s="334">
        <v>0</v>
      </c>
      <c r="D64" s="334">
        <v>0</v>
      </c>
      <c r="E64" s="334">
        <v>0</v>
      </c>
      <c r="F64" s="334">
        <v>0</v>
      </c>
    </row>
    <row r="65" spans="1:6">
      <c r="A65" s="348" t="s">
        <v>55</v>
      </c>
      <c r="B65" s="348" t="s">
        <v>28</v>
      </c>
      <c r="C65" s="334">
        <v>2</v>
      </c>
      <c r="D65" s="334">
        <v>86681.092000000004</v>
      </c>
      <c r="E65" s="334">
        <v>5</v>
      </c>
      <c r="F65" s="334">
        <v>699388.24199999997</v>
      </c>
    </row>
    <row r="66" spans="1:6">
      <c r="A66" s="348" t="s">
        <v>55</v>
      </c>
      <c r="B66" s="348" t="s">
        <v>57</v>
      </c>
      <c r="C66" s="334">
        <v>0</v>
      </c>
      <c r="D66" s="334">
        <v>0</v>
      </c>
      <c r="E66" s="334">
        <v>7</v>
      </c>
      <c r="F66" s="334">
        <v>616930.20499999996</v>
      </c>
    </row>
    <row r="67" spans="1:6">
      <c r="A67" s="355" t="s">
        <v>55</v>
      </c>
      <c r="B67" s="355" t="s">
        <v>58</v>
      </c>
      <c r="C67" s="334">
        <v>0</v>
      </c>
      <c r="D67" s="334">
        <v>0</v>
      </c>
      <c r="E67" s="334">
        <v>0</v>
      </c>
      <c r="F67" s="334">
        <v>0</v>
      </c>
    </row>
    <row r="68" spans="1:6">
      <c r="A68" s="341" t="s">
        <v>55</v>
      </c>
      <c r="B68" s="341" t="s">
        <v>59</v>
      </c>
      <c r="C68" s="334">
        <v>9</v>
      </c>
      <c r="D68" s="334">
        <v>1059574.041</v>
      </c>
      <c r="E68" s="334">
        <v>11</v>
      </c>
      <c r="F68" s="334">
        <v>95374.97</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30530839</v>
      </c>
      <c r="E73" s="476"/>
    </row>
    <row r="74" spans="1:6">
      <c r="A74" s="348" t="s">
        <v>63</v>
      </c>
      <c r="B74" s="348" t="s">
        <v>651</v>
      </c>
      <c r="C74" s="1307" t="s">
        <v>653</v>
      </c>
      <c r="D74" s="476">
        <v>3574470.5</v>
      </c>
      <c r="E74" s="476"/>
    </row>
    <row r="75" spans="1:6">
      <c r="A75" s="348" t="s">
        <v>64</v>
      </c>
      <c r="B75" s="348" t="s">
        <v>650</v>
      </c>
      <c r="C75" s="1307" t="s">
        <v>654</v>
      </c>
      <c r="D75" s="476">
        <v>23619178</v>
      </c>
      <c r="E75" s="476"/>
    </row>
    <row r="76" spans="1:6">
      <c r="A76" s="348" t="s">
        <v>64</v>
      </c>
      <c r="B76" s="348" t="s">
        <v>651</v>
      </c>
      <c r="C76" s="1307" t="s">
        <v>655</v>
      </c>
      <c r="D76" s="476">
        <v>1177705.5</v>
      </c>
      <c r="E76" s="476"/>
    </row>
    <row r="77" spans="1:6">
      <c r="A77" s="348" t="s">
        <v>65</v>
      </c>
      <c r="B77" s="348" t="s">
        <v>650</v>
      </c>
      <c r="C77" s="1307" t="s">
        <v>656</v>
      </c>
      <c r="D77" s="476">
        <v>226976201</v>
      </c>
      <c r="E77" s="476"/>
    </row>
    <row r="78" spans="1:6">
      <c r="A78" s="341" t="s">
        <v>65</v>
      </c>
      <c r="B78" s="341" t="s">
        <v>651</v>
      </c>
      <c r="C78" s="341" t="s">
        <v>657</v>
      </c>
      <c r="D78" s="1308">
        <v>40895788</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354061</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3265.7054723053002</v>
      </c>
    </row>
    <row r="92" spans="1:6">
      <c r="A92" s="341" t="s">
        <v>68</v>
      </c>
      <c r="B92" s="342">
        <v>446.78378616639418</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2414</v>
      </c>
    </row>
    <row r="98" spans="1:6">
      <c r="A98" s="348" t="s">
        <v>71</v>
      </c>
      <c r="B98" s="334">
        <v>0</v>
      </c>
    </row>
    <row r="99" spans="1:6">
      <c r="A99" s="348" t="s">
        <v>72</v>
      </c>
      <c r="B99" s="334">
        <v>71</v>
      </c>
    </row>
    <row r="100" spans="1:6">
      <c r="A100" s="348" t="s">
        <v>73</v>
      </c>
      <c r="B100" s="334">
        <v>936</v>
      </c>
    </row>
    <row r="101" spans="1:6">
      <c r="A101" s="348" t="s">
        <v>74</v>
      </c>
      <c r="B101" s="334">
        <v>69</v>
      </c>
    </row>
    <row r="102" spans="1:6">
      <c r="A102" s="348" t="s">
        <v>75</v>
      </c>
      <c r="B102" s="334">
        <v>106</v>
      </c>
    </row>
    <row r="103" spans="1:6">
      <c r="A103" s="348" t="s">
        <v>76</v>
      </c>
      <c r="B103" s="334">
        <v>213</v>
      </c>
    </row>
    <row r="104" spans="1:6">
      <c r="A104" s="348" t="s">
        <v>77</v>
      </c>
      <c r="B104" s="334">
        <v>2822</v>
      </c>
    </row>
    <row r="105" spans="1:6">
      <c r="A105" s="341" t="s">
        <v>78</v>
      </c>
      <c r="B105" s="341">
        <v>8</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40</v>
      </c>
      <c r="C123" s="334">
        <v>74</v>
      </c>
    </row>
    <row r="124" spans="1:6">
      <c r="A124" s="341" t="s">
        <v>88</v>
      </c>
      <c r="B124" s="334">
        <v>0</v>
      </c>
      <c r="C124" s="334">
        <v>2</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169</v>
      </c>
    </row>
    <row r="130" spans="1:6">
      <c r="A130" s="348" t="s">
        <v>294</v>
      </c>
      <c r="B130" s="334">
        <v>1</v>
      </c>
    </row>
    <row r="131" spans="1:6">
      <c r="A131" s="348" t="s">
        <v>295</v>
      </c>
      <c r="B131" s="334">
        <v>3</v>
      </c>
    </row>
    <row r="132" spans="1:6">
      <c r="A132" s="341" t="s">
        <v>296</v>
      </c>
      <c r="B132" s="342">
        <v>29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76341.818060802514</v>
      </c>
      <c r="C3" s="43" t="s">
        <v>169</v>
      </c>
      <c r="D3" s="43"/>
      <c r="E3" s="154"/>
      <c r="F3" s="43"/>
      <c r="G3" s="43"/>
      <c r="H3" s="43"/>
      <c r="I3" s="43"/>
      <c r="J3" s="43"/>
      <c r="K3" s="96"/>
    </row>
    <row r="4" spans="1:11">
      <c r="A4" s="383" t="s">
        <v>170</v>
      </c>
      <c r="B4" s="49">
        <f>IF(ISERROR('SEAP template'!B78+'SEAP template'!C78),0,'SEAP template'!B78+'SEAP template'!C78)</f>
        <v>3712.4892584716945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0.21025280865765095</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1281.6479999999999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1281.6479999999999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0.21025280865765095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269.47009171046102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32046.082109999999</v>
      </c>
      <c r="C5" s="17">
        <f>IF(ISERROR('Eigen informatie GS &amp; warmtenet'!B59),0,'Eigen informatie GS &amp; warmtenet'!B59)</f>
        <v>0</v>
      </c>
      <c r="D5" s="30">
        <f>(SUM(HH_hh_gas_kWh,HH_rest_gas_kWh)/1000)*0.902</f>
        <v>70318.770599440002</v>
      </c>
      <c r="E5" s="17">
        <f>B46*B57</f>
        <v>5241.6921442281655</v>
      </c>
      <c r="F5" s="17">
        <f>B51*B62</f>
        <v>12042.736408159075</v>
      </c>
      <c r="G5" s="18"/>
      <c r="H5" s="17"/>
      <c r="I5" s="17"/>
      <c r="J5" s="17">
        <f>B50*B61+C50*C61</f>
        <v>0</v>
      </c>
      <c r="K5" s="17"/>
      <c r="L5" s="17"/>
      <c r="M5" s="17"/>
      <c r="N5" s="17">
        <f>B48*B59+C48*C59</f>
        <v>8815.4162554860286</v>
      </c>
      <c r="O5" s="17">
        <f>B69*B70*B71</f>
        <v>486.06976374982281</v>
      </c>
      <c r="P5" s="17">
        <f>B77*B78*B79/1000-B77*B78*B79/1000/B80</f>
        <v>726.8431922302666</v>
      </c>
    </row>
    <row r="6" spans="1:16">
      <c r="A6" s="16" t="s">
        <v>615</v>
      </c>
      <c r="B6" s="809">
        <f>kWh_PV_kleiner_dan_10kW</f>
        <v>3265.7054723053002</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35311.787582305296</v>
      </c>
      <c r="C8" s="21">
        <f>C5</f>
        <v>0</v>
      </c>
      <c r="D8" s="21">
        <f>D5</f>
        <v>70318.770599440002</v>
      </c>
      <c r="E8" s="21">
        <f>E5</f>
        <v>5241.6921442281655</v>
      </c>
      <c r="F8" s="21">
        <f>F5</f>
        <v>12042.736408159075</v>
      </c>
      <c r="G8" s="21"/>
      <c r="H8" s="21"/>
      <c r="I8" s="21"/>
      <c r="J8" s="21">
        <f>J5</f>
        <v>0</v>
      </c>
      <c r="K8" s="21"/>
      <c r="L8" s="21">
        <f>L5</f>
        <v>0</v>
      </c>
      <c r="M8" s="21">
        <f>M5</f>
        <v>0</v>
      </c>
      <c r="N8" s="21">
        <f>N5</f>
        <v>8815.4162554860286</v>
      </c>
      <c r="O8" s="21">
        <f>O5</f>
        <v>486.06976374982281</v>
      </c>
      <c r="P8" s="21">
        <f>P5</f>
        <v>726.8431922302666</v>
      </c>
    </row>
    <row r="9" spans="1:16">
      <c r="B9" s="19"/>
      <c r="C9" s="19"/>
      <c r="D9" s="258"/>
      <c r="E9" s="19"/>
      <c r="F9" s="19"/>
      <c r="G9" s="19"/>
      <c r="H9" s="19"/>
      <c r="I9" s="19"/>
      <c r="J9" s="19"/>
      <c r="K9" s="19"/>
      <c r="L9" s="19"/>
      <c r="M9" s="19"/>
      <c r="N9" s="19"/>
      <c r="O9" s="19"/>
      <c r="P9" s="19"/>
    </row>
    <row r="10" spans="1:16">
      <c r="A10" s="24" t="s">
        <v>213</v>
      </c>
      <c r="B10" s="25">
        <f ca="1">'EF ele_warmte'!B12</f>
        <v>0.21025280865765095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7424.40251790205</v>
      </c>
      <c r="C12" s="23">
        <f ca="1">C10*C8</f>
        <v>0</v>
      </c>
      <c r="D12" s="23">
        <f>D8*D10</f>
        <v>14204.391661086882</v>
      </c>
      <c r="E12" s="23">
        <f>E10*E8</f>
        <v>1189.8641167397936</v>
      </c>
      <c r="F12" s="23">
        <f>F10*F8</f>
        <v>3215.4106209784732</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2414</v>
      </c>
      <c r="C18" s="166" t="s">
        <v>110</v>
      </c>
      <c r="D18" s="228"/>
      <c r="E18" s="15"/>
    </row>
    <row r="19" spans="1:7">
      <c r="A19" s="171" t="s">
        <v>71</v>
      </c>
      <c r="B19" s="37">
        <f>aantalw2001_ander</f>
        <v>0</v>
      </c>
      <c r="C19" s="166" t="s">
        <v>110</v>
      </c>
      <c r="D19" s="229"/>
      <c r="E19" s="15"/>
    </row>
    <row r="20" spans="1:7">
      <c r="A20" s="171" t="s">
        <v>72</v>
      </c>
      <c r="B20" s="37">
        <f>aantalw2001_propaan</f>
        <v>71</v>
      </c>
      <c r="C20" s="167">
        <f>IF(ISERROR(B20/SUM($B$20,$B$21,$B$22)*100),0,B20/SUM($B$20,$B$21,$B$22)*100)</f>
        <v>6.5985130111524164</v>
      </c>
      <c r="D20" s="229"/>
      <c r="E20" s="15"/>
    </row>
    <row r="21" spans="1:7">
      <c r="A21" s="171" t="s">
        <v>73</v>
      </c>
      <c r="B21" s="37">
        <f>aantalw2001_elektriciteit</f>
        <v>936</v>
      </c>
      <c r="C21" s="167">
        <f>IF(ISERROR(B21/SUM($B$20,$B$21,$B$22)*100),0,B21/SUM($B$20,$B$21,$B$22)*100)</f>
        <v>86.988847583643121</v>
      </c>
      <c r="D21" s="229"/>
      <c r="E21" s="15"/>
    </row>
    <row r="22" spans="1:7">
      <c r="A22" s="171" t="s">
        <v>74</v>
      </c>
      <c r="B22" s="37">
        <f>aantalw2001_hout</f>
        <v>69</v>
      </c>
      <c r="C22" s="167">
        <f>IF(ISERROR(B22/SUM($B$20,$B$21,$B$22)*100),0,B22/SUM($B$20,$B$21,$B$22)*100)</f>
        <v>6.4126394052044606</v>
      </c>
      <c r="D22" s="229"/>
      <c r="E22" s="15"/>
    </row>
    <row r="23" spans="1:7">
      <c r="A23" s="171" t="s">
        <v>75</v>
      </c>
      <c r="B23" s="37">
        <f>aantalw2001_niet_gespec</f>
        <v>106</v>
      </c>
      <c r="C23" s="166" t="s">
        <v>110</v>
      </c>
      <c r="D23" s="228"/>
      <c r="E23" s="15"/>
    </row>
    <row r="24" spans="1:7">
      <c r="A24" s="171" t="s">
        <v>76</v>
      </c>
      <c r="B24" s="37">
        <f>aantalw2001_steenkool</f>
        <v>213</v>
      </c>
      <c r="C24" s="166" t="s">
        <v>110</v>
      </c>
      <c r="D24" s="229"/>
      <c r="E24" s="15"/>
    </row>
    <row r="25" spans="1:7">
      <c r="A25" s="171" t="s">
        <v>77</v>
      </c>
      <c r="B25" s="37">
        <f>aantalw2001_stookolie</f>
        <v>2822</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836</v>
      </c>
      <c r="B28" s="37">
        <f>aantalHuishoudens2011</f>
        <v>7582</v>
      </c>
      <c r="C28" s="36"/>
      <c r="D28" s="228"/>
    </row>
    <row r="29" spans="1:7" s="15" customFormat="1">
      <c r="A29" s="230" t="s">
        <v>837</v>
      </c>
      <c r="B29" s="37">
        <f>SUM(HH_hh_gas_aantal,HH_rest_gas_aantal)</f>
        <v>4906</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4906</v>
      </c>
      <c r="C32" s="167">
        <f>IF(ISERROR(B32/SUM($B$32,$B$34,$B$35,$B$36,$B$38,$B$39)*100),0,B32/SUM($B$32,$B$34,$B$35,$B$36,$B$38,$B$39)*100)</f>
        <v>65.300146412884331</v>
      </c>
      <c r="D32" s="233"/>
      <c r="G32" s="15"/>
    </row>
    <row r="33" spans="1:7">
      <c r="A33" s="171" t="s">
        <v>71</v>
      </c>
      <c r="B33" s="34" t="s">
        <v>110</v>
      </c>
      <c r="C33" s="167"/>
      <c r="D33" s="233"/>
      <c r="G33" s="15"/>
    </row>
    <row r="34" spans="1:7">
      <c r="A34" s="171" t="s">
        <v>72</v>
      </c>
      <c r="B34" s="33">
        <f>IF((($B$28-$B$32-$B$39-$B$77-$B$38)*C20/100)&lt;0,0,($B$28-$B$32-$B$39-$B$77-$B$38)*C20/100)</f>
        <v>133.80464684014871</v>
      </c>
      <c r="C34" s="167">
        <f>IF(ISERROR(B34/SUM($B$32,$B$34,$B$35,$B$36,$B$38,$B$39)*100),0,B34/SUM($B$32,$B$34,$B$35,$B$36,$B$38,$B$39)*100)</f>
        <v>1.7809749346485919</v>
      </c>
      <c r="D34" s="233"/>
      <c r="G34" s="15"/>
    </row>
    <row r="35" spans="1:7">
      <c r="A35" s="171" t="s">
        <v>73</v>
      </c>
      <c r="B35" s="33">
        <f>IF((($B$28-$B$32-$B$39-$B$77-$B$38)*C21/100)&lt;0,0,($B$28-$B$32-$B$39-$B$77-$B$38)*C21/100)</f>
        <v>1763.9598513011153</v>
      </c>
      <c r="C35" s="167">
        <f>IF(ISERROR(B35/SUM($B$32,$B$34,$B$35,$B$36,$B$38,$B$39)*100),0,B35/SUM($B$32,$B$34,$B$35,$B$36,$B$38,$B$39)*100)</f>
        <v>23.478768152550451</v>
      </c>
      <c r="D35" s="233"/>
      <c r="G35" s="15"/>
    </row>
    <row r="36" spans="1:7">
      <c r="A36" s="171" t="s">
        <v>74</v>
      </c>
      <c r="B36" s="33">
        <f>IF((($B$28-$B$32-$B$39-$B$77-$B$38)*C22/100)&lt;0,0,($B$28-$B$32-$B$39-$B$77-$B$38)*C22/100)</f>
        <v>130.03550185873607</v>
      </c>
      <c r="C36" s="167">
        <f>IF(ISERROR(B36/SUM($B$32,$B$34,$B$35,$B$36,$B$38,$B$39)*100),0,B36/SUM($B$32,$B$34,$B$35,$B$36,$B$38,$B$39)*100)</f>
        <v>1.7308066266303217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579.19999999999982</v>
      </c>
      <c r="C39" s="167">
        <f>IF(ISERROR(B39/SUM($B$32,$B$34,$B$35,$B$36,$B$38,$B$39)*100),0,B39/SUM($B$32,$B$34,$B$35,$B$36,$B$38,$B$39)*100)</f>
        <v>7.7093038732863013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4906</v>
      </c>
      <c r="C44" s="34" t="s">
        <v>110</v>
      </c>
      <c r="D44" s="174"/>
    </row>
    <row r="45" spans="1:7">
      <c r="A45" s="171" t="s">
        <v>71</v>
      </c>
      <c r="B45" s="33" t="str">
        <f t="shared" si="0"/>
        <v>-</v>
      </c>
      <c r="C45" s="34" t="s">
        <v>110</v>
      </c>
      <c r="D45" s="174"/>
    </row>
    <row r="46" spans="1:7">
      <c r="A46" s="171" t="s">
        <v>72</v>
      </c>
      <c r="B46" s="33">
        <f t="shared" si="0"/>
        <v>133.80464684014871</v>
      </c>
      <c r="C46" s="34" t="s">
        <v>110</v>
      </c>
      <c r="D46" s="174"/>
    </row>
    <row r="47" spans="1:7">
      <c r="A47" s="171" t="s">
        <v>73</v>
      </c>
      <c r="B47" s="33">
        <f t="shared" si="0"/>
        <v>1763.9598513011153</v>
      </c>
      <c r="C47" s="34" t="s">
        <v>110</v>
      </c>
      <c r="D47" s="174"/>
    </row>
    <row r="48" spans="1:7">
      <c r="A48" s="171" t="s">
        <v>74</v>
      </c>
      <c r="B48" s="33">
        <f t="shared" si="0"/>
        <v>130.03550185873607</v>
      </c>
      <c r="C48" s="33">
        <f>B48*10</f>
        <v>1300.3550185873607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579.19999999999982</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245</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69</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17125.405862</v>
      </c>
      <c r="C5" s="17">
        <f>IF(ISERROR('Eigen informatie GS &amp; warmtenet'!B60),0,'Eigen informatie GS &amp; warmtenet'!B60)</f>
        <v>0</v>
      </c>
      <c r="D5" s="30">
        <f>SUM(D6:D12)</f>
        <v>18185.162250617999</v>
      </c>
      <c r="E5" s="17">
        <f>SUM(E6:E12)</f>
        <v>196.92299140874286</v>
      </c>
      <c r="F5" s="17">
        <f>SUM(F6:F12)</f>
        <v>2073.2460257066859</v>
      </c>
      <c r="G5" s="18"/>
      <c r="H5" s="17"/>
      <c r="I5" s="17"/>
      <c r="J5" s="17">
        <f>SUM(J6:J12)</f>
        <v>6.981045499930616E-2</v>
      </c>
      <c r="K5" s="17"/>
      <c r="L5" s="17"/>
      <c r="M5" s="17"/>
      <c r="N5" s="17">
        <f>SUM(N6:N12)</f>
        <v>2732.8722006153002</v>
      </c>
      <c r="O5" s="17">
        <f>B38*B39*B40</f>
        <v>4.8972607658411542</v>
      </c>
      <c r="P5" s="17">
        <f>B46*B47*B48/1000-B46*B47*B48/1000/B49</f>
        <v>157.61741491948504</v>
      </c>
      <c r="R5" s="32"/>
    </row>
    <row r="6" spans="1:18">
      <c r="A6" s="32" t="s">
        <v>53</v>
      </c>
      <c r="B6" s="37">
        <f>B26</f>
        <v>4809.4853279999998</v>
      </c>
      <c r="C6" s="33"/>
      <c r="D6" s="37">
        <f>IF(ISERROR(TER_kantoor_gas_kWh/1000),0,TER_kantoor_gas_kWh/1000)*0.902</f>
        <v>6926.0112845000003</v>
      </c>
      <c r="E6" s="33">
        <f>$C$26*'E Balans VL '!I12/100/3.6*1000000</f>
        <v>38.700386391934039</v>
      </c>
      <c r="F6" s="33">
        <f>$C$26*('E Balans VL '!L12+'E Balans VL '!N12)/100/3.6*1000000</f>
        <v>588.01017551384507</v>
      </c>
      <c r="G6" s="34"/>
      <c r="H6" s="33"/>
      <c r="I6" s="33"/>
      <c r="J6" s="33">
        <f>$C$26*('E Balans VL '!D12+'E Balans VL '!E12)/100/3.6*1000000</f>
        <v>0</v>
      </c>
      <c r="K6" s="33"/>
      <c r="L6" s="33"/>
      <c r="M6" s="33"/>
      <c r="N6" s="33">
        <f>$C$26*'E Balans VL '!Y12/100/3.6*1000000</f>
        <v>2.5848615222820177</v>
      </c>
      <c r="O6" s="33"/>
      <c r="P6" s="33"/>
      <c r="R6" s="32"/>
    </row>
    <row r="7" spans="1:18">
      <c r="A7" s="32" t="s">
        <v>52</v>
      </c>
      <c r="B7" s="37">
        <f t="shared" ref="B7:B12" si="0">B27</f>
        <v>1691.1135660000002</v>
      </c>
      <c r="C7" s="33"/>
      <c r="D7" s="37">
        <f>IF(ISERROR(TER_horeca_gas_kWh/1000),0,TER_horeca_gas_kWh/1000)*0.902</f>
        <v>1949.1052748860002</v>
      </c>
      <c r="E7" s="33">
        <f>$C$27*'E Balans VL '!I9/100/3.6*1000000</f>
        <v>18.158407049922321</v>
      </c>
      <c r="F7" s="33">
        <f>$C$27*('E Balans VL '!L9+'E Balans VL '!N9)/100/3.6*1000000</f>
        <v>203.39995469660809</v>
      </c>
      <c r="G7" s="34"/>
      <c r="H7" s="33"/>
      <c r="I7" s="33"/>
      <c r="J7" s="33">
        <f>$C$27*('E Balans VL '!D9+'E Balans VL '!E9)/100/3.6*1000000</f>
        <v>0</v>
      </c>
      <c r="K7" s="33"/>
      <c r="L7" s="33"/>
      <c r="M7" s="33"/>
      <c r="N7" s="33">
        <f>$C$27*'E Balans VL '!Y9/100/3.6*1000000</f>
        <v>0.25353219843611807</v>
      </c>
      <c r="O7" s="33"/>
      <c r="P7" s="33"/>
      <c r="R7" s="32"/>
    </row>
    <row r="8" spans="1:18">
      <c r="A8" s="6" t="s">
        <v>51</v>
      </c>
      <c r="B8" s="37">
        <f t="shared" si="0"/>
        <v>3768.0073090000001</v>
      </c>
      <c r="C8" s="33"/>
      <c r="D8" s="37">
        <f>IF(ISERROR(TER_handel_gas_kWh/1000),0,TER_handel_gas_kWh/1000)*0.902</f>
        <v>2831.5149389339999</v>
      </c>
      <c r="E8" s="33">
        <f>$C$28*'E Balans VL '!I13/100/3.6*1000000</f>
        <v>101.12178053108839</v>
      </c>
      <c r="F8" s="33">
        <f>$C$28*('E Balans VL '!L13+'E Balans VL '!N13)/100/3.6*1000000</f>
        <v>359.58403025832371</v>
      </c>
      <c r="G8" s="34"/>
      <c r="H8" s="33"/>
      <c r="I8" s="33"/>
      <c r="J8" s="33">
        <f>$C$28*('E Balans VL '!D13+'E Balans VL '!E13)/100/3.6*1000000</f>
        <v>0</v>
      </c>
      <c r="K8" s="33"/>
      <c r="L8" s="33"/>
      <c r="M8" s="33"/>
      <c r="N8" s="33">
        <f>$C$28*'E Balans VL '!Y13/100/3.6*1000000</f>
        <v>1.4936809409831975</v>
      </c>
      <c r="O8" s="33"/>
      <c r="P8" s="33"/>
      <c r="R8" s="32"/>
    </row>
    <row r="9" spans="1:18">
      <c r="A9" s="32" t="s">
        <v>50</v>
      </c>
      <c r="B9" s="37">
        <f t="shared" si="0"/>
        <v>696.42524000000003</v>
      </c>
      <c r="C9" s="33"/>
      <c r="D9" s="37">
        <f>IF(ISERROR(TER_gezond_gas_kWh/1000),0,TER_gezond_gas_kWh/1000)*0.902</f>
        <v>966.16102791999992</v>
      </c>
      <c r="E9" s="33">
        <f>$C$29*'E Balans VL '!I10/100/3.6*1000000</f>
        <v>1.3053276656651809</v>
      </c>
      <c r="F9" s="33">
        <f>$C$29*('E Balans VL '!L10+'E Balans VL '!N10)/100/3.6*1000000</f>
        <v>57.252509118688145</v>
      </c>
      <c r="G9" s="34"/>
      <c r="H9" s="33"/>
      <c r="I9" s="33"/>
      <c r="J9" s="33">
        <f>$C$29*('E Balans VL '!D10+'E Balans VL '!E10)/100/3.6*1000000</f>
        <v>0</v>
      </c>
      <c r="K9" s="33"/>
      <c r="L9" s="33"/>
      <c r="M9" s="33"/>
      <c r="N9" s="33">
        <f>$C$29*'E Balans VL '!Y10/100/3.6*1000000</f>
        <v>5.418707975089915</v>
      </c>
      <c r="O9" s="33"/>
      <c r="P9" s="33"/>
      <c r="R9" s="32"/>
    </row>
    <row r="10" spans="1:18">
      <c r="A10" s="32" t="s">
        <v>49</v>
      </c>
      <c r="B10" s="37">
        <f t="shared" si="0"/>
        <v>3873.3129859999999</v>
      </c>
      <c r="C10" s="33"/>
      <c r="D10" s="37">
        <f>IF(ISERROR(TER_ander_gas_kWh/1000),0,TER_ander_gas_kWh/1000)*0.902</f>
        <v>1717.6302951939999</v>
      </c>
      <c r="E10" s="33">
        <f>$C$30*'E Balans VL '!I14/100/3.6*1000000</f>
        <v>5.9707512155930598</v>
      </c>
      <c r="F10" s="33">
        <f>$C$30*('E Balans VL '!L14+'E Balans VL '!N14)/100/3.6*1000000</f>
        <v>601.33291036333787</v>
      </c>
      <c r="G10" s="34"/>
      <c r="H10" s="33"/>
      <c r="I10" s="33"/>
      <c r="J10" s="33">
        <f>$C$30*('E Balans VL '!D14+'E Balans VL '!E14)/100/3.6*1000000</f>
        <v>6.5753572829282542E-2</v>
      </c>
      <c r="K10" s="33"/>
      <c r="L10" s="33"/>
      <c r="M10" s="33"/>
      <c r="N10" s="33">
        <f>$C$30*'E Balans VL '!Y14/100/3.6*1000000</f>
        <v>2562.4597327882302</v>
      </c>
      <c r="O10" s="33"/>
      <c r="P10" s="33"/>
      <c r="R10" s="32"/>
    </row>
    <row r="11" spans="1:18">
      <c r="A11" s="32" t="s">
        <v>54</v>
      </c>
      <c r="B11" s="37">
        <f t="shared" si="0"/>
        <v>170.18474600000002</v>
      </c>
      <c r="C11" s="33"/>
      <c r="D11" s="37">
        <f>IF(ISERROR(TER_onderwijs_gas_kWh/1000),0,TER_onderwijs_gas_kWh/1000)*0.902</f>
        <v>497.15227951399999</v>
      </c>
      <c r="E11" s="33">
        <f>$C$31*'E Balans VL '!I11/100/3.6*1000000</f>
        <v>4.3408733944192761</v>
      </c>
      <c r="F11" s="33">
        <f>$C$31*('E Balans VL '!L11+'E Balans VL '!N11)/100/3.6*1000000</f>
        <v>20.466317546329552</v>
      </c>
      <c r="G11" s="34"/>
      <c r="H11" s="33"/>
      <c r="I11" s="33"/>
      <c r="J11" s="33">
        <f>$C$31*('E Balans VL '!D11+'E Balans VL '!E11)/100/3.6*1000000</f>
        <v>0</v>
      </c>
      <c r="K11" s="33"/>
      <c r="L11" s="33"/>
      <c r="M11" s="33"/>
      <c r="N11" s="33">
        <f>$C$31*'E Balans VL '!Y11/100/3.6*1000000</f>
        <v>0.37848672256041654</v>
      </c>
      <c r="O11" s="33"/>
      <c r="P11" s="33"/>
      <c r="R11" s="32"/>
    </row>
    <row r="12" spans="1:18">
      <c r="A12" s="32" t="s">
        <v>259</v>
      </c>
      <c r="B12" s="37">
        <f t="shared" si="0"/>
        <v>2116.8766869999999</v>
      </c>
      <c r="C12" s="33"/>
      <c r="D12" s="37">
        <f>IF(ISERROR(TER_rest_gas_kWh/1000),0,TER_rest_gas_kWh/1000)*0.902</f>
        <v>3297.5871496700001</v>
      </c>
      <c r="E12" s="33">
        <f>$C$32*'E Balans VL '!I8/100/3.6*1000000</f>
        <v>27.325465160120626</v>
      </c>
      <c r="F12" s="33">
        <f>$C$32*('E Balans VL '!L8+'E Balans VL '!N8)/100/3.6*1000000</f>
        <v>243.20012820955355</v>
      </c>
      <c r="G12" s="34"/>
      <c r="H12" s="33"/>
      <c r="I12" s="33"/>
      <c r="J12" s="33">
        <f>$C$32*('E Balans VL '!D8+'E Balans VL '!E8)/100/3.6*1000000</f>
        <v>4.0568821700236197E-3</v>
      </c>
      <c r="K12" s="33"/>
      <c r="L12" s="33"/>
      <c r="M12" s="33"/>
      <c r="N12" s="33">
        <f>$C$32*'E Balans VL '!Y8/100/3.6*1000000</f>
        <v>160.28319846771831</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17125.405862</v>
      </c>
      <c r="C16" s="21">
        <f t="shared" ca="1" si="1"/>
        <v>0</v>
      </c>
      <c r="D16" s="21">
        <f t="shared" ca="1" si="1"/>
        <v>18185.162250617999</v>
      </c>
      <c r="E16" s="21">
        <f t="shared" si="1"/>
        <v>196.92299140874286</v>
      </c>
      <c r="F16" s="21">
        <f t="shared" ca="1" si="1"/>
        <v>2073.2460257066859</v>
      </c>
      <c r="G16" s="21">
        <f t="shared" si="1"/>
        <v>0</v>
      </c>
      <c r="H16" s="21">
        <f t="shared" si="1"/>
        <v>0</v>
      </c>
      <c r="I16" s="21">
        <f t="shared" si="1"/>
        <v>0</v>
      </c>
      <c r="J16" s="21">
        <f t="shared" si="1"/>
        <v>6.981045499930616E-2</v>
      </c>
      <c r="K16" s="21">
        <f t="shared" si="1"/>
        <v>0</v>
      </c>
      <c r="L16" s="21">
        <f t="shared" ca="1" si="1"/>
        <v>0</v>
      </c>
      <c r="M16" s="21">
        <f t="shared" si="1"/>
        <v>0</v>
      </c>
      <c r="N16" s="21">
        <f t="shared" ca="1" si="1"/>
        <v>2732.8722006153002</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0.21025280865765095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3600.6646818876998</v>
      </c>
      <c r="C20" s="23">
        <f t="shared" ref="C20:P20" ca="1" si="2">C16*C18</f>
        <v>0</v>
      </c>
      <c r="D20" s="23">
        <f t="shared" ca="1" si="2"/>
        <v>3673.4027746248362</v>
      </c>
      <c r="E20" s="23">
        <f t="shared" si="2"/>
        <v>44.701519049784629</v>
      </c>
      <c r="F20" s="23">
        <f t="shared" ca="1" si="2"/>
        <v>553.55668886368517</v>
      </c>
      <c r="G20" s="23">
        <f t="shared" si="2"/>
        <v>0</v>
      </c>
      <c r="H20" s="23">
        <f t="shared" si="2"/>
        <v>0</v>
      </c>
      <c r="I20" s="23">
        <f t="shared" si="2"/>
        <v>0</v>
      </c>
      <c r="J20" s="23">
        <f t="shared" si="2"/>
        <v>2.4712901069754378E-2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4809.4853279999998</v>
      </c>
      <c r="C26" s="39">
        <f>IF(ISERROR(B26*3.6/1000000/'E Balans VL '!Z12*100),0,B26*3.6/1000000/'E Balans VL '!Z12*100)</f>
        <v>0.10202883105973296</v>
      </c>
      <c r="D26" s="237" t="s">
        <v>716</v>
      </c>
      <c r="F26" s="6"/>
    </row>
    <row r="27" spans="1:18">
      <c r="A27" s="231" t="s">
        <v>52</v>
      </c>
      <c r="B27" s="33">
        <f>IF(ISERROR(TER_horeca_ele_kWh/1000),0,TER_horeca_ele_kWh/1000)</f>
        <v>1691.1135660000002</v>
      </c>
      <c r="C27" s="39">
        <f>IF(ISERROR(B27*3.6/1000000/'E Balans VL '!Z9*100),0,B27*3.6/1000000/'E Balans VL '!Z9*100)</f>
        <v>0.12735583226041405</v>
      </c>
      <c r="D27" s="237" t="s">
        <v>716</v>
      </c>
      <c r="F27" s="6"/>
    </row>
    <row r="28" spans="1:18">
      <c r="A28" s="171" t="s">
        <v>51</v>
      </c>
      <c r="B28" s="33">
        <f>IF(ISERROR(TER_handel_ele_kWh/1000),0,TER_handel_ele_kWh/1000)</f>
        <v>3768.0073090000001</v>
      </c>
      <c r="C28" s="39">
        <f>IF(ISERROR(B28*3.6/1000000/'E Balans VL '!Z13*100),0,B28*3.6/1000000/'E Balans VL '!Z13*100)</f>
        <v>0.10937190108869799</v>
      </c>
      <c r="D28" s="237" t="s">
        <v>716</v>
      </c>
      <c r="F28" s="6"/>
    </row>
    <row r="29" spans="1:18">
      <c r="A29" s="231" t="s">
        <v>50</v>
      </c>
      <c r="B29" s="33">
        <f>IF(ISERROR(TER_gezond_ele_kWh/1000),0,TER_gezond_ele_kWh/1000)</f>
        <v>696.42524000000003</v>
      </c>
      <c r="C29" s="39">
        <f>IF(ISERROR(B29*3.6/1000000/'E Balans VL '!Z10*100),0,B29*3.6/1000000/'E Balans VL '!Z10*100)</f>
        <v>7.0235315974925092E-2</v>
      </c>
      <c r="D29" s="237" t="s">
        <v>716</v>
      </c>
      <c r="F29" s="6"/>
    </row>
    <row r="30" spans="1:18">
      <c r="A30" s="231" t="s">
        <v>49</v>
      </c>
      <c r="B30" s="33">
        <f>IF(ISERROR(TER_ander_ele_kWh/1000),0,TER_ander_ele_kWh/1000)</f>
        <v>3873.3129859999999</v>
      </c>
      <c r="C30" s="39">
        <f>IF(ISERROR(B30*3.6/1000000/'E Balans VL '!Z14*100),0,B30*3.6/1000000/'E Balans VL '!Z14*100)</f>
        <v>0.28106169881221932</v>
      </c>
      <c r="D30" s="237" t="s">
        <v>716</v>
      </c>
      <c r="F30" s="6"/>
    </row>
    <row r="31" spans="1:18">
      <c r="A31" s="231" t="s">
        <v>54</v>
      </c>
      <c r="B31" s="33">
        <f>IF(ISERROR(TER_onderwijs_ele_kWh/1000),0,TER_onderwijs_ele_kWh/1000)</f>
        <v>170.18474600000002</v>
      </c>
      <c r="C31" s="39">
        <f>IF(ISERROR(B31*3.6/1000000/'E Balans VL '!Z11*100),0,B31*3.6/1000000/'E Balans VL '!Z11*100)</f>
        <v>4.8509582855554498E-2</v>
      </c>
      <c r="D31" s="237" t="s">
        <v>716</v>
      </c>
    </row>
    <row r="32" spans="1:18">
      <c r="A32" s="231" t="s">
        <v>259</v>
      </c>
      <c r="B32" s="33">
        <f>IF(ISERROR(TER_rest_ele_kWh/1000),0,TER_rest_ele_kWh/1000)</f>
        <v>2116.8766869999999</v>
      </c>
      <c r="C32" s="39">
        <f>IF(ISERROR(B32*3.6/1000000/'E Balans VL '!Z8*100),0,B32*3.6/1000000/'E Balans VL '!Z8*100)</f>
        <v>1.7341022632310136E-2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3</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19639.662279999997</v>
      </c>
      <c r="C5" s="17">
        <f>IF(ISERROR('Eigen informatie GS &amp; warmtenet'!B61),0,'Eigen informatie GS &amp; warmtenet'!B61)</f>
        <v>0</v>
      </c>
      <c r="D5" s="30">
        <f>SUM(D6:D15)</f>
        <v>11487.419192392001</v>
      </c>
      <c r="E5" s="17">
        <f>SUM(E6:E15)</f>
        <v>1178.8389155383215</v>
      </c>
      <c r="F5" s="17">
        <f>SUM(F6:F15)</f>
        <v>4206.7948291591993</v>
      </c>
      <c r="G5" s="18"/>
      <c r="H5" s="17"/>
      <c r="I5" s="17"/>
      <c r="J5" s="17">
        <f>SUM(J6:J15)</f>
        <v>150.85406619978943</v>
      </c>
      <c r="K5" s="17"/>
      <c r="L5" s="17"/>
      <c r="M5" s="17"/>
      <c r="N5" s="17">
        <f>SUM(N6:N15)</f>
        <v>800.75010170640837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151.84312299999999</v>
      </c>
      <c r="C8" s="33"/>
      <c r="D8" s="37">
        <f>IF( ISERROR(IND_metaal_Gas_kWH/1000),0,IND_metaal_Gas_kWH/1000)*0.902</f>
        <v>43.803034946000004</v>
      </c>
      <c r="E8" s="33">
        <f>C30*'E Balans VL '!I18/100/3.6*1000000</f>
        <v>1.0954415589809692</v>
      </c>
      <c r="F8" s="33">
        <f>C30*'E Balans VL '!L18/100/3.6*1000000+C30*'E Balans VL '!N18/100/3.6*1000000</f>
        <v>14.361559644737838</v>
      </c>
      <c r="G8" s="34"/>
      <c r="H8" s="33"/>
      <c r="I8" s="33"/>
      <c r="J8" s="40">
        <f>C30*'E Balans VL '!D18/100/3.6*1000000+C30*'E Balans VL '!E18/100/3.6*1000000</f>
        <v>0.15272469550387047</v>
      </c>
      <c r="K8" s="33"/>
      <c r="L8" s="33"/>
      <c r="M8" s="33"/>
      <c r="N8" s="33">
        <f>C30*'E Balans VL '!Y18/100/3.6*1000000</f>
        <v>1.9196988119613656</v>
      </c>
      <c r="O8" s="33"/>
      <c r="P8" s="33"/>
      <c r="R8" s="32"/>
    </row>
    <row r="9" spans="1:18">
      <c r="A9" s="6" t="s">
        <v>32</v>
      </c>
      <c r="B9" s="37">
        <f t="shared" si="0"/>
        <v>1138.2487979999999</v>
      </c>
      <c r="C9" s="33"/>
      <c r="D9" s="37">
        <f>IF( ISERROR(IND_andere_gas_kWh/1000),0,IND_andere_gas_kWh/1000)*0.902</f>
        <v>1180.8063923919999</v>
      </c>
      <c r="E9" s="33">
        <f>C31*'E Balans VL '!I19/100/3.6*1000000</f>
        <v>315.42396221906148</v>
      </c>
      <c r="F9" s="33">
        <f>C31*'E Balans VL '!L19/100/3.6*1000000+C31*'E Balans VL '!N19/100/3.6*1000000</f>
        <v>943.38306355700968</v>
      </c>
      <c r="G9" s="34"/>
      <c r="H9" s="33"/>
      <c r="I9" s="33"/>
      <c r="J9" s="40">
        <f>C31*'E Balans VL '!D19/100/3.6*1000000+C31*'E Balans VL '!E19/100/3.6*1000000</f>
        <v>0</v>
      </c>
      <c r="K9" s="33"/>
      <c r="L9" s="33"/>
      <c r="M9" s="33"/>
      <c r="N9" s="33">
        <f>C31*'E Balans VL '!Y19/100/3.6*1000000</f>
        <v>82.622940444797493</v>
      </c>
      <c r="O9" s="33"/>
      <c r="P9" s="33"/>
      <c r="R9" s="32"/>
    </row>
    <row r="10" spans="1:18">
      <c r="A10" s="6" t="s">
        <v>40</v>
      </c>
      <c r="B10" s="37">
        <f t="shared" si="0"/>
        <v>107.535889</v>
      </c>
      <c r="C10" s="33"/>
      <c r="D10" s="37">
        <f>IF( ISERROR(IND_voed_gas_kWh/1000),0,IND_voed_gas_kWh/1000)*0.902</f>
        <v>81.07983019400001</v>
      </c>
      <c r="E10" s="33">
        <f>C32*'E Balans VL '!I20/100/3.6*1000000</f>
        <v>0.19037494827089868</v>
      </c>
      <c r="F10" s="33">
        <f>C32*'E Balans VL '!L20/100/3.6*1000000+C32*'E Balans VL '!N20/100/3.6*1000000</f>
        <v>5.8078910880349195</v>
      </c>
      <c r="G10" s="34"/>
      <c r="H10" s="33"/>
      <c r="I10" s="33"/>
      <c r="J10" s="40">
        <f>C32*'E Balans VL '!D20/100/3.6*1000000+C32*'E Balans VL '!E20/100/3.6*1000000</f>
        <v>0</v>
      </c>
      <c r="K10" s="33"/>
      <c r="L10" s="33"/>
      <c r="M10" s="33"/>
      <c r="N10" s="33">
        <f>C32*'E Balans VL '!Y20/100/3.6*1000000</f>
        <v>6.2486564127179438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18242.034469999999</v>
      </c>
      <c r="C15" s="33"/>
      <c r="D15" s="37">
        <f>IF( ISERROR(IND_rest_gas_kWh/1000),0,IND_rest_gas_kWh/1000)*0.902</f>
        <v>10181.729934860001</v>
      </c>
      <c r="E15" s="33">
        <f>C37*'E Balans VL '!I15/100/3.6*1000000</f>
        <v>862.12913681200826</v>
      </c>
      <c r="F15" s="33">
        <f>C37*'E Balans VL '!L15/100/3.6*1000000+C37*'E Balans VL '!N15/100/3.6*1000000</f>
        <v>3243.2423148694165</v>
      </c>
      <c r="G15" s="34"/>
      <c r="H15" s="33"/>
      <c r="I15" s="33"/>
      <c r="J15" s="40">
        <f>C37*'E Balans VL '!D15/100/3.6*1000000+C37*'E Balans VL '!E15/100/3.6*1000000</f>
        <v>150.70134150428555</v>
      </c>
      <c r="K15" s="33"/>
      <c r="L15" s="33"/>
      <c r="M15" s="33"/>
      <c r="N15" s="33">
        <f>C37*'E Balans VL '!Y15/100/3.6*1000000</f>
        <v>709.95880603693161</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19639.662279999997</v>
      </c>
      <c r="C18" s="21">
        <f>C5+C16</f>
        <v>0</v>
      </c>
      <c r="D18" s="21">
        <f>MAX((D5+D16),0)</f>
        <v>11487.419192392001</v>
      </c>
      <c r="E18" s="21">
        <f>MAX((E5+E16),0)</f>
        <v>1178.8389155383215</v>
      </c>
      <c r="F18" s="21">
        <f>MAX((F5+F16),0)</f>
        <v>4206.7948291591993</v>
      </c>
      <c r="G18" s="21"/>
      <c r="H18" s="21"/>
      <c r="I18" s="21"/>
      <c r="J18" s="21">
        <f>MAX((J5+J16),0)</f>
        <v>150.85406619978943</v>
      </c>
      <c r="K18" s="21"/>
      <c r="L18" s="21">
        <f>MAX((L5+L16),0)</f>
        <v>0</v>
      </c>
      <c r="M18" s="21"/>
      <c r="N18" s="21">
        <f>MAX((N5+N16),0)</f>
        <v>800.75010170640837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0.21025280865765095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4129.2941554577237</v>
      </c>
      <c r="C22" s="23">
        <f ca="1">C18*C20</f>
        <v>0</v>
      </c>
      <c r="D22" s="23">
        <f>D18*D20</f>
        <v>2320.4586768631843</v>
      </c>
      <c r="E22" s="23">
        <f>E18*E20</f>
        <v>267.59643382719901</v>
      </c>
      <c r="F22" s="23">
        <f>F18*F20</f>
        <v>1123.2142193855063</v>
      </c>
      <c r="G22" s="23"/>
      <c r="H22" s="23"/>
      <c r="I22" s="23"/>
      <c r="J22" s="23">
        <f>J18*J20</f>
        <v>53.402339434725455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151.84312299999999</v>
      </c>
      <c r="C30" s="39">
        <f>IF(ISERROR(B30*3.6/1000000/'E Balans VL '!Z18*100),0,B30*3.6/1000000/'E Balans VL '!Z18*100)</f>
        <v>8.7656665627271549E-3</v>
      </c>
      <c r="D30" s="237" t="s">
        <v>716</v>
      </c>
    </row>
    <row r="31" spans="1:18">
      <c r="A31" s="6" t="s">
        <v>32</v>
      </c>
      <c r="B31" s="37">
        <f>IF( ISERROR(IND_ander_ele_kWh/1000),0,IND_ander_ele_kWh/1000)</f>
        <v>1138.2487979999999</v>
      </c>
      <c r="C31" s="39">
        <f>IF(ISERROR(B31*3.6/1000000/'E Balans VL '!Z19*100),0,B31*3.6/1000000/'E Balans VL '!Z19*100)</f>
        <v>5.7250225048781953E-2</v>
      </c>
      <c r="D31" s="237" t="s">
        <v>716</v>
      </c>
    </row>
    <row r="32" spans="1:18">
      <c r="A32" s="171" t="s">
        <v>40</v>
      </c>
      <c r="B32" s="37">
        <f>IF( ISERROR(IND_voed_ele_kWh/1000),0,IND_voed_ele_kWh/1000)</f>
        <v>107.535889</v>
      </c>
      <c r="C32" s="39">
        <f>IF(ISERROR(B32*3.6/1000000/'E Balans VL '!Z20*100),0,B32*3.6/1000000/'E Balans VL '!Z20*100)</f>
        <v>3.5815836784869621E-3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18242.034469999999</v>
      </c>
      <c r="C37" s="39">
        <f>IF(ISERROR(B37*3.6/1000000/'E Balans VL '!Z15*100),0,B37*3.6/1000000/'E Balans VL '!Z15*100)</f>
        <v>0.14233775410248745</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1780.3706729999999</v>
      </c>
      <c r="C5" s="17">
        <f>'Eigen informatie GS &amp; warmtenet'!B62</f>
        <v>0</v>
      </c>
      <c r="D5" s="30">
        <f>IF(ISERROR(SUM(LB_lb_gas_kWh,LB_rest_gas_kWh)/1000),0,SUM(LB_lb_gas_kWh,LB_rest_gas_kWh)/1000)*0.902</f>
        <v>8295.3175521039993</v>
      </c>
      <c r="E5" s="17">
        <f>B17*'E Balans VL '!I25/3.6*1000000/100</f>
        <v>55.564781610510565</v>
      </c>
      <c r="F5" s="17">
        <f>B17*('E Balans VL '!L25/3.6*1000000+'E Balans VL '!N25/3.6*1000000)/100</f>
        <v>6292.0271825248365</v>
      </c>
      <c r="G5" s="18"/>
      <c r="H5" s="17"/>
      <c r="I5" s="17"/>
      <c r="J5" s="17">
        <f>('E Balans VL '!D25+'E Balans VL '!E25)/3.6*1000000*landbouw!B17/100</f>
        <v>490.50446717391094</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1780.3706729999999</v>
      </c>
      <c r="C8" s="21">
        <f>C5+C6</f>
        <v>0</v>
      </c>
      <c r="D8" s="21">
        <f>MAX((D5+D6),0)</f>
        <v>8295.3175521039993</v>
      </c>
      <c r="E8" s="21">
        <f>MAX((E5+E6),0)</f>
        <v>55.564781610510565</v>
      </c>
      <c r="F8" s="21">
        <f>MAX((F5+F6),0)</f>
        <v>6292.0271825248365</v>
      </c>
      <c r="G8" s="21"/>
      <c r="H8" s="21"/>
      <c r="I8" s="21"/>
      <c r="J8" s="21">
        <f>MAX((J5+J6),0)</f>
        <v>490.50446717391094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0.21025280865765095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374.32793444996224</v>
      </c>
      <c r="C12" s="23">
        <f ca="1">C8*C10</f>
        <v>0</v>
      </c>
      <c r="D12" s="23">
        <f>D8*D10</f>
        <v>1675.6541455250081</v>
      </c>
      <c r="E12" s="23">
        <f>E8*E10</f>
        <v>12.613205425585898</v>
      </c>
      <c r="F12" s="23">
        <f>F8*F10</f>
        <v>1679.9712577341315</v>
      </c>
      <c r="G12" s="23"/>
      <c r="H12" s="23"/>
      <c r="I12" s="23"/>
      <c r="J12" s="23">
        <f>J8*J10</f>
        <v>173.63858137956447</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0.26466486344736428</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48.915119188936096</v>
      </c>
      <c r="C26" s="247">
        <f>B26*'GWP N2O_CH4'!B5</f>
        <v>1027.217502967658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15.470438740288364</v>
      </c>
      <c r="C27" s="247">
        <f>B27*'GWP N2O_CH4'!B5</f>
        <v>324.87921354605561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0.57959282239471022</v>
      </c>
      <c r="C28" s="247">
        <f>B28*'GWP N2O_CH4'!B4</f>
        <v>179.67377494236015</v>
      </c>
      <c r="D28" s="50"/>
    </row>
    <row r="29" spans="1:4">
      <c r="A29" s="41" t="s">
        <v>276</v>
      </c>
      <c r="B29" s="247">
        <f>B34*'ha_N2O bodem landbouw'!B4</f>
        <v>5.5053304899530087</v>
      </c>
      <c r="C29" s="247">
        <f>B29*'GWP N2O_CH4'!B4</f>
        <v>1706.6524518854326</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1.2072198551999463E-3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5.4960175618999998E-4</v>
      </c>
      <c r="C5" s="463" t="s">
        <v>210</v>
      </c>
      <c r="D5" s="448">
        <f>SUM(D6:D11)</f>
        <v>2.1036805494034959E-3</v>
      </c>
      <c r="E5" s="448">
        <f>SUM(E6:E11)</f>
        <v>1.9519864927706751E-3</v>
      </c>
      <c r="F5" s="461" t="s">
        <v>210</v>
      </c>
      <c r="G5" s="448">
        <f>SUM(G6:G11)</f>
        <v>0.89490981044903872</v>
      </c>
      <c r="H5" s="448">
        <f>SUM(H6:H11)</f>
        <v>0.16249042150213383</v>
      </c>
      <c r="I5" s="463" t="s">
        <v>210</v>
      </c>
      <c r="J5" s="463" t="s">
        <v>210</v>
      </c>
      <c r="K5" s="463" t="s">
        <v>210</v>
      </c>
      <c r="L5" s="463" t="s">
        <v>210</v>
      </c>
      <c r="M5" s="448">
        <f>SUM(M6:M11)</f>
        <v>6.2277935619977395E-2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5.9687790244999991E-5</v>
      </c>
      <c r="C6" s="449"/>
      <c r="D6" s="917">
        <f>vkm_2011_GW_PW*SUMIFS(TableVerdeelsleutelVkm[CNG],TableVerdeelsleutelVkm[Voertuigtype],"Lichte voertuigen")*SUMIFS(TableECFTransport[EnergieConsumptieFactor (PJ per km)],TableECFTransport[Index],CONCATENATE($A6,"_CNG_CNG"))</f>
        <v>2.07544613451252E-4</v>
      </c>
      <c r="E6" s="917">
        <f>vkm_2011_GW_PW*SUMIFS(TableVerdeelsleutelVkm[LPG],TableVerdeelsleutelVkm[Voertuigtype],"Lichte voertuigen")*SUMIFS(TableECFTransport[EnergieConsumptieFactor (PJ per km)],TableECFTransport[Index],CONCATENATE($A6,"_LPG_LPG"))</f>
        <v>1.6351096134839999E-4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4.4509584893054698E-2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1.5575398455417413E-2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3.5904554101074595E-3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3.3815031096992465E-2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8.5190960179076523E-6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1.9498803385666623E-3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4.6175492989999996E-5</v>
      </c>
      <c r="C8" s="449"/>
      <c r="D8" s="451">
        <f>vkm_2011_NGW_PW*SUMIFS(TableVerdeelsleutelVkm[CNG],TableVerdeelsleutelVkm[Voertuigtype],"Lichte voertuigen")*SUMIFS(TableECFTransport[EnergieConsumptieFactor (PJ per km)],TableECFTransport[Index],CONCATENATE($A8,"_CNG_CNG"))</f>
        <v>2.8415004854544002E-4</v>
      </c>
      <c r="E8" s="451">
        <f>vkm_2011_NGW_PW*SUMIFS(TableVerdeelsleutelVkm[LPG],TableVerdeelsleutelVkm[Voertuigtype],"Lichte voertuigen")*SUMIFS(TableECFTransport[EnergieConsumptieFactor (PJ per km)],TableECFTransport[Index],CONCATENATE($A8,"_LPG_LPG"))</f>
        <v>2.0753522181204999E-4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5.2424246517391568E-2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2.0778597628844923E-2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4.3890020726193683E-3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1.4253415118505744E-2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3.3882055254155921E-6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8.2188311255412838E-4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4.4373847295499998E-4</v>
      </c>
      <c r="C10" s="449"/>
      <c r="D10" s="451">
        <f>vkm_2011_SW_PW*SUMIFS(TableVerdeelsleutelVkm[CNG],TableVerdeelsleutelVkm[Voertuigtype],"Lichte voertuigen")*SUMIFS(TableECFTransport[EnergieConsumptieFactor (PJ per km)],TableECFTransport[Index],CONCATENATE($A10,"_CNG_CNG"))</f>
        <v>1.6119858874068041E-3</v>
      </c>
      <c r="E10" s="451">
        <f>vkm_2011_SW_PW*SUMIFS(TableVerdeelsleutelVkm[LPG],TableVerdeelsleutelVkm[Voertuigtype],"Lichte voertuigen")*SUMIFS(TableECFTransport[EnergieConsumptieFactor (PJ per km)],TableECFTransport[Index],CONCATENATE($A10,"_LPG_LPG"))</f>
        <v>1.5809403096102251E-3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0.38227980462086991</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0.12602420624315422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3.0327645137746443E-2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0.36762772820222428</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1.0031187317393272E-4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2.1199069548383336E-2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152.66715449722221</v>
      </c>
      <c r="C14" s="21"/>
      <c r="D14" s="21">
        <f t="shared" ref="D14:M14" si="0">((D5)*10^9/3600)+D12</f>
        <v>584.35570816763777</v>
      </c>
      <c r="E14" s="21">
        <f t="shared" si="0"/>
        <v>542.21847021407643</v>
      </c>
      <c r="F14" s="21"/>
      <c r="G14" s="21">
        <f t="shared" si="0"/>
        <v>248586.05845806631</v>
      </c>
      <c r="H14" s="21">
        <f t="shared" si="0"/>
        <v>45136.228195037169</v>
      </c>
      <c r="I14" s="21"/>
      <c r="J14" s="21"/>
      <c r="K14" s="21"/>
      <c r="L14" s="21"/>
      <c r="M14" s="21">
        <f t="shared" si="0"/>
        <v>17299.426561104832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0.21025280865765095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32.098698022812499</v>
      </c>
      <c r="C18" s="23"/>
      <c r="D18" s="23">
        <f t="shared" ref="D18:M18" si="1">D14*D16</f>
        <v>118.03985304986284</v>
      </c>
      <c r="E18" s="23">
        <f t="shared" si="1"/>
        <v>123.08359273859536</v>
      </c>
      <c r="F18" s="23"/>
      <c r="G18" s="23">
        <f t="shared" si="1"/>
        <v>66372.477608303714</v>
      </c>
      <c r="H18" s="23">
        <f t="shared" si="1"/>
        <v>11238.920820564255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4.3464749110931717E-3</v>
      </c>
      <c r="H50" s="321">
        <f t="shared" si="2"/>
        <v>0</v>
      </c>
      <c r="I50" s="321">
        <f t="shared" si="2"/>
        <v>0</v>
      </c>
      <c r="J50" s="321">
        <f t="shared" si="2"/>
        <v>0</v>
      </c>
      <c r="K50" s="321">
        <f t="shared" si="2"/>
        <v>0</v>
      </c>
      <c r="L50" s="321">
        <f t="shared" si="2"/>
        <v>0</v>
      </c>
      <c r="M50" s="321">
        <f t="shared" si="2"/>
        <v>2.4157755646958852E-4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4.3464749110931717E-3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2.4157755646958852E-4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1207.3541419703254</v>
      </c>
      <c r="H54" s="21">
        <f t="shared" si="3"/>
        <v>0</v>
      </c>
      <c r="I54" s="21">
        <f t="shared" si="3"/>
        <v>0</v>
      </c>
      <c r="J54" s="21">
        <f t="shared" si="3"/>
        <v>0</v>
      </c>
      <c r="K54" s="21">
        <f t="shared" si="3"/>
        <v>0</v>
      </c>
      <c r="L54" s="21">
        <f t="shared" si="3"/>
        <v>0</v>
      </c>
      <c r="M54" s="21">
        <f t="shared" si="3"/>
        <v>67.10487679710792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0.21025280865765095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322.3635559060769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3712.4892584716945</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3712.4892584716945</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2019-08-12T08:40:47Z</dcterms:modified>
</cp:coreProperties>
</file>