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F6" i="17" s="1"/>
  <c r="R61" i="18"/>
  <c r="Q61"/>
  <c r="P61"/>
  <c r="D6" i="17" s="1"/>
  <c r="O61" i="18"/>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G20" i="59"/>
  <c r="L6" i="17"/>
  <c r="L5" s="1"/>
  <c r="E20" i="59"/>
  <c r="J30" i="48"/>
  <c r="J32"/>
  <c r="I15"/>
  <c r="J15" i="16"/>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E78" i="14"/>
  <c r="E9" i="59"/>
  <c r="E10" s="1"/>
  <c r="O78" i="14"/>
  <c r="O9" i="59"/>
  <c r="O10" s="1"/>
  <c r="C89" i="14"/>
  <c r="C19" i="59" s="1"/>
  <c r="M24" i="48"/>
  <c r="M32"/>
  <c r="G78" i="14"/>
  <c r="G9" i="59"/>
  <c r="G10" s="1"/>
  <c r="H90" i="14"/>
  <c r="H18" i="59"/>
  <c r="H20" s="1"/>
  <c r="I33" i="48"/>
  <c r="K15"/>
  <c r="I20" i="15"/>
  <c r="J40" i="14" s="1"/>
  <c r="J27"/>
  <c r="J7" i="48"/>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20" i="16" l="1"/>
  <c r="B22" s="1"/>
  <c r="C43" i="14" s="1"/>
  <c r="R43" s="1"/>
  <c r="B17" i="19"/>
  <c r="B19" s="1"/>
  <c r="B29" i="20"/>
  <c r="B31" s="1"/>
  <c r="C55" i="14"/>
  <c r="R55" s="1"/>
  <c r="B18" i="15"/>
  <c r="B20" s="1"/>
  <c r="C12" i="59"/>
  <c r="B10" i="9"/>
  <c r="B12" s="1"/>
  <c r="C40" i="14" s="1"/>
  <c r="R40" s="1"/>
  <c r="B10" i="13"/>
  <c r="B12" s="1"/>
  <c r="B56" i="22"/>
  <c r="B58" s="1"/>
  <c r="B17" i="49"/>
  <c r="B19" s="1"/>
  <c r="B10" i="17"/>
  <c r="B12" s="1"/>
  <c r="C54" i="14" s="1"/>
  <c r="R54" s="1"/>
  <c r="R56" s="1"/>
  <c r="C49"/>
  <c r="R49" s="1"/>
  <c r="C39"/>
  <c r="R39" s="1"/>
  <c r="C42"/>
  <c r="R42" s="1"/>
  <c r="C48"/>
  <c r="R48" s="1"/>
  <c r="C50"/>
  <c r="R50" s="1"/>
  <c r="B17" i="48" l="1"/>
  <c r="B32" s="1"/>
  <c r="Q32" s="1"/>
  <c r="R52" i="14"/>
  <c r="C52"/>
  <c r="C41"/>
  <c r="R41" s="1"/>
  <c r="R46" s="1"/>
  <c r="B31" i="48"/>
  <c r="Q31" s="1"/>
  <c r="B25" l="1"/>
  <c r="Q25" s="1"/>
  <c r="B29"/>
  <c r="Q29" s="1"/>
  <c r="B30"/>
  <c r="Q30" s="1"/>
  <c r="B28"/>
  <c r="Q28" s="1"/>
  <c r="B27"/>
  <c r="Q27" s="1"/>
  <c r="B22"/>
  <c r="Q22" s="1"/>
  <c r="Q33" s="1"/>
  <c r="B26"/>
  <c r="Q26" s="1"/>
  <c r="B24"/>
  <c r="Q24" s="1"/>
  <c r="B23"/>
  <c r="Q23" s="1"/>
  <c r="R61" i="14"/>
  <c r="C46"/>
  <c r="C56"/>
  <c r="E56"/>
  <c r="E61" s="1"/>
  <c r="E63" s="1"/>
  <c r="B33" i="48" l="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<sst xmlns="http://schemas.openxmlformats.org/spreadsheetml/2006/main" count="2384" uniqueCount="886">
  <si>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</si>
  <si>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</si>
  <si>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</si>
  <si>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</si>
  <si>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</si>
  <si>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</si>
  <si>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</si>
  <si>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</si>
  <si>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</si>
  <si>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</si>
  <si>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</si>
  <si>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</si>
  <si>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</si>
  <si>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</si>
  <si>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</si>
  <si>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</si>
  <si>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</si>
  <si>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</si>
  <si>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</si>
  <si>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</si>
  <si>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</si>
  <si>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</si>
  <si>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</si>
  <si>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</si>
  <si>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</si>
  <si>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</si>
  <si>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</si>
  <si>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</si>
  <si>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</si>
  <si>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</si>
  <si>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</si>
  <si>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</si>
  <si>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</si>
  <si>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</si>
  <si>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</si>
  <si>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</si>
  <si>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</si>
  <si>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</si>
  <si>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</si>
  <si>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</si>
  <si>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</si>
  <si>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</si>
  <si>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</si>
  <si>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</si>
  <si>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</si>
  <si>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</si>
  <si>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</si>
  <si>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</si>
  <si>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</si>
  <si>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</si>
  <si>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</si>
  <si>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</si>
  <si>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</si>
  <si>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</si>
  <si>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</si>
  <si>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</si>
  <si>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</si>
  <si>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</si>
  <si>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</si>
  <si>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</si>
  <si>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</si>
  <si>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</si>
  <si>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</si>
  <si>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</si>
  <si>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</si>
  <si>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</si>
  <si>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</si>
  <si>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</si>
  <si>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</si>
  <si>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</si>
  <si>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</si>
  <si>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</si>
  <si>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</si>
  <si>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</si>
  <si>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</si>
  <si>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</si>
  <si>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</si>
  <si>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</si>
  <si>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</si>
  <si>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</si>
  <si>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</si>
  <si>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</si>
  <si>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</si>
  <si>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</si>
  <si>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</si>
  <si>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</si>
  <si>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</si>
  <si>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</si>
  <si>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</si>
  <si>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</si>
  <si>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</si>
  <si>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</si>
  <si>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</si>
  <si>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</si>
  <si>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</si>
  <si>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</si>
  <si>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</si>
  <si>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</si>
  <si>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</si>
  <si>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</si>
  <si>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</si>
  <si>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</si>
  <si>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</si>
  <si>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</si>
  <si>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</si>
  <si>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</si>
  <si>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</si>
  <si>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</si>
  <si>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</si>
  <si>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</si>
  <si>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</si>
  <si>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</si>
  <si>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</si>
  <si>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</si>
  <si>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</si>
  <si>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</si>
  <si>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</si>
  <si>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</si>
  <si>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</si>
  <si>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</si>
  <si>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</si>
  <si>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</si>
  <si>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</si>
  <si>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</si>
  <si>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</si>
  <si>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</si>
  <si>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</si>
  <si>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</si>
  <si>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</si>
  <si>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</si>
  <si>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</si>
  <si>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</si>
  <si>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</si>
  <si>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</si>
  <si>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</si>
  <si>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</si>
  <si>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</si>
  <si>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</si>
  <si>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</si>
  <si>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</si>
  <si>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</si>
  <si>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</si>
  <si>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</si>
  <si>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</si>
  <si>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</si>
  <si>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</si>
  <si>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</si>
  <si>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</si>
  <si>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</si>
  <si>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</si>
  <si>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</si>
  <si>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</si>
  <si>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</si>
  <si>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</si>
  <si>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</si>
  <si>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</si>
  <si>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</si>
  <si>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</si>
  <si>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</si>
  <si>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</si>
  <si>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</si>
  <si>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</si>
  <si>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</si>
  <si>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</si>
  <si>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</si>
  <si>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</si>
  <si>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</si>
  <si>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</si>
  <si>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</si>
  <si>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</si>
  <si>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</si>
  <si>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</si>
  <si>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</si>
  <si>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</si>
  <si>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</si>
  <si>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</si>
  <si>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</si>
  <si>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</si>
  <si>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</si>
  <si>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</si>
  <si>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</si>
  <si>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</si>
  <si>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</si>
  <si>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</si>
  <si>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</si>
  <si>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</si>
  <si>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</si>
  <si>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</si>
  <si>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</si>
  <si>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</si>
  <si>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</si>
  <si>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</si>
  <si>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</si>
  <si>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</si>
  <si>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</si>
  <si>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</si>
  <si>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</si>
  <si>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</si>
  <si>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</si>
  <si>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</si>
  <si>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</si>
  <si>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</si>
  <si>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</si>
  <si>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</si>
  <si>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</si>
  <si>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</si>
  <si>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</si>
  <si>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</si>
  <si>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</si>
  <si>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</si>
  <si>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</si>
  <si>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</si>
  <si>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</si>
  <si>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</si>
  <si>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</si>
  <si>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</si>
  <si>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</si>
  <si>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</si>
  <si>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</si>
  <si>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</si>
  <si>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</si>
  <si>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</si>
  <si>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</si>
  <si>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</si>
  <si>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</si>
  <si>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</si>
  <si>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</si>
  <si>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</si>
  <si>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</si>
  <si>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</si>
  <si>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</si>
  <si>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</si>
  <si>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</si>
  <si>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</si>
  <si>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</si>
  <si>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</si>
  <si>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</si>
  <si>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</si>
  <si>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</si>
  <si>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</si>
  <si>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</si>
  <si>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</si>
  <si>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</si>
  <si>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</si>
  <si>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</si>
  <si>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</si>
  <si>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</si>
  <si>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</si>
  <si>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</si>
  <si>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</si>
  <si>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</si>
  <si>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</si>
  <si>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</si>
  <si>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</si>
  <si>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</si>
  <si>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</si>
  <si>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</si>
  <si>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</si>
  <si>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</si>
  <si>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</si>
  <si>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</si>
  <si>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</si>
  <si>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</si>
  <si>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</si>
  <si>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</si>
  <si>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</si>
  <si>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</si>
  <si>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</si>
  <si>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</si>
  <si>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</si>
  <si>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</si>
  <si>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</si>
  <si>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</si>
  <si>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</si>
  <si>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</si>
  <si>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</si>
  <si>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</si>
  <si>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</si>
  <si>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</si>
  <si>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</si>
  <si>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</si>
  <si>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</si>
  <si>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</si>
  <si>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</si>
  <si>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</si>
  <si>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</si>
  <si>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</si>
  <si>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</si>
  <si>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</si>
  <si>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</si>
  <si>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</si>
  <si>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</si>
  <si>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</si>
  <si>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</si>
  <si>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</si>
  <si>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</si>
  <si>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</si>
  <si>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</si>
  <si>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</si>
  <si>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</si>
  <si>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</si>
  <si>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</si>
  <si>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</si>
  <si>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</si>
  <si>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</si>
  <si>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</si>
  <si>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</si>
  <si>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</si>
  <si>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</si>
  <si>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</si>
  <si>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</si>
  <si>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</si>
  <si>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</si>
  <si>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</si>
  <si>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</si>
  <si>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</si>
  <si>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</si>
  <si>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</si>
  <si>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</si>
  <si>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</si>
  <si>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</si>
  <si>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</si>
  <si>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</si>
  <si>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</si>
  <si>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</si>
  <si>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</si>
  <si>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</si>
  <si>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</si>
  <si>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</si>
  <si>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</si>
  <si>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</si>
  <si>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</si>
  <si>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</si>
  <si>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</si>
  <si>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</si>
  <si>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</si>
  <si>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</si>
  <si>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</si>
  <si>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</si>
  <si>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</si>
  <si>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</si>
  <si>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</si>
  <si>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</si>
  <si>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</si>
  <si>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</si>
  <si>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</si>
  <si>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</si>
  <si>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</si>
  <si>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</si>
  <si>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</si>
  <si>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</si>
  <si>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</si>
  <si>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</si>
  <si>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</si>
  <si>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</si>
  <si>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</si>
  <si>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</si>
  <si>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</si>
  <si>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</si>
  <si>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</si>
  <si>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</si>
  <si>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</si>
  <si>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</si>
  <si>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</si>
  <si>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</si>
  <si>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</si>
  <si>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</si>
  <si>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</si>
  <si>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</si>
  <si>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</si>
  <si>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</si>
  <si>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</si>
  <si>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</si>
  <si>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</si>
  <si>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</si>
  <si>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</si>
  <si>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</si>
  <si>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</si>
  <si>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</si>
  <si>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</si>
  <si>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</si>
  <si>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</si>
  <si>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</si>
  <si>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</si>
  <si>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</si>
  <si>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</si>
  <si>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</si>
  <si>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</si>
  <si>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</si>
  <si>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</si>
  <si>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</si>
  <si>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</si>
  <si>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</si>
  <si>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</si>
  <si>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</si>
  <si>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</si>
  <si>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</si>
  <si>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</si>
  <si>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</si>
  <si>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</si>
  <si>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</si>
  <si>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</si>
  <si>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</si>
  <si>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</si>
  <si>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</si>
  <si>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</si>
  <si>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</si>
  <si>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</si>
  <si>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</si>
  <si>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</si>
  <si>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</si>
  <si>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</si>
  <si>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</si>
  <si>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</si>
  <si>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</si>
  <si>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</si>
  <si>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</si>
  <si>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</si>
  <si>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</si>
  <si>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</si>
  <si>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</si>
  <si>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</si>
  <si>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</si>
  <si>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</si>
  <si>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</si>
  <si>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</si>
  <si>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</si>
  <si>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</si>
  <si>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</si>
  <si>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</si>
  <si>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</si>
  <si>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</si>
  <si>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</si>
  <si>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</si>
  <si>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</si>
  <si>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</si>
  <si>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</si>
  <si>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</si>
  <si>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</si>
  <si>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</si>
  <si>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</si>
  <si>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</si>
  <si>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</si>
  <si>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</si>
  <si>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</si>
  <si>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</si>
  <si>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</si>
  <si>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</si>
  <si>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</si>
  <si>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</si>
  <si>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</si>
  <si>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</si>
  <si>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</si>
  <si>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</si>
  <si>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</si>
  <si>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</si>
  <si>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</si>
  <si>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</si>
  <si>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</si>
  <si>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</si>
  <si>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</si>
  <si>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</si>
  <si>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</si>
  <si>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</si>
  <si>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</si>
  <si>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</si>
  <si>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</si>
  <si>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</si>
  <si>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</si>
  <si>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</si>
  <si>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</si>
  <si>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</si>
  <si>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</si>
  <si>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</si>
  <si>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</si>
  <si>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</si>
  <si>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</si>
  <si>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</si>
  <si>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</si>
  <si>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</si>
  <si>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</si>
  <si>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</si>
  <si>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</si>
  <si>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</si>
  <si>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</si>
  <si>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</si>
  <si>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</si>
  <si>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</si>
  <si>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</si>
  <si>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</si>
  <si>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</si>
  <si>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</si>
  <si>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</si>
  <si>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</si>
  <si>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</si>
  <si>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</si>
  <si>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</si>
  <si>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</si>
  <si>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</si>
  <si>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</si>
  <si>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</si>
  <si>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</si>
  <si>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</si>
  <si>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</si>
  <si>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</si>
  <si>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</si>
  <si>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</si>
  <si>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</si>
  <si>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</si>
  <si>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</si>
  <si>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</si>
  <si>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</si>
  <si>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</si>
  <si>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</si>
  <si>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</si>
  <si>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</si>
  <si>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</si>
  <si>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</si>
  <si>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</si>
  <si>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</si>
  <si>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</si>
  <si>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</si>
  <si>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</si>
  <si>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</si>
  <si>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</si>
  <si>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</si>
  <si>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</si>
  <si>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</si>
  <si>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</si>
  <si>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</si>
  <si>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</si>
  <si>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</si>
  <si>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</si>
  <si>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</si>
  <si>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</si>
  <si>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</si>
  <si>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</si>
  <si>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</si>
  <si>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</si>
  <si>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</si>
  <si>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</si>
  <si>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</si>
  <si>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</si>
  <si>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</si>
  <si>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</si>
  <si>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</si>
  <si>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</si>
  <si>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</si>
  <si>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</si>
  <si>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</si>
  <si>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</si>
  <si>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</si>
  <si>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</si>
  <si>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</si>
  <si>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</si>
  <si>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</si>
  <si>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</si>
  <si>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</si>
  <si>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</si>
  <si>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</si>
  <si>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</si>
  <si>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</si>
  <si>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</si>
  <si>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</si>
  <si>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</si>
  <si>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</si>
  <si>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</si>
  <si>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</si>
  <si>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</si>
  <si>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</si>
  <si>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</si>
  <si>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</si>
  <si>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</si>
  <si>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</si>
  <si>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</si>
  <si>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</si>
  <si>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</si>
  <si>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</si>
  <si>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</si>
  <si>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</si>
  <si>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</si>
  <si>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</si>
  <si>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</si>
  <si>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</si>
  <si>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</si>
  <si>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</si>
  <si>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</si>
  <si>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</si>
  <si>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</si>
  <si>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</si>
  <si>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</si>
  <si>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</si>
  <si>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</si>
  <si>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</si>
  <si>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</si>
  <si>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</si>
  <si>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</si>
  <si>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</si>
  <si>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</si>
  <si>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</si>
  <si>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</si>
  <si>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</si>
  <si>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</si>
  <si>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</si>
  <si>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</si>
  <si>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</si>
  <si>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</si>
  <si>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</si>
  <si>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</si>
  <si>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</si>
  <si>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</si>
  <si>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</si>
  <si>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</si>
  <si>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</si>
  <si>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</si>
  <si>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</si>
  <si>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</si>
  <si>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</si>
  <si>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</si>
  <si>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</si>
  <si>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</si>
  <si>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</si>
  <si>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</si>
  <si>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</si>
  <si>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</si>
  <si>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</si>
  <si>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</si>
  <si>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</si>
  <si>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</si>
  <si>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</si>
  <si>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</si>
  <si>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</si>
  <si>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</si>
  <si>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</si>
  <si>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</si>
  <si>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</si>
  <si>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</si>
  <si>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</si>
  <si>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</si>
  <si>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</si>
  <si>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</si>
  <si>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</si>
  <si>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</si>
  <si>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</si>
  <si>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</si>
  <si>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</si>
  <si>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</si>
  <si>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</si>
  <si>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</si>
  <si>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</si>
  <si>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</si>
  <si>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</si>
  <si>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</si>
  <si>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</si>
  <si>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</si>
  <si>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</si>
  <si>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</si>
  <si>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</si>
  <si>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</si>
  <si>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</si>
  <si>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</si>
  <si>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</si>
  <si>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</si>
  <si>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</si>
  <si>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</si>
  <si>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</si>
  <si>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</si>
  <si>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</si>
  <si>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</si>
  <si>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</si>
  <si>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</si>
  <si>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</si>
  <si>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</si>
  <si>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</si>
  <si>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</si>
  <si>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</si>
  <si>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</si>
  <si>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</si>
  <si>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</si>
  <si>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</si>
  <si>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</si>
  <si>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</si>
  <si>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</si>
  <si>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</si>
  <si>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</si>
  <si>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</si>
  <si>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</si>
  <si>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</si>
  <si>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</si>
  <si>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</si>
  <si>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</si>
  <si>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</si>
  <si>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</si>
  <si>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</si>
  <si>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</si>
  <si>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</si>
  <si>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</si>
  <si>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</si>
  <si>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</si>
  <si>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</si>
  <si>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</si>
  <si>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</si>
  <si>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</si>
  <si>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</si>
  <si>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</si>
  <si>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</si>
  <si>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</si>
  <si>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</si>
  <si>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</si>
  <si>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</si>
  <si>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</si>
  <si>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</si>
  <si>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</si>
  <si>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</si>
  <si>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</si>
  <si>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</si>
  <si>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</si>
  <si>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</si>
  <si>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</si>
  <si>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</si>
  <si>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</si>
  <si>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</si>
  <si>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</si>
  <si>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</si>
  <si>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</si>
  <si>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</si>
  <si>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</si>
  <si>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</si>
  <si>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</si>
  <si>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</si>
  <si>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</si>
  <si>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</si>
  <si>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</si>
  <si>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</si>
  <si>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</si>
  <si>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</si>
  <si>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</si>
  <si>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</si>
  <si>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</si>
  <si>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</si>
  <si>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</si>
  <si>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</si>
  <si>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</si>
  <si>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</si>
  <si>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</si>
  <si>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</si>
  <si>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</si>
  <si>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</si>
  <si>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</si>
  <si>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</si>
  <si>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</si>
  <si>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</si>
  <si>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</si>
  <si>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</si>
  <si>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</si>
  <si>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</si>
  <si>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</si>
  <si>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</si>
  <si>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</si>
  <si>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</si>
  <si>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</si>
  <si>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</si>
  <si>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</si>
  <si>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</si>
  <si>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</si>
  <si>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</si>
  <si>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</si>
  <si>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</si>
  <si>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</si>
  <si>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</si>
  <si>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</si>
  <si>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</si>
  <si>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</si>
  <si>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</si>
  <si>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</si>
  <si>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</si>
  <si>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</si>
  <si>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</si>
  <si>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</si>
  <si>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</si>
  <si>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</si>
  <si>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</si>
  <si>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</si>
  <si>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</si>
  <si>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</si>
  <si>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</si>
  <si>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</si>
  <si>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</si>
  <si>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</si>
  <si>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</si>
  <si>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</si>
  <si>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</si>
  <si>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</si>
  <si>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</si>
  <si>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</si>
  <si>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</si>
  <si>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</si>
  <si>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</si>
  <si>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</si>
  <si>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</si>
  <si>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</si>
  <si>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</si>
  <si>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</si>
  <si>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</si>
  <si>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</si>
  <si>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</si>
  <si>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</si>
  <si>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</si>
  <si>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</si>
  <si>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</si>
  <si>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</si>
  <si>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</si>
  <si>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</si>
  <si>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</si>
  <si>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</si>
  <si>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</si>
  <si>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</si>
  <si>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</si>
  <si>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</si>
  <si>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</si>
  <si>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</si>
  <si>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</si>
  <si>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</si>
  <si>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</si>
  <si>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</si>
  <si>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</si>
  <si>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</si>
  <si>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</si>
  <si>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</si>
  <si>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</si>
  <si>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</si>
  <si>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</si>
  <si>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</si>
  <si>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</si>
  <si>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</si>
  <si>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</si>
  <si>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</si>
  <si>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</si>
  <si>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</si>
  <si>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</si>
  <si>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</si>
  <si>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</si>
  <si>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</si>
  <si>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</si>
  <si>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</si>
  <si>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</si>
  <si>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</si>
  <si>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</si>
  <si>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</si>
  <si>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</si>
  <si>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</si>
  <si>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</si>
  <si>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</si>
  <si>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</si>
  <si>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</si>
  <si>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</si>
  <si>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</si>
  <si>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</si>
  <si>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</si>
  <si>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</si>
  <si>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</si>
  <si>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</si>
  <si>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</si>
  <si>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</si>
  <si>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</si>
  <si>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</si>
  <si>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</si>
  <si>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</si>
  <si>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</si>
  <si>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</si>
  <si>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</si>
  <si>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</si>
  <si>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</si>
  <si>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</si>
  <si>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</si>
  <si>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</si>
  <si>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</si>
  <si>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</si>
  <si>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42025</t>
  </si>
  <si>
    <t>WETTEREN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</si>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</sst>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170261.79594899478</c:v>
                </c:pt>
                <c:pt idx="1">
                  <c:v>89520.45056530078</c:v>
                </c:pt>
                <c:pt idx="2">
                  <c:v>1851.9490000000001</c:v>
                </c:pt>
                <c:pt idx="3">
                  <c:v>7273.7187126462068</c:v>
                </c:pt>
                <c:pt idx="4">
                  <c:v>230316.77730038745</c:v>
                </c:pt>
                <c:pt idx="5">
                  <c:v>223915.94831969857</c:v>
                </c:pt>
                <c:pt idx="6">
                  <c:v>1513.7784646306363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170261.79594899478</c:v>
                </c:pt>
                <c:pt idx="1">
                  <c:v>89520.45056530078</c:v>
                </c:pt>
                <c:pt idx="2">
                  <c:v>1851.9490000000001</c:v>
                </c:pt>
                <c:pt idx="3">
                  <c:v>7273.7187126462068</c:v>
                </c:pt>
                <c:pt idx="4">
                  <c:v>230316.77730038745</c:v>
                </c:pt>
                <c:pt idx="5">
                  <c:v>223915.94831969857</c:v>
                </c:pt>
                <c:pt idx="6">
                  <c:v>1513.7784646306363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33015.902337987864</c:v>
                </c:pt>
                <c:pt idx="1">
                  <c:v>17863.081032495124</c:v>
                </c:pt>
                <c:pt idx="2">
                  <c:v>391.69912055750791</c:v>
                </c:pt>
                <c:pt idx="3">
                  <c:v>1863.7662194492782</c:v>
                </c:pt>
                <c:pt idx="4">
                  <c:v>50001.410497403296</c:v>
                </c:pt>
                <c:pt idx="5">
                  <c:v>55727.753339702918</c:v>
                </c:pt>
                <c:pt idx="6">
                  <c:v>382.89737176823462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67776"/>
        <c:axId val="181069312"/>
      </c:barChart>
      <c:catAx>
        <c:axId val="181067776"/>
        <c:scaling>
          <c:orientation val="minMax"/>
        </c:scaling>
        <c:axPos val="b"/>
        <c:numFmt formatCode="General" sourceLinked="0"/>
        <c:tickLblPos val="nextTo"/>
        <c:crossAx val="181069312"/>
        <c:crosses val="autoZero"/>
        <c:auto val="1"/>
        <c:lblAlgn val="ctr"/>
        <c:lblOffset val="100"/>
      </c:catAx>
      <c:valAx>
        <c:axId val="181069312"/>
        <c:scaling>
          <c:orientation val="minMax"/>
        </c:scaling>
        <c:axPos val="l"/>
        <c:majorGridlines/>
        <c:numFmt formatCode="#,##0" sourceLinked="1"/>
        <c:tickLblPos val="nextTo"/>
        <c:crossAx val="181067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33015.902337987864</c:v>
                </c:pt>
                <c:pt idx="1">
                  <c:v>17863.081032495124</c:v>
                </c:pt>
                <c:pt idx="2">
                  <c:v>391.69912055750791</c:v>
                </c:pt>
                <c:pt idx="3">
                  <c:v>1863.7662194492782</c:v>
                </c:pt>
                <c:pt idx="4">
                  <c:v>50001.410497403296</c:v>
                </c:pt>
                <c:pt idx="5">
                  <c:v>55727.753339702918</c:v>
                </c:pt>
                <c:pt idx="6">
                  <c:v>382.89737176823462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42025</v>
      </c>
      <c r="B6" s="415"/>
      <c r="C6" s="416"/>
    </row>
    <row r="7" spans="1:7" s="413" customFormat="1" ht="15.75" customHeight="1">
      <c r="A7" s="417" t="str">
        <f>txtMunicipality</f>
        <v>WETTEREN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0.21150642947376408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0.21150642947376408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11040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1725</v>
      </c>
    </row>
    <row r="15" spans="1:6">
      <c r="A15" s="348" t="s">
        <v>183</v>
      </c>
      <c r="B15" s="334">
        <v>12</v>
      </c>
    </row>
    <row r="16" spans="1:6">
      <c r="A16" s="348" t="s">
        <v>6</v>
      </c>
      <c r="B16" s="334">
        <v>498</v>
      </c>
    </row>
    <row r="17" spans="1:6">
      <c r="A17" s="348" t="s">
        <v>7</v>
      </c>
      <c r="B17" s="334">
        <v>585</v>
      </c>
    </row>
    <row r="18" spans="1:6">
      <c r="A18" s="348" t="s">
        <v>8</v>
      </c>
      <c r="B18" s="334">
        <v>745</v>
      </c>
    </row>
    <row r="19" spans="1:6">
      <c r="A19" s="348" t="s">
        <v>9</v>
      </c>
      <c r="B19" s="334">
        <v>618</v>
      </c>
    </row>
    <row r="20" spans="1:6">
      <c r="A20" s="348" t="s">
        <v>10</v>
      </c>
      <c r="B20" s="334">
        <v>715</v>
      </c>
    </row>
    <row r="21" spans="1:6">
      <c r="A21" s="348" t="s">
        <v>11</v>
      </c>
      <c r="B21" s="334">
        <v>0</v>
      </c>
    </row>
    <row r="22" spans="1:6">
      <c r="A22" s="348" t="s">
        <v>12</v>
      </c>
      <c r="B22" s="334">
        <v>1515</v>
      </c>
    </row>
    <row r="23" spans="1:6">
      <c r="A23" s="348" t="s">
        <v>13</v>
      </c>
      <c r="B23" s="334">
        <v>0</v>
      </c>
    </row>
    <row r="24" spans="1:6">
      <c r="A24" s="348" t="s">
        <v>14</v>
      </c>
      <c r="B24" s="334">
        <v>0</v>
      </c>
    </row>
    <row r="25" spans="1:6">
      <c r="A25" s="348" t="s">
        <v>15</v>
      </c>
      <c r="B25" s="334">
        <v>0</v>
      </c>
    </row>
    <row r="26" spans="1:6">
      <c r="A26" s="348" t="s">
        <v>16</v>
      </c>
      <c r="B26" s="334">
        <v>143</v>
      </c>
    </row>
    <row r="27" spans="1:6">
      <c r="A27" s="348" t="s">
        <v>17</v>
      </c>
      <c r="B27" s="334">
        <v>0</v>
      </c>
    </row>
    <row r="28" spans="1:6" s="356" customFormat="1">
      <c r="A28" s="355" t="s">
        <v>18</v>
      </c>
      <c r="B28" s="355">
        <v>35</v>
      </c>
    </row>
    <row r="29" spans="1:6">
      <c r="A29" s="355" t="s">
        <v>713</v>
      </c>
      <c r="B29" s="355">
        <v>84</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128571.664</v>
      </c>
      <c r="E38" s="334">
        <v>4</v>
      </c>
      <c r="F38" s="334">
        <v>77702.650999999998</v>
      </c>
    </row>
    <row r="39" spans="1:6">
      <c r="A39" s="348" t="s">
        <v>29</v>
      </c>
      <c r="B39" s="348" t="s">
        <v>30</v>
      </c>
      <c r="C39" s="334">
        <v>7714</v>
      </c>
      <c r="D39" s="334">
        <v>109368972.2</v>
      </c>
      <c r="E39" s="334">
        <v>11004</v>
      </c>
      <c r="F39" s="334">
        <v>42270616.329999998</v>
      </c>
    </row>
    <row r="40" spans="1:6">
      <c r="A40" s="348" t="s">
        <v>29</v>
      </c>
      <c r="B40" s="348" t="s">
        <v>28</v>
      </c>
      <c r="C40" s="334">
        <v>0</v>
      </c>
      <c r="D40" s="334">
        <v>0</v>
      </c>
      <c r="E40" s="334">
        <v>1</v>
      </c>
      <c r="F40" s="334">
        <v>2771.183</v>
      </c>
    </row>
    <row r="41" spans="1:6">
      <c r="A41" s="348" t="s">
        <v>31</v>
      </c>
      <c r="B41" s="348" t="s">
        <v>32</v>
      </c>
      <c r="C41" s="334">
        <v>167</v>
      </c>
      <c r="D41" s="334">
        <v>4433226.6720000003</v>
      </c>
      <c r="E41" s="334">
        <v>274</v>
      </c>
      <c r="F41" s="334">
        <v>53503919.32</v>
      </c>
    </row>
    <row r="42" spans="1:6">
      <c r="A42" s="348" t="s">
        <v>31</v>
      </c>
      <c r="B42" s="348" t="s">
        <v>33</v>
      </c>
      <c r="C42" s="334">
        <v>0</v>
      </c>
      <c r="D42" s="334">
        <v>0</v>
      </c>
      <c r="E42" s="334">
        <v>3</v>
      </c>
      <c r="F42" s="334">
        <v>21883203.43</v>
      </c>
    </row>
    <row r="43" spans="1:6">
      <c r="A43" s="348" t="s">
        <v>31</v>
      </c>
      <c r="B43" s="348" t="s">
        <v>34</v>
      </c>
      <c r="C43" s="334">
        <v>0</v>
      </c>
      <c r="D43" s="334">
        <v>0</v>
      </c>
      <c r="E43" s="334">
        <v>0</v>
      </c>
      <c r="F43" s="334">
        <v>0</v>
      </c>
    </row>
    <row r="44" spans="1:6">
      <c r="A44" s="348" t="s">
        <v>31</v>
      </c>
      <c r="B44" s="348" t="s">
        <v>35</v>
      </c>
      <c r="C44" s="334">
        <v>15</v>
      </c>
      <c r="D44" s="334">
        <v>1202831.554</v>
      </c>
      <c r="E44" s="334">
        <v>41</v>
      </c>
      <c r="F44" s="334">
        <v>3325043.4380000001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117986.92200000001</v>
      </c>
      <c r="E47" s="334">
        <v>8</v>
      </c>
      <c r="F47" s="334">
        <v>219853.45699999999</v>
      </c>
    </row>
    <row r="48" spans="1:6">
      <c r="A48" s="348" t="s">
        <v>31</v>
      </c>
      <c r="B48" s="348" t="s">
        <v>28</v>
      </c>
      <c r="C48" s="334">
        <v>41</v>
      </c>
      <c r="D48" s="334">
        <v>64817926.439999998</v>
      </c>
      <c r="E48" s="334">
        <v>39</v>
      </c>
      <c r="F48" s="334">
        <v>14054003.119999999</v>
      </c>
    </row>
    <row r="49" spans="1:6">
      <c r="A49" s="348" t="s">
        <v>31</v>
      </c>
      <c r="B49" s="348" t="s">
        <v>39</v>
      </c>
      <c r="C49" s="334">
        <v>0</v>
      </c>
      <c r="D49" s="334">
        <v>0</v>
      </c>
      <c r="E49" s="334">
        <v>10</v>
      </c>
      <c r="F49" s="334">
        <v>112252.897</v>
      </c>
    </row>
    <row r="50" spans="1:6">
      <c r="A50" s="348" t="s">
        <v>31</v>
      </c>
      <c r="B50" s="348" t="s">
        <v>40</v>
      </c>
      <c r="C50" s="334">
        <v>19</v>
      </c>
      <c r="D50" s="334">
        <v>1383289.6869999999</v>
      </c>
      <c r="E50" s="334">
        <v>24</v>
      </c>
      <c r="F50" s="334">
        <v>4217003.398</v>
      </c>
    </row>
    <row r="51" spans="1:6">
      <c r="A51" s="348" t="s">
        <v>41</v>
      </c>
      <c r="B51" s="348" t="s">
        <v>42</v>
      </c>
      <c r="C51" s="334">
        <v>22</v>
      </c>
      <c r="D51" s="334">
        <v>410806.223</v>
      </c>
      <c r="E51" s="334">
        <v>122</v>
      </c>
      <c r="F51" s="334">
        <v>1203869.567</v>
      </c>
    </row>
    <row r="52" spans="1:6">
      <c r="A52" s="348" t="s">
        <v>41</v>
      </c>
      <c r="B52" s="348" t="s">
        <v>28</v>
      </c>
      <c r="C52" s="334">
        <v>6</v>
      </c>
      <c r="D52" s="334">
        <v>142717.245</v>
      </c>
      <c r="E52" s="334">
        <v>6</v>
      </c>
      <c r="F52" s="334">
        <v>195569.00200000001</v>
      </c>
    </row>
    <row r="53" spans="1:6">
      <c r="A53" s="348" t="s">
        <v>43</v>
      </c>
      <c r="B53" s="348" t="s">
        <v>44</v>
      </c>
      <c r="C53" s="334">
        <v>188</v>
      </c>
      <c r="D53" s="334">
        <v>2381437.503</v>
      </c>
      <c r="E53" s="334">
        <v>413</v>
      </c>
      <c r="F53" s="334">
        <v>1238538.0830000001</v>
      </c>
    </row>
    <row r="54" spans="1:6">
      <c r="A54" s="348" t="s">
        <v>45</v>
      </c>
      <c r="B54" s="348" t="s">
        <v>46</v>
      </c>
      <c r="C54" s="334">
        <v>0</v>
      </c>
      <c r="D54" s="334">
        <v>0</v>
      </c>
      <c r="E54" s="334">
        <v>1</v>
      </c>
      <c r="F54" s="334">
        <v>1851949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106</v>
      </c>
      <c r="D57" s="334">
        <v>12573354.529999999</v>
      </c>
      <c r="E57" s="334">
        <v>247</v>
      </c>
      <c r="F57" s="334">
        <v>5462178.8949999996</v>
      </c>
    </row>
    <row r="58" spans="1:6">
      <c r="A58" s="348" t="s">
        <v>48</v>
      </c>
      <c r="B58" s="348" t="s">
        <v>50</v>
      </c>
      <c r="C58" s="334">
        <v>51</v>
      </c>
      <c r="D58" s="334">
        <v>3360639.4530000002</v>
      </c>
      <c r="E58" s="334">
        <v>57</v>
      </c>
      <c r="F58" s="334">
        <v>1062460.669</v>
      </c>
    </row>
    <row r="59" spans="1:6">
      <c r="A59" s="348" t="s">
        <v>48</v>
      </c>
      <c r="B59" s="348" t="s">
        <v>51</v>
      </c>
      <c r="C59" s="334">
        <v>189</v>
      </c>
      <c r="D59" s="334">
        <v>8104882.9740000004</v>
      </c>
      <c r="E59" s="334">
        <v>392</v>
      </c>
      <c r="F59" s="334">
        <v>12998713.01</v>
      </c>
    </row>
    <row r="60" spans="1:6">
      <c r="A60" s="348" t="s">
        <v>48</v>
      </c>
      <c r="B60" s="348" t="s">
        <v>52</v>
      </c>
      <c r="C60" s="334">
        <v>110</v>
      </c>
      <c r="D60" s="334">
        <v>4177586.6430000002</v>
      </c>
      <c r="E60" s="334">
        <v>130</v>
      </c>
      <c r="F60" s="334">
        <v>2563729.3130000001</v>
      </c>
    </row>
    <row r="61" spans="1:6">
      <c r="A61" s="348" t="s">
        <v>48</v>
      </c>
      <c r="B61" s="348" t="s">
        <v>53</v>
      </c>
      <c r="C61" s="334">
        <v>222</v>
      </c>
      <c r="D61" s="334">
        <v>5250781.449</v>
      </c>
      <c r="E61" s="334">
        <v>468</v>
      </c>
      <c r="F61" s="334">
        <v>7020005.773</v>
      </c>
    </row>
    <row r="62" spans="1:6">
      <c r="A62" s="348" t="s">
        <v>48</v>
      </c>
      <c r="B62" s="348" t="s">
        <v>54</v>
      </c>
      <c r="C62" s="334">
        <v>20</v>
      </c>
      <c r="D62" s="334">
        <v>7222003.6689999998</v>
      </c>
      <c r="E62" s="334">
        <v>18</v>
      </c>
      <c r="F62" s="334">
        <v>1533239.7949999999</v>
      </c>
    </row>
    <row r="63" spans="1:6">
      <c r="A63" s="348" t="s">
        <v>48</v>
      </c>
      <c r="B63" s="348" t="s">
        <v>28</v>
      </c>
      <c r="C63" s="334">
        <v>94</v>
      </c>
      <c r="D63" s="334">
        <v>9502219.6260000002</v>
      </c>
      <c r="E63" s="334">
        <v>107</v>
      </c>
      <c r="F63" s="334">
        <v>4839297.3959999997</v>
      </c>
    </row>
    <row r="64" spans="1:6">
      <c r="A64" s="348" t="s">
        <v>55</v>
      </c>
      <c r="B64" s="348" t="s">
        <v>56</v>
      </c>
      <c r="C64" s="334">
        <v>0</v>
      </c>
      <c r="D64" s="334">
        <v>0</v>
      </c>
      <c r="E64" s="334">
        <v>0</v>
      </c>
      <c r="F64" s="334">
        <v>0</v>
      </c>
    </row>
    <row r="65" spans="1:6">
      <c r="A65" s="348" t="s">
        <v>55</v>
      </c>
      <c r="B65" s="348" t="s">
        <v>28</v>
      </c>
      <c r="C65" s="334">
        <v>2</v>
      </c>
      <c r="D65" s="334">
        <v>58217.368000000002</v>
      </c>
      <c r="E65" s="334">
        <v>4</v>
      </c>
      <c r="F65" s="334">
        <v>34176.654000000002</v>
      </c>
    </row>
    <row r="66" spans="1:6">
      <c r="A66" s="348" t="s">
        <v>55</v>
      </c>
      <c r="B66" s="348" t="s">
        <v>57</v>
      </c>
      <c r="C66" s="334">
        <v>0</v>
      </c>
      <c r="D66" s="334">
        <v>0</v>
      </c>
      <c r="E66" s="334">
        <v>16</v>
      </c>
      <c r="F66" s="334">
        <v>400107.95</v>
      </c>
    </row>
    <row r="67" spans="1:6">
      <c r="A67" s="355" t="s">
        <v>55</v>
      </c>
      <c r="B67" s="355" t="s">
        <v>58</v>
      </c>
      <c r="C67" s="334">
        <v>0</v>
      </c>
      <c r="D67" s="334">
        <v>0</v>
      </c>
      <c r="E67" s="334">
        <v>0</v>
      </c>
      <c r="F67" s="334">
        <v>0</v>
      </c>
    </row>
    <row r="68" spans="1:6">
      <c r="A68" s="341" t="s">
        <v>55</v>
      </c>
      <c r="B68" s="341" t="s">
        <v>59</v>
      </c>
      <c r="C68" s="334">
        <v>8</v>
      </c>
      <c r="D68" s="334">
        <v>282534.87800000003</v>
      </c>
      <c r="E68" s="334">
        <v>12</v>
      </c>
      <c r="F68" s="334">
        <v>617096.08600000001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80762925</v>
      </c>
      <c r="E73" s="476"/>
    </row>
    <row r="74" spans="1:6">
      <c r="A74" s="348" t="s">
        <v>63</v>
      </c>
      <c r="B74" s="348" t="s">
        <v>651</v>
      </c>
      <c r="C74" s="1307" t="s">
        <v>653</v>
      </c>
      <c r="D74" s="476">
        <v>6012463.5</v>
      </c>
      <c r="E74" s="476"/>
    </row>
    <row r="75" spans="1:6">
      <c r="A75" s="348" t="s">
        <v>64</v>
      </c>
      <c r="B75" s="348" t="s">
        <v>650</v>
      </c>
      <c r="C75" s="1307" t="s">
        <v>654</v>
      </c>
      <c r="D75" s="476">
        <v>22496598</v>
      </c>
      <c r="E75" s="476"/>
    </row>
    <row r="76" spans="1:6">
      <c r="A76" s="348" t="s">
        <v>64</v>
      </c>
      <c r="B76" s="348" t="s">
        <v>651</v>
      </c>
      <c r="C76" s="1307" t="s">
        <v>655</v>
      </c>
      <c r="D76" s="476">
        <v>1302671.5</v>
      </c>
      <c r="E76" s="476"/>
    </row>
    <row r="77" spans="1:6">
      <c r="A77" s="348" t="s">
        <v>65</v>
      </c>
      <c r="B77" s="348" t="s">
        <v>650</v>
      </c>
      <c r="C77" s="1307" t="s">
        <v>656</v>
      </c>
      <c r="D77" s="476">
        <v>135071589</v>
      </c>
      <c r="E77" s="476"/>
    </row>
    <row r="78" spans="1:6">
      <c r="A78" s="341" t="s">
        <v>65</v>
      </c>
      <c r="B78" s="341" t="s">
        <v>651</v>
      </c>
      <c r="C78" s="341" t="s">
        <v>657</v>
      </c>
      <c r="D78" s="1308">
        <v>17092257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420547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4328.7084759408881</v>
      </c>
    </row>
    <row r="92" spans="1:6">
      <c r="A92" s="341" t="s">
        <v>68</v>
      </c>
      <c r="B92" s="342">
        <v>3576.1432039660995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4298</v>
      </c>
    </row>
    <row r="98" spans="1:6">
      <c r="A98" s="348" t="s">
        <v>71</v>
      </c>
      <c r="B98" s="334">
        <v>2</v>
      </c>
    </row>
    <row r="99" spans="1:6">
      <c r="A99" s="348" t="s">
        <v>72</v>
      </c>
      <c r="B99" s="334">
        <v>96</v>
      </c>
    </row>
    <row r="100" spans="1:6">
      <c r="A100" s="348" t="s">
        <v>73</v>
      </c>
      <c r="B100" s="334">
        <v>1348</v>
      </c>
    </row>
    <row r="101" spans="1:6">
      <c r="A101" s="348" t="s">
        <v>74</v>
      </c>
      <c r="B101" s="334">
        <v>87</v>
      </c>
    </row>
    <row r="102" spans="1:6">
      <c r="A102" s="348" t="s">
        <v>75</v>
      </c>
      <c r="B102" s="334">
        <v>169</v>
      </c>
    </row>
    <row r="103" spans="1:6">
      <c r="A103" s="348" t="s">
        <v>76</v>
      </c>
      <c r="B103" s="334">
        <v>485</v>
      </c>
    </row>
    <row r="104" spans="1:6">
      <c r="A104" s="348" t="s">
        <v>77</v>
      </c>
      <c r="B104" s="334">
        <v>2881</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33</v>
      </c>
      <c r="C123" s="334">
        <v>46</v>
      </c>
    </row>
    <row r="124" spans="1:6">
      <c r="A124" s="341" t="s">
        <v>88</v>
      </c>
      <c r="B124" s="334">
        <v>1</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189</v>
      </c>
    </row>
    <row r="130" spans="1:6">
      <c r="A130" s="348" t="s">
        <v>294</v>
      </c>
      <c r="B130" s="334">
        <v>7</v>
      </c>
    </row>
    <row r="131" spans="1:6">
      <c r="A131" s="348" t="s">
        <v>295</v>
      </c>
      <c r="B131" s="334">
        <v>1</v>
      </c>
    </row>
    <row r="132" spans="1:6">
      <c r="A132" s="341" t="s">
        <v>296</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184016.35258637421</v>
      </c>
      <c r="C3" s="43" t="s">
        <v>169</v>
      </c>
      <c r="D3" s="43"/>
      <c r="E3" s="154"/>
      <c r="F3" s="43"/>
      <c r="G3" s="43"/>
      <c r="H3" s="43"/>
      <c r="I3" s="43"/>
      <c r="J3" s="43"/>
      <c r="K3" s="96"/>
    </row>
    <row r="4" spans="1:11">
      <c r="A4" s="383" t="s">
        <v>170</v>
      </c>
      <c r="B4" s="49">
        <f>IF(ISERROR('SEAP template'!B78+'SEAP template'!C78),0,'SEAP template'!B78+'SEAP template'!C78)</f>
        <v>7904.8516799069876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0.21150642947376408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1851.9490000000001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1851.9490000000001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0.21150642947376408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391.69912055750791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42273.387512999994</v>
      </c>
      <c r="C5" s="17">
        <f>IF(ISERROR('Eigen informatie GS &amp; warmtenet'!B59),0,'Eigen informatie GS &amp; warmtenet'!B59)</f>
        <v>0</v>
      </c>
      <c r="D5" s="30">
        <f>(SUM(HH_hh_gas_kWh,HH_rest_gas_kWh)/1000)*0.902</f>
        <v>98650.812924400001</v>
      </c>
      <c r="E5" s="17">
        <f>B46*B57</f>
        <v>7672.7627702809687</v>
      </c>
      <c r="F5" s="17">
        <f>B51*B62</f>
        <v>0</v>
      </c>
      <c r="G5" s="18"/>
      <c r="H5" s="17"/>
      <c r="I5" s="17"/>
      <c r="J5" s="17">
        <f>B50*B61+C50*C61</f>
        <v>4209.2600276575513</v>
      </c>
      <c r="K5" s="17"/>
      <c r="L5" s="17"/>
      <c r="M5" s="17"/>
      <c r="N5" s="17">
        <f>B48*B59+C48*C59</f>
        <v>12033.178582347839</v>
      </c>
      <c r="O5" s="17">
        <f>B69*B70*B71</f>
        <v>472.18205621411357</v>
      </c>
      <c r="P5" s="17">
        <f>B77*B78*B79/1000-B77*B78*B79/1000/B80</f>
        <v>621.50359915341642</v>
      </c>
    </row>
    <row r="6" spans="1:16">
      <c r="A6" s="16" t="s">
        <v>615</v>
      </c>
      <c r="B6" s="809">
        <f>kWh_PV_kleiner_dan_10kW</f>
        <v>4328.7084759408881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46602.095988940884</v>
      </c>
      <c r="C8" s="21">
        <f>C5</f>
        <v>0</v>
      </c>
      <c r="D8" s="21">
        <f>D5</f>
        <v>98650.812924400001</v>
      </c>
      <c r="E8" s="21">
        <f>E5</f>
        <v>7672.7627702809687</v>
      </c>
      <c r="F8" s="21">
        <f>F5</f>
        <v>0</v>
      </c>
      <c r="G8" s="21"/>
      <c r="H8" s="21"/>
      <c r="I8" s="21"/>
      <c r="J8" s="21">
        <f>J5</f>
        <v>4209.2600276575513</v>
      </c>
      <c r="K8" s="21"/>
      <c r="L8" s="21">
        <f>L5</f>
        <v>0</v>
      </c>
      <c r="M8" s="21">
        <f>M5</f>
        <v>0</v>
      </c>
      <c r="N8" s="21">
        <f>N5</f>
        <v>12033.178582347839</v>
      </c>
      <c r="O8" s="21">
        <f>O5</f>
        <v>472.18205621411357</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0.21150642947376408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9856.6429286145085</v>
      </c>
      <c r="C12" s="23">
        <f ca="1">C10*C8</f>
        <v>0</v>
      </c>
      <c r="D12" s="23">
        <f>D8*D10</f>
        <v>19927.464210728802</v>
      </c>
      <c r="E12" s="23">
        <f>E10*E8</f>
        <v>1741.7171488537799</v>
      </c>
      <c r="F12" s="23">
        <f>F10*F8</f>
        <v>0</v>
      </c>
      <c r="G12" s="23"/>
      <c r="H12" s="23"/>
      <c r="I12" s="23"/>
      <c r="J12" s="23">
        <f>J10*J8</f>
        <v>1490.0780497907731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4298</v>
      </c>
      <c r="C18" s="166" t="s">
        <v>110</v>
      </c>
      <c r="D18" s="228"/>
      <c r="E18" s="15"/>
    </row>
    <row r="19" spans="1:7">
      <c r="A19" s="171" t="s">
        <v>71</v>
      </c>
      <c r="B19" s="37">
        <f>aantalw2001_ander</f>
        <v>2</v>
      </c>
      <c r="C19" s="166" t="s">
        <v>110</v>
      </c>
      <c r="D19" s="229"/>
      <c r="E19" s="15"/>
    </row>
    <row r="20" spans="1:7">
      <c r="A20" s="171" t="s">
        <v>72</v>
      </c>
      <c r="B20" s="37">
        <f>aantalw2001_propaan</f>
        <v>96</v>
      </c>
      <c r="C20" s="167">
        <f>IF(ISERROR(B20/SUM($B$20,$B$21,$B$22)*100),0,B20/SUM($B$20,$B$21,$B$22)*100)</f>
        <v>6.2704114957544093</v>
      </c>
      <c r="D20" s="229"/>
      <c r="E20" s="15"/>
    </row>
    <row r="21" spans="1:7">
      <c r="A21" s="171" t="s">
        <v>73</v>
      </c>
      <c r="B21" s="37">
        <f>aantalw2001_elektriciteit</f>
        <v>1348</v>
      </c>
      <c r="C21" s="167">
        <f>IF(ISERROR(B21/SUM($B$20,$B$21,$B$22)*100),0,B21/SUM($B$20,$B$21,$B$22)*100)</f>
        <v>88.047028086218162</v>
      </c>
      <c r="D21" s="229"/>
      <c r="E21" s="15"/>
    </row>
    <row r="22" spans="1:7">
      <c r="A22" s="171" t="s">
        <v>74</v>
      </c>
      <c r="B22" s="37">
        <f>aantalw2001_hout</f>
        <v>87</v>
      </c>
      <c r="C22" s="167">
        <f>IF(ISERROR(B22/SUM($B$20,$B$21,$B$22)*100),0,B22/SUM($B$20,$B$21,$B$22)*100)</f>
        <v>5.6825604180274336</v>
      </c>
      <c r="D22" s="229"/>
      <c r="E22" s="15"/>
    </row>
    <row r="23" spans="1:7">
      <c r="A23" s="171" t="s">
        <v>75</v>
      </c>
      <c r="B23" s="37">
        <f>aantalw2001_niet_gespec</f>
        <v>169</v>
      </c>
      <c r="C23" s="166" t="s">
        <v>110</v>
      </c>
      <c r="D23" s="228"/>
      <c r="E23" s="15"/>
    </row>
    <row r="24" spans="1:7">
      <c r="A24" s="171" t="s">
        <v>76</v>
      </c>
      <c r="B24" s="37">
        <f>aantalw2001_steenkool</f>
        <v>485</v>
      </c>
      <c r="C24" s="166" t="s">
        <v>110</v>
      </c>
      <c r="D24" s="229"/>
      <c r="E24" s="15"/>
    </row>
    <row r="25" spans="1:7">
      <c r="A25" s="171" t="s">
        <v>77</v>
      </c>
      <c r="B25" s="37">
        <f>aantalw2001_stookolie</f>
        <v>2881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11040</v>
      </c>
      <c r="C28" s="36"/>
      <c r="D28" s="228"/>
    </row>
    <row r="29" spans="1:7" s="15" customFormat="1">
      <c r="A29" s="230" t="s">
        <v>837</v>
      </c>
      <c r="B29" s="37">
        <f>SUM(HH_hh_gas_aantal,HH_rest_gas_aantal)</f>
        <v>7714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7714</v>
      </c>
      <c r="C32" s="167">
        <f>IF(ISERROR(B32/SUM($B$32,$B$34,$B$35,$B$36,$B$38,$B$39)*100),0,B32/SUM($B$32,$B$34,$B$35,$B$36,$B$38,$B$39)*100)</f>
        <v>70.2486112375922</v>
      </c>
      <c r="D32" s="233"/>
      <c r="G32" s="15"/>
    </row>
    <row r="33" spans="1:7">
      <c r="A33" s="171" t="s">
        <v>71</v>
      </c>
      <c r="B33" s="34" t="s">
        <v>110</v>
      </c>
      <c r="C33" s="167"/>
      <c r="D33" s="233"/>
      <c r="G33" s="15"/>
    </row>
    <row r="34" spans="1:7">
      <c r="A34" s="171" t="s">
        <v>72</v>
      </c>
      <c r="B34" s="33">
        <f>IF((($B$28-$B$32-$B$39-$B$77-$B$38)*C20/100)&lt;0,0,($B$28-$B$32-$B$39-$B$77-$B$38)*C20/100)</f>
        <v>195.86257348138471</v>
      </c>
      <c r="C34" s="167">
        <f>IF(ISERROR(B34/SUM($B$32,$B$34,$B$35,$B$36,$B$38,$B$39)*100),0,B34/SUM($B$32,$B$34,$B$35,$B$36,$B$38,$B$39)*100)</f>
        <v>1.7836496993113986</v>
      </c>
      <c r="D34" s="233"/>
      <c r="G34" s="15"/>
    </row>
    <row r="35" spans="1:7">
      <c r="A35" s="171" t="s">
        <v>73</v>
      </c>
      <c r="B35" s="33">
        <f>IF((($B$28-$B$32-$B$39-$B$77-$B$38)*C21/100)&lt;0,0,($B$28-$B$32-$B$39-$B$77-$B$38)*C21/100)</f>
        <v>2750.2369693011105</v>
      </c>
      <c r="C35" s="167">
        <f>IF(ISERROR(B35/SUM($B$32,$B$34,$B$35,$B$36,$B$38,$B$39)*100),0,B35/SUM($B$32,$B$34,$B$35,$B$36,$B$38,$B$39)*100)</f>
        <v>25.045414527830889</v>
      </c>
      <c r="D35" s="233"/>
      <c r="G35" s="15"/>
    </row>
    <row r="36" spans="1:7">
      <c r="A36" s="171" t="s">
        <v>74</v>
      </c>
      <c r="B36" s="33">
        <f>IF((($B$28-$B$32-$B$39-$B$77-$B$38)*C22/100)&lt;0,0,($B$28-$B$32-$B$39-$B$77-$B$38)*C22/100)</f>
        <v>177.50045721750493</v>
      </c>
      <c r="C36" s="167">
        <f>IF(ISERROR(B36/SUM($B$32,$B$34,$B$35,$B$36,$B$38,$B$39)*100),0,B36/SUM($B$32,$B$34,$B$35,$B$36,$B$38,$B$39)*100)</f>
        <v>1.6164325400009554</v>
      </c>
      <c r="D36" s="233"/>
      <c r="G36" s="15"/>
    </row>
    <row r="37" spans="1:7">
      <c r="A37" s="171" t="s">
        <v>75</v>
      </c>
      <c r="B37" s="34" t="s">
        <v>110</v>
      </c>
      <c r="C37" s="167"/>
      <c r="D37" s="173"/>
      <c r="G37" s="15"/>
    </row>
    <row r="38" spans="1:7">
      <c r="A38" s="171" t="s">
        <v>76</v>
      </c>
      <c r="B38" s="33">
        <f>IF((B24-(B29-B18)*0.1)&lt;0,0,B24-(B29-B18)*0.1)</f>
        <v>143.39999999999998</v>
      </c>
      <c r="C38" s="167">
        <f>IF(ISERROR(B38/SUM($B$32,$B$34,$B$35,$B$36,$B$38,$B$39)*100),0,B38/SUM($B$32,$B$34,$B$35,$B$36,$B$38,$B$39)*100)</f>
        <v>1.3058919952645476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7714</v>
      </c>
      <c r="C44" s="34" t="s">
        <v>110</v>
      </c>
      <c r="D44" s="174"/>
    </row>
    <row r="45" spans="1:7">
      <c r="A45" s="171" t="s">
        <v>71</v>
      </c>
      <c r="B45" s="33" t="str">
        <f t="shared" si="0"/>
        <v>-</v>
      </c>
      <c r="C45" s="34" t="s">
        <v>110</v>
      </c>
      <c r="D45" s="174"/>
    </row>
    <row r="46" spans="1:7">
      <c r="A46" s="171" t="s">
        <v>72</v>
      </c>
      <c r="B46" s="33">
        <f t="shared" si="0"/>
        <v>195.86257348138471</v>
      </c>
      <c r="C46" s="34" t="s">
        <v>110</v>
      </c>
      <c r="D46" s="174"/>
    </row>
    <row r="47" spans="1:7">
      <c r="A47" s="171" t="s">
        <v>73</v>
      </c>
      <c r="B47" s="33">
        <f t="shared" si="0"/>
        <v>2750.2369693011105</v>
      </c>
      <c r="C47" s="34" t="s">
        <v>110</v>
      </c>
      <c r="D47" s="174"/>
    </row>
    <row r="48" spans="1:7">
      <c r="A48" s="171" t="s">
        <v>74</v>
      </c>
      <c r="B48" s="33">
        <f t="shared" si="0"/>
        <v>177.50045721750493</v>
      </c>
      <c r="C48" s="33">
        <f>B48*10</f>
        <v>1775.0045721750494</v>
      </c>
      <c r="D48" s="234"/>
    </row>
    <row r="49" spans="1:6">
      <c r="A49" s="171" t="s">
        <v>75</v>
      </c>
      <c r="B49" s="33" t="str">
        <f t="shared" si="0"/>
        <v>-</v>
      </c>
      <c r="C49" s="34" t="s">
        <v>110</v>
      </c>
      <c r="D49" s="234"/>
    </row>
    <row r="50" spans="1:6">
      <c r="A50" s="171" t="s">
        <v>76</v>
      </c>
      <c r="B50" s="33">
        <f t="shared" si="0"/>
        <v>143.39999999999998</v>
      </c>
      <c r="C50" s="33">
        <f>B50*2</f>
        <v>286.79999999999995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35479.624851</v>
      </c>
      <c r="C5" s="17">
        <f>IF(ISERROR('Eigen informatie GS &amp; warmtenet'!B60),0,'Eigen informatie GS &amp; warmtenet'!B60)</f>
        <v>0</v>
      </c>
      <c r="D5" s="30">
        <f>SUM(D6:D12)</f>
        <v>45272.704446288</v>
      </c>
      <c r="E5" s="17">
        <f>SUM(E6:E12)</f>
        <v>544.8485707031773</v>
      </c>
      <c r="F5" s="17">
        <f>SUM(F6:F12)</f>
        <v>4082.806102295951</v>
      </c>
      <c r="G5" s="18"/>
      <c r="H5" s="17"/>
      <c r="I5" s="17"/>
      <c r="J5" s="17">
        <f>SUM(J6:J12)</f>
        <v>0.10200050471177843</v>
      </c>
      <c r="K5" s="17"/>
      <c r="L5" s="17"/>
      <c r="M5" s="17"/>
      <c r="N5" s="17">
        <f>SUM(N6:N12)</f>
        <v>4001.0054925350641</v>
      </c>
      <c r="O5" s="17">
        <f>B38*B39*B40</f>
        <v>34.280825360888088</v>
      </c>
      <c r="P5" s="17">
        <f>B46*B47*B48/1000-B46*B47*B48/1000/B49</f>
        <v>105.07827661299004</v>
      </c>
      <c r="R5" s="32"/>
    </row>
    <row r="6" spans="1:18">
      <c r="A6" s="32" t="s">
        <v>53</v>
      </c>
      <c r="B6" s="37">
        <f>B26</f>
        <v>7020.0057729999999</v>
      </c>
      <c r="C6" s="33"/>
      <c r="D6" s="37">
        <f>IF(ISERROR(TER_kantoor_gas_kWh/1000),0,TER_kantoor_gas_kWh/1000)*0.902</f>
        <v>4736.2048669980004</v>
      </c>
      <c r="E6" s="33">
        <f>$C$26*'E Balans VL '!I12/100/3.6*1000000</f>
        <v>56.487735664157441</v>
      </c>
      <c r="F6" s="33">
        <f>$C$26*('E Balans VL '!L12+'E Balans VL '!N12)/100/3.6*1000000</f>
        <v>858.26955384568635</v>
      </c>
      <c r="G6" s="34"/>
      <c r="H6" s="33"/>
      <c r="I6" s="33"/>
      <c r="J6" s="33">
        <f>$C$26*('E Balans VL '!D12+'E Balans VL '!E12)/100/3.6*1000000</f>
        <v>0</v>
      </c>
      <c r="K6" s="33"/>
      <c r="L6" s="33"/>
      <c r="M6" s="33"/>
      <c r="N6" s="33">
        <f>$C$26*'E Balans VL '!Y12/100/3.6*1000000</f>
        <v>3.7729074051196139</v>
      </c>
      <c r="O6" s="33"/>
      <c r="P6" s="33"/>
      <c r="R6" s="32"/>
    </row>
    <row r="7" spans="1:18">
      <c r="A7" s="32" t="s">
        <v>52</v>
      </c>
      <c r="B7" s="37">
        <f t="shared" ref="B7:B12" si="0">B27</f>
        <v>2563.7293130000003</v>
      </c>
      <c r="C7" s="33"/>
      <c r="D7" s="37">
        <f>IF(ISERROR(TER_horeca_gas_kWh/1000),0,TER_horeca_gas_kWh/1000)*0.902</f>
        <v>3768.1831519860007</v>
      </c>
      <c r="E7" s="33">
        <f>$C$27*'E Balans VL '!I9/100/3.6*1000000</f>
        <v>27.528157403044403</v>
      </c>
      <c r="F7" s="33">
        <f>$C$27*('E Balans VL '!L9+'E Balans VL '!N9)/100/3.6*1000000</f>
        <v>308.35446926960924</v>
      </c>
      <c r="G7" s="34"/>
      <c r="H7" s="33"/>
      <c r="I7" s="33"/>
      <c r="J7" s="33">
        <f>$C$27*('E Balans VL '!D9+'E Balans VL '!E9)/100/3.6*1000000</f>
        <v>0</v>
      </c>
      <c r="K7" s="33"/>
      <c r="L7" s="33"/>
      <c r="M7" s="33"/>
      <c r="N7" s="33">
        <f>$C$27*'E Balans VL '!Y9/100/3.6*1000000</f>
        <v>0.38435498477930646</v>
      </c>
      <c r="O7" s="33"/>
      <c r="P7" s="33"/>
      <c r="R7" s="32"/>
    </row>
    <row r="8" spans="1:18">
      <c r="A8" s="6" t="s">
        <v>51</v>
      </c>
      <c r="B8" s="37">
        <f t="shared" si="0"/>
        <v>12998.713009999999</v>
      </c>
      <c r="C8" s="33"/>
      <c r="D8" s="37">
        <f>IF(ISERROR(TER_handel_gas_kWh/1000),0,TER_handel_gas_kWh/1000)*0.902</f>
        <v>7310.6044425480004</v>
      </c>
      <c r="E8" s="33">
        <f>$C$28*'E Balans VL '!I13/100/3.6*1000000</f>
        <v>348.8456620145646</v>
      </c>
      <c r="F8" s="33">
        <f>$C$28*('E Balans VL '!L13+'E Balans VL '!N13)/100/3.6*1000000</f>
        <v>1240.4778518191313</v>
      </c>
      <c r="G8" s="34"/>
      <c r="H8" s="33"/>
      <c r="I8" s="33"/>
      <c r="J8" s="33">
        <f>$C$28*('E Balans VL '!D13+'E Balans VL '!E13)/100/3.6*1000000</f>
        <v>0</v>
      </c>
      <c r="K8" s="33"/>
      <c r="L8" s="33"/>
      <c r="M8" s="33"/>
      <c r="N8" s="33">
        <f>$C$28*'E Balans VL '!Y13/100/3.6*1000000</f>
        <v>5.1528376375416771</v>
      </c>
      <c r="O8" s="33"/>
      <c r="P8" s="33"/>
      <c r="R8" s="32"/>
    </row>
    <row r="9" spans="1:18">
      <c r="A9" s="32" t="s">
        <v>50</v>
      </c>
      <c r="B9" s="37">
        <f t="shared" si="0"/>
        <v>1062.4606690000001</v>
      </c>
      <c r="C9" s="33"/>
      <c r="D9" s="37">
        <f>IF(ISERROR(TER_gezond_gas_kWh/1000),0,TER_gezond_gas_kWh/1000)*0.902</f>
        <v>3031.2967866060003</v>
      </c>
      <c r="E9" s="33">
        <f>$C$29*'E Balans VL '!I10/100/3.6*1000000</f>
        <v>1.9913972459223857</v>
      </c>
      <c r="F9" s="33">
        <f>$C$29*('E Balans VL '!L10+'E Balans VL '!N10)/100/3.6*1000000</f>
        <v>87.343961198433888</v>
      </c>
      <c r="G9" s="34"/>
      <c r="H9" s="33"/>
      <c r="I9" s="33"/>
      <c r="J9" s="33">
        <f>$C$29*('E Balans VL '!D10+'E Balans VL '!E10)/100/3.6*1000000</f>
        <v>0</v>
      </c>
      <c r="K9" s="33"/>
      <c r="L9" s="33"/>
      <c r="M9" s="33"/>
      <c r="N9" s="33">
        <f>$C$29*'E Balans VL '!Y10/100/3.6*1000000</f>
        <v>8.2667367143810964</v>
      </c>
      <c r="O9" s="33"/>
      <c r="P9" s="33"/>
      <c r="R9" s="32"/>
    </row>
    <row r="10" spans="1:18">
      <c r="A10" s="32" t="s">
        <v>49</v>
      </c>
      <c r="B10" s="37">
        <f t="shared" si="0"/>
        <v>5462.1788949999991</v>
      </c>
      <c r="C10" s="33"/>
      <c r="D10" s="37">
        <f>IF(ISERROR(TER_ander_gas_kWh/1000),0,TER_ander_gas_kWh/1000)*0.902</f>
        <v>11341.165786059999</v>
      </c>
      <c r="E10" s="33">
        <f>$C$30*'E Balans VL '!I14/100/3.6*1000000</f>
        <v>8.4200041140460549</v>
      </c>
      <c r="F10" s="33">
        <f>$C$30*('E Balans VL '!L14+'E Balans VL '!N14)/100/3.6*1000000</f>
        <v>848.00478136613742</v>
      </c>
      <c r="G10" s="34"/>
      <c r="H10" s="33"/>
      <c r="I10" s="33"/>
      <c r="J10" s="33">
        <f>$C$30*('E Balans VL '!D14+'E Balans VL '!E14)/100/3.6*1000000</f>
        <v>9.2726247291948796E-2</v>
      </c>
      <c r="K10" s="33"/>
      <c r="L10" s="33"/>
      <c r="M10" s="33"/>
      <c r="N10" s="33">
        <f>$C$30*'E Balans VL '!Y14/100/3.6*1000000</f>
        <v>3613.6024954124914</v>
      </c>
      <c r="O10" s="33"/>
      <c r="P10" s="33"/>
      <c r="R10" s="32"/>
    </row>
    <row r="11" spans="1:18">
      <c r="A11" s="32" t="s">
        <v>54</v>
      </c>
      <c r="B11" s="37">
        <f t="shared" si="0"/>
        <v>1533.239795</v>
      </c>
      <c r="C11" s="33"/>
      <c r="D11" s="37">
        <f>IF(ISERROR(TER_onderwijs_gas_kWh/1000),0,TER_onderwijs_gas_kWh/1000)*0.902</f>
        <v>6514.2473094380002</v>
      </c>
      <c r="E11" s="33">
        <f>$C$31*'E Balans VL '!I11/100/3.6*1000000</f>
        <v>39.108086886825703</v>
      </c>
      <c r="F11" s="33">
        <f>$C$31*('E Balans VL '!L11+'E Balans VL '!N11)/100/3.6*1000000</f>
        <v>184.38651675126758</v>
      </c>
      <c r="G11" s="34"/>
      <c r="H11" s="33"/>
      <c r="I11" s="33"/>
      <c r="J11" s="33">
        <f>$C$31*('E Balans VL '!D11+'E Balans VL '!E11)/100/3.6*1000000</f>
        <v>0</v>
      </c>
      <c r="K11" s="33"/>
      <c r="L11" s="33"/>
      <c r="M11" s="33"/>
      <c r="N11" s="33">
        <f>$C$31*'E Balans VL '!Y11/100/3.6*1000000</f>
        <v>3.4098878927066401</v>
      </c>
      <c r="O11" s="33"/>
      <c r="P11" s="33"/>
      <c r="R11" s="32"/>
    </row>
    <row r="12" spans="1:18">
      <c r="A12" s="32" t="s">
        <v>259</v>
      </c>
      <c r="B12" s="37">
        <f t="shared" si="0"/>
        <v>4839.2973959999999</v>
      </c>
      <c r="C12" s="33"/>
      <c r="D12" s="37">
        <f>IF(ISERROR(TER_rest_gas_kWh/1000),0,TER_rest_gas_kWh/1000)*0.902</f>
        <v>8571.0021026520008</v>
      </c>
      <c r="E12" s="33">
        <f>$C$32*'E Balans VL '!I8/100/3.6*1000000</f>
        <v>62.467527374616736</v>
      </c>
      <c r="F12" s="33">
        <f>$C$32*('E Balans VL '!L8+'E Balans VL '!N8)/100/3.6*1000000</f>
        <v>555.96896804568507</v>
      </c>
      <c r="G12" s="34"/>
      <c r="H12" s="33"/>
      <c r="I12" s="33"/>
      <c r="J12" s="33">
        <f>$C$32*('E Balans VL '!D8+'E Balans VL '!E8)/100/3.6*1000000</f>
        <v>9.2742574198296391E-3</v>
      </c>
      <c r="K12" s="33"/>
      <c r="L12" s="33"/>
      <c r="M12" s="33"/>
      <c r="N12" s="33">
        <f>$C$32*'E Balans VL '!Y8/100/3.6*1000000</f>
        <v>366.41627248804429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35479.624851</v>
      </c>
      <c r="C16" s="21">
        <f t="shared" ca="1" si="1"/>
        <v>0</v>
      </c>
      <c r="D16" s="21">
        <f t="shared" ca="1" si="1"/>
        <v>45272.704446288</v>
      </c>
      <c r="E16" s="21">
        <f t="shared" si="1"/>
        <v>544.8485707031773</v>
      </c>
      <c r="F16" s="21">
        <f t="shared" ca="1" si="1"/>
        <v>4082.806102295951</v>
      </c>
      <c r="G16" s="21">
        <f t="shared" si="1"/>
        <v>0</v>
      </c>
      <c r="H16" s="21">
        <f t="shared" si="1"/>
        <v>0</v>
      </c>
      <c r="I16" s="21">
        <f t="shared" si="1"/>
        <v>0</v>
      </c>
      <c r="J16" s="21">
        <f t="shared" si="1"/>
        <v>0.10200050471177843</v>
      </c>
      <c r="K16" s="21">
        <f t="shared" si="1"/>
        <v>0</v>
      </c>
      <c r="L16" s="21">
        <f t="shared" ca="1" si="1"/>
        <v>0</v>
      </c>
      <c r="M16" s="21">
        <f t="shared" si="1"/>
        <v>0</v>
      </c>
      <c r="N16" s="21">
        <f t="shared" ca="1" si="1"/>
        <v>4001.0054925350641</v>
      </c>
      <c r="O16" s="21">
        <f>O5</f>
        <v>34.280825360888088</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0.21150642947376408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7504.168771303639</v>
      </c>
      <c r="C20" s="23">
        <f t="shared" ref="C20:P20" ca="1" si="2">C16*C18</f>
        <v>0</v>
      </c>
      <c r="D20" s="23">
        <f t="shared" ca="1" si="2"/>
        <v>9145.0862981501759</v>
      </c>
      <c r="E20" s="23">
        <f t="shared" si="2"/>
        <v>123.68062554962125</v>
      </c>
      <c r="F20" s="23">
        <f t="shared" ca="1" si="2"/>
        <v>1090.1092293130189</v>
      </c>
      <c r="G20" s="23">
        <f t="shared" si="2"/>
        <v>0</v>
      </c>
      <c r="H20" s="23">
        <f t="shared" si="2"/>
        <v>0</v>
      </c>
      <c r="I20" s="23">
        <f t="shared" si="2"/>
        <v>0</v>
      </c>
      <c r="J20" s="23">
        <f t="shared" si="2"/>
        <v>3.6108178667969566E-2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7020.0057729999999</v>
      </c>
      <c r="C26" s="39">
        <f>IF(ISERROR(B26*3.6/1000000/'E Balans VL '!Z12*100),0,B26*3.6/1000000/'E Balans VL '!Z12*100)</f>
        <v>0.14892299990643967</v>
      </c>
      <c r="D26" s="237" t="s">
        <v>716</v>
      </c>
      <c r="F26" s="6"/>
    </row>
    <row r="27" spans="1:18">
      <c r="A27" s="231" t="s">
        <v>52</v>
      </c>
      <c r="B27" s="33">
        <f>IF(ISERROR(TER_horeca_ele_kWh/1000),0,TER_horeca_ele_kWh/1000)</f>
        <v>2563.7293130000003</v>
      </c>
      <c r="C27" s="39">
        <f>IF(ISERROR(B27*3.6/1000000/'E Balans VL '!Z9*100),0,B27*3.6/1000000/'E Balans VL '!Z9*100)</f>
        <v>0.19307152808183112</v>
      </c>
      <c r="D27" s="237" t="s">
        <v>716</v>
      </c>
      <c r="F27" s="6"/>
    </row>
    <row r="28" spans="1:18">
      <c r="A28" s="171" t="s">
        <v>51</v>
      </c>
      <c r="B28" s="33">
        <f>IF(ISERROR(TER_handel_ele_kWh/1000),0,TER_handel_ele_kWh/1000)</f>
        <v>12998.713009999999</v>
      </c>
      <c r="C28" s="39">
        <f>IF(ISERROR(B28*3.6/1000000/'E Balans VL '!Z13*100),0,B28*3.6/1000000/'E Balans VL '!Z13*100)</f>
        <v>0.37730658064657474</v>
      </c>
      <c r="D28" s="237" t="s">
        <v>716</v>
      </c>
      <c r="F28" s="6"/>
    </row>
    <row r="29" spans="1:18">
      <c r="A29" s="231" t="s">
        <v>50</v>
      </c>
      <c r="B29" s="33">
        <f>IF(ISERROR(TER_gezond_ele_kWh/1000),0,TER_gezond_ele_kWh/1000)</f>
        <v>1062.4606690000001</v>
      </c>
      <c r="C29" s="39">
        <f>IF(ISERROR(B29*3.6/1000000/'E Balans VL '!Z10*100),0,B29*3.6/1000000/'E Balans VL '!Z10*100)</f>
        <v>0.10715042550460303</v>
      </c>
      <c r="D29" s="237" t="s">
        <v>716</v>
      </c>
      <c r="F29" s="6"/>
    </row>
    <row r="30" spans="1:18">
      <c r="A30" s="231" t="s">
        <v>49</v>
      </c>
      <c r="B30" s="33">
        <f>IF(ISERROR(TER_ander_ele_kWh/1000),0,TER_ander_ele_kWh/1000)</f>
        <v>5462.1788949999991</v>
      </c>
      <c r="C30" s="39">
        <f>IF(ISERROR(B30*3.6/1000000/'E Balans VL '!Z14*100),0,B30*3.6/1000000/'E Balans VL '!Z14*100)</f>
        <v>0.39635559661559217</v>
      </c>
      <c r="D30" s="237" t="s">
        <v>716</v>
      </c>
      <c r="F30" s="6"/>
    </row>
    <row r="31" spans="1:18">
      <c r="A31" s="231" t="s">
        <v>54</v>
      </c>
      <c r="B31" s="33">
        <f>IF(ISERROR(TER_onderwijs_ele_kWh/1000),0,TER_onderwijs_ele_kWh/1000)</f>
        <v>1533.239795</v>
      </c>
      <c r="C31" s="39">
        <f>IF(ISERROR(B31*3.6/1000000/'E Balans VL '!Z11*100),0,B31*3.6/1000000/'E Balans VL '!Z11*100)</f>
        <v>0.43703577800671906</v>
      </c>
      <c r="D31" s="237" t="s">
        <v>716</v>
      </c>
    </row>
    <row r="32" spans="1:18">
      <c r="A32" s="231" t="s">
        <v>259</v>
      </c>
      <c r="B32" s="33">
        <f>IF(ISERROR(TER_rest_ele_kWh/1000),0,TER_rest_ele_kWh/1000)</f>
        <v>4839.2973959999999</v>
      </c>
      <c r="C32" s="39">
        <f>IF(ISERROR(B32*3.6/1000000/'E Balans VL '!Z8*100),0,B32*3.6/1000000/'E Balans VL '!Z8*100)</f>
        <v>3.9642538549301672E-2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7</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97315.279059999986</v>
      </c>
      <c r="C5" s="17">
        <f>IF(ISERROR('Eigen informatie GS &amp; warmtenet'!B61),0,'Eigen informatie GS &amp; warmtenet'!B61)</f>
        <v>0</v>
      </c>
      <c r="D5" s="30">
        <f>SUM(D6:D15)</f>
        <v>64903.645670049998</v>
      </c>
      <c r="E5" s="17">
        <f>SUM(E6:E15)</f>
        <v>15572.519785646447</v>
      </c>
      <c r="F5" s="17">
        <f>SUM(F6:F15)</f>
        <v>47649.084780918769</v>
      </c>
      <c r="G5" s="18"/>
      <c r="H5" s="17"/>
      <c r="I5" s="17"/>
      <c r="J5" s="17">
        <f>SUM(J6:J15)</f>
        <v>143.50066944232225</v>
      </c>
      <c r="K5" s="17"/>
      <c r="L5" s="17"/>
      <c r="M5" s="17"/>
      <c r="N5" s="17">
        <f>SUM(N6:N15)</f>
        <v>4732.7473343299644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3325.0434380000002</v>
      </c>
      <c r="C8" s="33"/>
      <c r="D8" s="37">
        <f>IF( ISERROR(IND_metaal_Gas_kWH/1000),0,IND_metaal_Gas_kWH/1000)*0.902</f>
        <v>1084.9540617080002</v>
      </c>
      <c r="E8" s="33">
        <f>C30*'E Balans VL '!I18/100/3.6*1000000</f>
        <v>23.987854671575491</v>
      </c>
      <c r="F8" s="33">
        <f>C30*'E Balans VL '!L18/100/3.6*1000000+C30*'E Balans VL '!N18/100/3.6*1000000</f>
        <v>314.48779972854726</v>
      </c>
      <c r="G8" s="34"/>
      <c r="H8" s="33"/>
      <c r="I8" s="33"/>
      <c r="J8" s="40">
        <f>C30*'E Balans VL '!D18/100/3.6*1000000+C30*'E Balans VL '!E18/100/3.6*1000000</f>
        <v>3.3443480124265657</v>
      </c>
      <c r="K8" s="33"/>
      <c r="L8" s="33"/>
      <c r="M8" s="33"/>
      <c r="N8" s="33">
        <f>C30*'E Balans VL '!Y18/100/3.6*1000000</f>
        <v>42.037346252740967</v>
      </c>
      <c r="O8" s="33"/>
      <c r="P8" s="33"/>
      <c r="R8" s="32"/>
    </row>
    <row r="9" spans="1:18">
      <c r="A9" s="6" t="s">
        <v>32</v>
      </c>
      <c r="B9" s="37">
        <f t="shared" si="0"/>
        <v>53503.919320000001</v>
      </c>
      <c r="C9" s="33"/>
      <c r="D9" s="37">
        <f>IF( ISERROR(IND_andere_gas_kWh/1000),0,IND_andere_gas_kWh/1000)*0.902</f>
        <v>3998.7704581440007</v>
      </c>
      <c r="E9" s="33">
        <f>C31*'E Balans VL '!I19/100/3.6*1000000</f>
        <v>14826.651480604854</v>
      </c>
      <c r="F9" s="33">
        <f>C31*'E Balans VL '!L19/100/3.6*1000000+C31*'E Balans VL '!N19/100/3.6*1000000</f>
        <v>44344.163955276752</v>
      </c>
      <c r="G9" s="34"/>
      <c r="H9" s="33"/>
      <c r="I9" s="33"/>
      <c r="J9" s="40">
        <f>C31*'E Balans VL '!D19/100/3.6*1000000+C31*'E Balans VL '!E19/100/3.6*1000000</f>
        <v>0</v>
      </c>
      <c r="K9" s="33"/>
      <c r="L9" s="33"/>
      <c r="M9" s="33"/>
      <c r="N9" s="33">
        <f>C31*'E Balans VL '!Y19/100/3.6*1000000</f>
        <v>3883.7301188519345</v>
      </c>
      <c r="O9" s="33"/>
      <c r="P9" s="33"/>
      <c r="R9" s="32"/>
    </row>
    <row r="10" spans="1:18">
      <c r="A10" s="6" t="s">
        <v>40</v>
      </c>
      <c r="B10" s="37">
        <f t="shared" si="0"/>
        <v>4217.0033979999998</v>
      </c>
      <c r="C10" s="33"/>
      <c r="D10" s="37">
        <f>IF( ISERROR(IND_voed_gas_kWh/1000),0,IND_voed_gas_kWh/1000)*0.902</f>
        <v>1247.7272976740001</v>
      </c>
      <c r="E10" s="33">
        <f>C32*'E Balans VL '!I20/100/3.6*1000000</f>
        <v>7.4655244050891145</v>
      </c>
      <c r="F10" s="33">
        <f>C32*'E Balans VL '!L20/100/3.6*1000000+C32*'E Balans VL '!N20/100/3.6*1000000</f>
        <v>227.75555845785749</v>
      </c>
      <c r="G10" s="34"/>
      <c r="H10" s="33"/>
      <c r="I10" s="33"/>
      <c r="J10" s="40">
        <f>C32*'E Balans VL '!D20/100/3.6*1000000+C32*'E Balans VL '!E20/100/3.6*1000000</f>
        <v>0</v>
      </c>
      <c r="K10" s="33"/>
      <c r="L10" s="33"/>
      <c r="M10" s="33"/>
      <c r="N10" s="33">
        <f>C32*'E Balans VL '!Y20/100/3.6*1000000</f>
        <v>245.04010308006161</v>
      </c>
      <c r="O10" s="33"/>
      <c r="P10" s="33"/>
      <c r="R10" s="32"/>
    </row>
    <row r="11" spans="1:18">
      <c r="A11" s="6" t="s">
        <v>39</v>
      </c>
      <c r="B11" s="37">
        <f t="shared" si="0"/>
        <v>112.25289699999999</v>
      </c>
      <c r="C11" s="33"/>
      <c r="D11" s="37">
        <f>IF( ISERROR(IND_textiel_gas_kWh/1000),0,IND_textiel_gas_kWh/1000)*0.902</f>
        <v>0</v>
      </c>
      <c r="E11" s="33">
        <f>C33*'E Balans VL '!I21/100/3.6*1000000</f>
        <v>0.39570311321108731</v>
      </c>
      <c r="F11" s="33">
        <f>C33*'E Balans VL '!L21/100/3.6*1000000+C33*'E Balans VL '!N21/100/3.6*1000000</f>
        <v>3.2947903855925613</v>
      </c>
      <c r="G11" s="34"/>
      <c r="H11" s="33"/>
      <c r="I11" s="33"/>
      <c r="J11" s="40">
        <f>C33*'E Balans VL '!D21/100/3.6*1000000+C33*'E Balans VL '!E21/100/3.6*1000000</f>
        <v>0</v>
      </c>
      <c r="K11" s="33"/>
      <c r="L11" s="33"/>
      <c r="M11" s="33"/>
      <c r="N11" s="33">
        <f>C33*'E Balans VL '!Y21/100/3.6*1000000</f>
        <v>4.945846573235765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219.85345699999999</v>
      </c>
      <c r="C13" s="33"/>
      <c r="D13" s="37">
        <f>IF( ISERROR(IND_papier_gas_kWh/1000),0,IND_papier_gas_kWh/1000)*0.902</f>
        <v>106.424203644</v>
      </c>
      <c r="E13" s="33">
        <f>C35*'E Balans VL '!I23/100/3.6*1000000</f>
        <v>0.3234799285657774</v>
      </c>
      <c r="F13" s="33">
        <f>C35*'E Balans VL '!L23/100/3.6*1000000+C35*'E Balans VL '!N23/100/3.6*1000000</f>
        <v>2.3540383552411441</v>
      </c>
      <c r="G13" s="34"/>
      <c r="H13" s="33"/>
      <c r="I13" s="33"/>
      <c r="J13" s="40">
        <f>C35*'E Balans VL '!D23/100/3.6*1000000+C35*'E Balans VL '!E23/100/3.6*1000000</f>
        <v>24.053201069471609</v>
      </c>
      <c r="K13" s="33"/>
      <c r="L13" s="33"/>
      <c r="M13" s="33"/>
      <c r="N13" s="33">
        <f>C35*'E Balans VL '!Y23/100/3.6*1000000</f>
        <v>-1.9916839350980189</v>
      </c>
      <c r="O13" s="33"/>
      <c r="P13" s="33"/>
      <c r="R13" s="32"/>
    </row>
    <row r="14" spans="1:18">
      <c r="A14" s="6" t="s">
        <v>33</v>
      </c>
      <c r="B14" s="37">
        <f t="shared" si="0"/>
        <v>21883.203430000001</v>
      </c>
      <c r="C14" s="33"/>
      <c r="D14" s="37">
        <f>IF( ISERROR(IND_chemie_gas_kWh/1000),0,IND_chemie_gas_kWh/1000)*0.902</f>
        <v>0</v>
      </c>
      <c r="E14" s="33">
        <f>C36*'E Balans VL '!I24/100/3.6*1000000</f>
        <v>49.495398464596356</v>
      </c>
      <c r="F14" s="33">
        <f>C36*'E Balans VL '!L24/100/3.6*1000000+C36*'E Balans VL '!N24/100/3.6*1000000</f>
        <v>258.37435280986125</v>
      </c>
      <c r="G14" s="34"/>
      <c r="H14" s="33"/>
      <c r="I14" s="33"/>
      <c r="J14" s="40">
        <f>C36*'E Balans VL '!D24/100/3.6*1000000+C36*'E Balans VL '!E24/100/3.6*1000000</f>
        <v>0</v>
      </c>
      <c r="K14" s="33"/>
      <c r="L14" s="33"/>
      <c r="M14" s="33"/>
      <c r="N14" s="33">
        <f>C36*'E Balans VL '!Y24/100/3.6*1000000</f>
        <v>12.020116103616807</v>
      </c>
      <c r="O14" s="33"/>
      <c r="P14" s="33"/>
      <c r="R14" s="32"/>
    </row>
    <row r="15" spans="1:18">
      <c r="A15" s="6" t="s">
        <v>269</v>
      </c>
      <c r="B15" s="37">
        <f t="shared" si="0"/>
        <v>14054.003119999999</v>
      </c>
      <c r="C15" s="33"/>
      <c r="D15" s="37">
        <f>IF( ISERROR(IND_rest_gas_kWh/1000),0,IND_rest_gas_kWh/1000)*0.902</f>
        <v>58465.769648879999</v>
      </c>
      <c r="E15" s="33">
        <f>C37*'E Balans VL '!I15/100/3.6*1000000</f>
        <v>664.20034445855697</v>
      </c>
      <c r="F15" s="33">
        <f>C37*'E Balans VL '!L15/100/3.6*1000000+C37*'E Balans VL '!N15/100/3.6*1000000</f>
        <v>2498.6542859049209</v>
      </c>
      <c r="G15" s="34"/>
      <c r="H15" s="33"/>
      <c r="I15" s="33"/>
      <c r="J15" s="40">
        <f>C37*'E Balans VL '!D15/100/3.6*1000000+C37*'E Balans VL '!E15/100/3.6*1000000</f>
        <v>116.10312036042409</v>
      </c>
      <c r="K15" s="33"/>
      <c r="L15" s="33"/>
      <c r="M15" s="33"/>
      <c r="N15" s="33">
        <f>C37*'E Balans VL '!Y15/100/3.6*1000000</f>
        <v>546.96548740347328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97315.279059999986</v>
      </c>
      <c r="C18" s="21">
        <f>C5+C16</f>
        <v>0</v>
      </c>
      <c r="D18" s="21">
        <f>MAX((D5+D16),0)</f>
        <v>64903.645670049998</v>
      </c>
      <c r="E18" s="21">
        <f>MAX((E5+E16),0)</f>
        <v>15572.519785646447</v>
      </c>
      <c r="F18" s="21">
        <f>MAX((F5+F16),0)</f>
        <v>47649.084780918769</v>
      </c>
      <c r="G18" s="21"/>
      <c r="H18" s="21"/>
      <c r="I18" s="21"/>
      <c r="J18" s="21">
        <f>MAX((J5+J16),0)</f>
        <v>143.50066944232225</v>
      </c>
      <c r="K18" s="21"/>
      <c r="L18" s="21">
        <f>MAX((L5+L16),0)</f>
        <v>0</v>
      </c>
      <c r="M18" s="21"/>
      <c r="N18" s="21">
        <f>MAX((N5+N16),0)</f>
        <v>4732.7473343299644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0.21150642947376408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20582.807207223559</v>
      </c>
      <c r="C22" s="23">
        <f ca="1">C18*C20</f>
        <v>0</v>
      </c>
      <c r="D22" s="23">
        <f>D18*D20</f>
        <v>13110.536425350101</v>
      </c>
      <c r="E22" s="23">
        <f>E18*E20</f>
        <v>3534.9619913417437</v>
      </c>
      <c r="F22" s="23">
        <f>F18*F20</f>
        <v>12722.305636505313</v>
      </c>
      <c r="G22" s="23"/>
      <c r="H22" s="23"/>
      <c r="I22" s="23"/>
      <c r="J22" s="23">
        <f>J18*J20</f>
        <v>50.799236982582073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3325.0434380000002</v>
      </c>
      <c r="C30" s="39">
        <f>IF(ISERROR(B30*3.6/1000000/'E Balans VL '!Z18*100),0,B30*3.6/1000000/'E Balans VL '!Z18*100)</f>
        <v>0.1919495694519662</v>
      </c>
      <c r="D30" s="237" t="s">
        <v>716</v>
      </c>
    </row>
    <row r="31" spans="1:18">
      <c r="A31" s="6" t="s">
        <v>32</v>
      </c>
      <c r="B31" s="37">
        <f>IF( ISERROR(IND_ander_ele_kWh/1000),0,IND_ander_ele_kWh/1000)</f>
        <v>53503.919320000001</v>
      </c>
      <c r="C31" s="39">
        <f>IF(ISERROR(B31*3.6/1000000/'E Balans VL '!Z19*100),0,B31*3.6/1000000/'E Balans VL '!Z19*100)</f>
        <v>2.6910737155567572</v>
      </c>
      <c r="D31" s="237" t="s">
        <v>716</v>
      </c>
    </row>
    <row r="32" spans="1:18">
      <c r="A32" s="171" t="s">
        <v>40</v>
      </c>
      <c r="B32" s="37">
        <f>IF( ISERROR(IND_voed_ele_kWh/1000),0,IND_voed_ele_kWh/1000)</f>
        <v>4217.0033979999998</v>
      </c>
      <c r="C32" s="39">
        <f>IF(ISERROR(B32*3.6/1000000/'E Balans VL '!Z20*100),0,B32*3.6/1000000/'E Balans VL '!Z20*100)</f>
        <v>0.14045125476575415</v>
      </c>
      <c r="D32" s="237" t="s">
        <v>716</v>
      </c>
    </row>
    <row r="33" spans="1:5">
      <c r="A33" s="171" t="s">
        <v>39</v>
      </c>
      <c r="B33" s="37">
        <f>IF( ISERROR(IND_textiel_ele_kWh/1000),0,IND_textiel_ele_kWh/1000)</f>
        <v>112.25289699999999</v>
      </c>
      <c r="C33" s="39">
        <f>IF(ISERROR(B33*3.6/1000000/'E Balans VL '!Z21*100),0,B33*3.6/1000000/'E Balans VL '!Z21*100)</f>
        <v>1.7501655333360046E-2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219.85345699999999</v>
      </c>
      <c r="C35" s="39">
        <f>IF(ISERROR(B35*3.6/1000000/'E Balans VL '!Z22*100),0,B35*3.6/1000000/'E Balans VL '!Z22*100)</f>
        <v>4.101009557963118E-2</v>
      </c>
      <c r="D35" s="237" t="s">
        <v>716</v>
      </c>
    </row>
    <row r="36" spans="1:5">
      <c r="A36" s="171" t="s">
        <v>33</v>
      </c>
      <c r="B36" s="37">
        <f>IF( ISERROR(IND_chemie_ele_kWh/1000),0,IND_chemie_ele_kWh/1000)</f>
        <v>21883.203430000001</v>
      </c>
      <c r="C36" s="39">
        <f>IF(ISERROR(B36*3.6/1000000/'E Balans VL '!Z24*100),0,B36*3.6/1000000/'E Balans VL '!Z24*100)</f>
        <v>0.57719645155422816</v>
      </c>
      <c r="D36" s="237" t="s">
        <v>716</v>
      </c>
    </row>
    <row r="37" spans="1:5">
      <c r="A37" s="171" t="s">
        <v>269</v>
      </c>
      <c r="B37" s="37">
        <f>IF( ISERROR(IND_rest_ele_kWh/1000),0,IND_rest_ele_kWh/1000)</f>
        <v>14054.003119999999</v>
      </c>
      <c r="C37" s="39">
        <f>IF(ISERROR(B37*3.6/1000000/'E Balans VL '!Z15*100),0,B37*3.6/1000000/'E Balans VL '!Z15*100)</f>
        <v>0.10965965685132001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1399.4385690000001</v>
      </c>
      <c r="C5" s="17">
        <f>'Eigen informatie GS &amp; warmtenet'!B62</f>
        <v>0</v>
      </c>
      <c r="D5" s="30">
        <f>IF(ISERROR(SUM(LB_lb_gas_kWh,LB_rest_gas_kWh)/1000),0,SUM(LB_lb_gas_kWh,LB_rest_gas_kWh)/1000)*0.902</f>
        <v>499.27816813599998</v>
      </c>
      <c r="E5" s="17">
        <f>B17*'E Balans VL '!I25/3.6*1000000/100</f>
        <v>43.676016260581491</v>
      </c>
      <c r="F5" s="17">
        <f>B17*('E Balans VL '!L25/3.6*1000000+'E Balans VL '!N25/3.6*1000000)/100</f>
        <v>4945.7709284687035</v>
      </c>
      <c r="G5" s="18"/>
      <c r="H5" s="17"/>
      <c r="I5" s="17"/>
      <c r="J5" s="17">
        <f>('E Balans VL '!D25+'E Balans VL '!E25)/3.6*1000000*landbouw!B17/100</f>
        <v>385.55503078092181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1399.4385690000001</v>
      </c>
      <c r="C8" s="21">
        <f>C5+C6</f>
        <v>0</v>
      </c>
      <c r="D8" s="21">
        <f>MAX((D5+D6),0)</f>
        <v>499.27816813599998</v>
      </c>
      <c r="E8" s="21">
        <f>MAX((E5+E6),0)</f>
        <v>43.676016260581491</v>
      </c>
      <c r="F8" s="21">
        <f>MAX((F5+F6),0)</f>
        <v>4945.7709284687035</v>
      </c>
      <c r="G8" s="21"/>
      <c r="H8" s="21"/>
      <c r="I8" s="21"/>
      <c r="J8" s="21">
        <f>MAX((J5+J6),0)</f>
        <v>385.55503078092181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0.21150642947376408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295.99025499706386</v>
      </c>
      <c r="C12" s="23">
        <f ca="1">C8*C10</f>
        <v>0</v>
      </c>
      <c r="D12" s="23">
        <f>D8*D10</f>
        <v>100.854189963472</v>
      </c>
      <c r="E12" s="23">
        <f>E8*E10</f>
        <v>9.9144556911519981</v>
      </c>
      <c r="F12" s="23">
        <f>F8*F10</f>
        <v>1320.520837901144</v>
      </c>
      <c r="G12" s="23"/>
      <c r="H12" s="23"/>
      <c r="I12" s="23"/>
      <c r="J12" s="23">
        <f>J8*J10</f>
        <v>136.48648089644632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0.2080365754077774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225.13662980433654</v>
      </c>
      <c r="C26" s="247">
        <f>B26*'GWP N2O_CH4'!B5</f>
        <v>4727.8692258910669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35.056715586921506</v>
      </c>
      <c r="C27" s="247">
        <f>B27*'GWP N2O_CH4'!B5</f>
        <v>736.19102732535157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2.9064488071962273</v>
      </c>
      <c r="C28" s="247">
        <f>B28*'GWP N2O_CH4'!B4</f>
        <v>900.99913023083047</v>
      </c>
      <c r="D28" s="50"/>
    </row>
    <row r="29" spans="1:4">
      <c r="A29" s="41" t="s">
        <v>276</v>
      </c>
      <c r="B29" s="247">
        <f>B34*'ha_N2O bodem landbouw'!B4</f>
        <v>11.646956137223063</v>
      </c>
      <c r="C29" s="247">
        <f>B29*'GWP N2O_CH4'!B4</f>
        <v>3610.5564025391495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2.5539677821628044E-3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4.6593732396000003E-4</v>
      </c>
      <c r="C5" s="463" t="s">
        <v>210</v>
      </c>
      <c r="D5" s="448">
        <f>SUM(D6:D11)</f>
        <v>1.778939541115296E-3</v>
      </c>
      <c r="E5" s="448">
        <f>SUM(E6:E11)</f>
        <v>1.571009349684075E-3</v>
      </c>
      <c r="F5" s="461" t="s">
        <v>210</v>
      </c>
      <c r="G5" s="448">
        <f>SUM(G6:G11)</f>
        <v>0.62145822931434647</v>
      </c>
      <c r="H5" s="448">
        <f>SUM(H6:H11)</f>
        <v>0.13604839817898434</v>
      </c>
      <c r="I5" s="463" t="s">
        <v>210</v>
      </c>
      <c r="J5" s="463" t="s">
        <v>210</v>
      </c>
      <c r="K5" s="463" t="s">
        <v>210</v>
      </c>
      <c r="L5" s="463" t="s">
        <v>210</v>
      </c>
      <c r="M5" s="448">
        <f>SUM(M6:M11)</f>
        <v>4.4774900242824628E-2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1.57891518375E-4</v>
      </c>
      <c r="C6" s="449"/>
      <c r="D6" s="917">
        <f>vkm_2011_GW_PW*SUMIFS(TableVerdeelsleutelVkm[CNG],TableVerdeelsleutelVkm[Voertuigtype],"Lichte voertuigen")*SUMIFS(TableECFTransport[EnergieConsumptieFactor (PJ per km)],TableECFTransport[Index],CONCATENATE($A6,"_CNG_CNG"))</f>
        <v>5.4901570344390005E-4</v>
      </c>
      <c r="E6" s="917">
        <f>vkm_2011_GW_PW*SUMIFS(TableVerdeelsleutelVkm[LPG],TableVerdeelsleutelVkm[Voertuigtype],"Lichte voertuigen")*SUMIFS(TableECFTransport[EnergieConsumptieFactor (PJ per km)],TableECFTransport[Index],CONCATENATE($A6,"_LPG_LPG"))</f>
        <v>4.3253392112999994E-4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0.11774076259413997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4.1201446750283949E-2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9.4977960154436943E-3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5.6878813301727386E-2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1.4329605982386794E-5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3.2798100767651318E-3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4.398084909E-5</v>
      </c>
      <c r="C8" s="449"/>
      <c r="D8" s="451">
        <f>vkm_2011_NGW_PW*SUMIFS(TableVerdeelsleutelVkm[CNG],TableVerdeelsleutelVkm[Voertuigtype],"Lichte voertuigen")*SUMIFS(TableECFTransport[EnergieConsumptieFactor (PJ per km)],TableECFTransport[Index],CONCATENATE($A8,"_CNG_CNG"))</f>
        <v>2.7064487230704003E-4</v>
      </c>
      <c r="E8" s="451">
        <f>vkm_2011_NGW_PW*SUMIFS(TableVerdeelsleutelVkm[LPG],TableVerdeelsleutelVkm[Voertuigtype],"Lichte voertuigen")*SUMIFS(TableECFTransport[EnergieConsumptieFactor (PJ per km)],TableECFTransport[Index],CONCATENATE($A8,"_LPG_LPG"))</f>
        <v>1.9767142006155001E-4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4.9932609820488166E-2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1.9791025659736228E-2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4.1804001497801804E-3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1.5765840995517606E-2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3.7477270625817899E-6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9.0909289890856034E-4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2.6406495649500001E-4</v>
      </c>
      <c r="C10" s="449"/>
      <c r="D10" s="451">
        <f>vkm_2011_SW_PW*SUMIFS(TableVerdeelsleutelVkm[CNG],TableVerdeelsleutelVkm[Voertuigtype],"Lichte voertuigen")*SUMIFS(TableECFTransport[EnergieConsumptieFactor (PJ per km)],TableECFTransport[Index],CONCATENATE($A10,"_CNG_CNG"))</f>
        <v>9.5927896536435599E-4</v>
      </c>
      <c r="E10" s="451">
        <f>vkm_2011_SW_PW*SUMIFS(TableVerdeelsleutelVkm[LPG],TableVerdeelsleutelVkm[Voertuigtype],"Lichte voertuigen")*SUMIFS(TableECFTransport[EnergieConsumptieFactor (PJ per km)],TableECFTransport[Index],CONCATENATE($A10,"_LPG_LPG"))</f>
        <v>9.4080400849252499E-4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0.22749143049032894</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7.4995923426027206E-2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1.8047721308823629E-2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0.15364877211214434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4.1925009891978705E-5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8.8600797931034352E-3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129.42703443333335</v>
      </c>
      <c r="C14" s="21"/>
      <c r="D14" s="21">
        <f t="shared" ref="D14:M14" si="0">((D5)*10^9/3600)+D12</f>
        <v>494.14987253202668</v>
      </c>
      <c r="E14" s="21">
        <f t="shared" si="0"/>
        <v>436.39148602335416</v>
      </c>
      <c r="F14" s="21"/>
      <c r="G14" s="21">
        <f t="shared" si="0"/>
        <v>172627.28592065178</v>
      </c>
      <c r="H14" s="21">
        <f t="shared" si="0"/>
        <v>37791.221716384542</v>
      </c>
      <c r="I14" s="21"/>
      <c r="J14" s="21"/>
      <c r="K14" s="21"/>
      <c r="L14" s="21"/>
      <c r="M14" s="21">
        <f t="shared" si="0"/>
        <v>12437.472289673507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0.21150642947376408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27.374649930372254</v>
      </c>
      <c r="C18" s="23"/>
      <c r="D18" s="23">
        <f t="shared" ref="D18:M18" si="1">D14*D16</f>
        <v>99.81827425146939</v>
      </c>
      <c r="E18" s="23">
        <f t="shared" si="1"/>
        <v>99.060867327301395</v>
      </c>
      <c r="F18" s="23"/>
      <c r="G18" s="23">
        <f t="shared" si="1"/>
        <v>46091.485340814026</v>
      </c>
      <c r="H18" s="23">
        <f t="shared" si="1"/>
        <v>9410.0142073797506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5.1626611923806911E-3</v>
      </c>
      <c r="H50" s="321">
        <f t="shared" si="2"/>
        <v>0</v>
      </c>
      <c r="I50" s="321">
        <f t="shared" si="2"/>
        <v>0</v>
      </c>
      <c r="J50" s="321">
        <f t="shared" si="2"/>
        <v>0</v>
      </c>
      <c r="K50" s="321">
        <f t="shared" si="2"/>
        <v>0</v>
      </c>
      <c r="L50" s="321">
        <f t="shared" si="2"/>
        <v>0</v>
      </c>
      <c r="M50" s="321">
        <f t="shared" si="2"/>
        <v>2.8694128028959994E-4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5.1626611923806911E-3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2.8694128028959994E-4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1434.0725534390808</v>
      </c>
      <c r="H54" s="21">
        <f t="shared" si="3"/>
        <v>0</v>
      </c>
      <c r="I54" s="21">
        <f t="shared" si="3"/>
        <v>0</v>
      </c>
      <c r="J54" s="21">
        <f t="shared" si="3"/>
        <v>0</v>
      </c>
      <c r="K54" s="21">
        <f t="shared" si="3"/>
        <v>0</v>
      </c>
      <c r="L54" s="21">
        <f t="shared" si="3"/>
        <v>0</v>
      </c>
      <c r="M54" s="21">
        <f t="shared" si="3"/>
        <v>79.705911191555543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0.21150642947376408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382.89737176823462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37331.573851000001</v>
      </c>
      <c r="D10" s="712">
        <f ca="1">tertiair!C16</f>
        <v>0</v>
      </c>
      <c r="E10" s="712">
        <f ca="1">tertiair!D16</f>
        <v>45272.704446288</v>
      </c>
      <c r="F10" s="712">
        <f>tertiair!E16</f>
        <v>544.8485707031773</v>
      </c>
      <c r="G10" s="712">
        <f ca="1">tertiair!F16</f>
        <v>4082.806102295951</v>
      </c>
      <c r="H10" s="712">
        <f>tertiair!G16</f>
        <v>0</v>
      </c>
      <c r="I10" s="712">
        <f>tertiair!H16</f>
        <v>0</v>
      </c>
      <c r="J10" s="712">
        <f>tertiair!I16</f>
        <v>0</v>
      </c>
      <c r="K10" s="712">
        <f>tertiair!J16</f>
        <v>0.10200050471177843</v>
      </c>
      <c r="L10" s="712">
        <f>tertiair!K16</f>
        <v>0</v>
      </c>
      <c r="M10" s="712">
        <f ca="1">tertiair!L16</f>
        <v>0</v>
      </c>
      <c r="N10" s="712">
        <f>tertiair!M16</f>
        <v>0</v>
      </c>
      <c r="O10" s="712">
        <f ca="1">tertiair!N16</f>
        <v>4001.0054925350641</v>
      </c>
      <c r="P10" s="712">
        <f>tertiair!O16</f>
        <v>34.280825360888088</v>
      </c>
      <c r="Q10" s="713">
        <f>tertiair!P16</f>
        <v>105.07827661299004</v>
      </c>
      <c r="R10" s="715">
        <f ca="1">SUM(C10:Q10)</f>
        <v>91372.399565300773</v>
      </c>
      <c r="S10" s="67"/>
    </row>
    <row r="11" spans="1:19" s="474" customFormat="1">
      <c r="A11" s="834" t="s">
        <v>224</v>
      </c>
      <c r="B11" s="839"/>
      <c r="C11" s="712">
        <f>huishoudens!B8</f>
        <v>46602.095988940884</v>
      </c>
      <c r="D11" s="712">
        <f>huishoudens!C8</f>
        <v>0</v>
      </c>
      <c r="E11" s="712">
        <f>huishoudens!D8</f>
        <v>98650.812924400001</v>
      </c>
      <c r="F11" s="712">
        <f>huishoudens!E8</f>
        <v>7672.7627702809687</v>
      </c>
      <c r="G11" s="712">
        <f>huishoudens!F8</f>
        <v>0</v>
      </c>
      <c r="H11" s="712">
        <f>huishoudens!G8</f>
        <v>0</v>
      </c>
      <c r="I11" s="712">
        <f>huishoudens!H8</f>
        <v>0</v>
      </c>
      <c r="J11" s="712">
        <f>huishoudens!I8</f>
        <v>0</v>
      </c>
      <c r="K11" s="712">
        <f>huishoudens!J8</f>
        <v>4209.2600276575513</v>
      </c>
      <c r="L11" s="712">
        <f>huishoudens!K8</f>
        <v>0</v>
      </c>
      <c r="M11" s="712">
        <f>huishoudens!L8</f>
        <v>0</v>
      </c>
      <c r="N11" s="712">
        <f>huishoudens!M8</f>
        <v>0</v>
      </c>
      <c r="O11" s="712">
        <f>huishoudens!N8</f>
        <v>12033.178582347839</v>
      </c>
      <c r="P11" s="712">
        <f>huishoudens!O8</f>
        <v>472.18205621411357</v>
      </c>
      <c r="Q11" s="713">
        <f>huishoudens!P8</f>
        <v>621.50359915341642</v>
      </c>
      <c r="R11" s="715">
        <f>SUM(C11:Q11)</f>
        <v>170261.79594899478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97315.279059999986</v>
      </c>
      <c r="D13" s="712">
        <f>industrie!C18</f>
        <v>0</v>
      </c>
      <c r="E13" s="712">
        <f>industrie!D18</f>
        <v>64903.645670049998</v>
      </c>
      <c r="F13" s="712">
        <f>industrie!E18</f>
        <v>15572.519785646447</v>
      </c>
      <c r="G13" s="712">
        <f>industrie!F18</f>
        <v>47649.084780918769</v>
      </c>
      <c r="H13" s="712">
        <f>industrie!G18</f>
        <v>0</v>
      </c>
      <c r="I13" s="712">
        <f>industrie!H18</f>
        <v>0</v>
      </c>
      <c r="J13" s="712">
        <f>industrie!I18</f>
        <v>0</v>
      </c>
      <c r="K13" s="712">
        <f>industrie!J18</f>
        <v>143.50066944232225</v>
      </c>
      <c r="L13" s="712">
        <f>industrie!K18</f>
        <v>0</v>
      </c>
      <c r="M13" s="712">
        <f>industrie!L18</f>
        <v>0</v>
      </c>
      <c r="N13" s="712">
        <f>industrie!M18</f>
        <v>0</v>
      </c>
      <c r="O13" s="712">
        <f>industrie!N18</f>
        <v>4732.7473343299644</v>
      </c>
      <c r="P13" s="712">
        <f>industrie!O18</f>
        <v>0</v>
      </c>
      <c r="Q13" s="713">
        <f>industrie!P18</f>
        <v>0</v>
      </c>
      <c r="R13" s="715">
        <f>SUM(C13:Q13)</f>
        <v>230316.77730038745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181248.94889994088</v>
      </c>
      <c r="D16" s="748">
        <f t="shared" ref="D16:R16" ca="1" si="0">SUM(D9:D15)</f>
        <v>0</v>
      </c>
      <c r="E16" s="748">
        <f t="shared" ca="1" si="0"/>
        <v>208827.163040738</v>
      </c>
      <c r="F16" s="748">
        <f t="shared" si="0"/>
        <v>23790.131126630593</v>
      </c>
      <c r="G16" s="748">
        <f t="shared" ca="1" si="0"/>
        <v>51731.890883214721</v>
      </c>
      <c r="H16" s="748">
        <f t="shared" si="0"/>
        <v>0</v>
      </c>
      <c r="I16" s="748">
        <f t="shared" si="0"/>
        <v>0</v>
      </c>
      <c r="J16" s="748">
        <f t="shared" si="0"/>
        <v>0</v>
      </c>
      <c r="K16" s="748">
        <f t="shared" si="0"/>
        <v>4352.8626976045853</v>
      </c>
      <c r="L16" s="748">
        <f t="shared" si="0"/>
        <v>0</v>
      </c>
      <c r="M16" s="748">
        <f t="shared" ca="1" si="0"/>
        <v>0</v>
      </c>
      <c r="N16" s="748">
        <f t="shared" si="0"/>
        <v>0</v>
      </c>
      <c r="O16" s="748">
        <f t="shared" ca="1" si="0"/>
        <v>20766.931409212866</v>
      </c>
      <c r="P16" s="748">
        <f t="shared" si="0"/>
        <v>506.46288157500169</v>
      </c>
      <c r="Q16" s="748">
        <f t="shared" si="0"/>
        <v>726.58187576640648</v>
      </c>
      <c r="R16" s="748">
        <f t="shared" ca="1" si="0"/>
        <v>491950.97281468299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1434.0725534390808</v>
      </c>
      <c r="I19" s="712">
        <f>transport!H54</f>
        <v>0</v>
      </c>
      <c r="J19" s="712">
        <f>transport!I54</f>
        <v>0</v>
      </c>
      <c r="K19" s="712">
        <f>transport!J54</f>
        <v>0</v>
      </c>
      <c r="L19" s="712">
        <f>transport!K54</f>
        <v>0</v>
      </c>
      <c r="M19" s="712">
        <f>transport!L54</f>
        <v>0</v>
      </c>
      <c r="N19" s="712">
        <f>transport!M54</f>
        <v>79.705911191555543</v>
      </c>
      <c r="O19" s="712">
        <f>transport!N54</f>
        <v>0</v>
      </c>
      <c r="P19" s="712">
        <f>transport!O54</f>
        <v>0</v>
      </c>
      <c r="Q19" s="713">
        <f>transport!P54</f>
        <v>0</v>
      </c>
      <c r="R19" s="715">
        <f>SUM(C19:Q19)</f>
        <v>1513.7784646306363</v>
      </c>
      <c r="S19" s="67"/>
    </row>
    <row r="20" spans="1:19" s="474" customFormat="1">
      <c r="A20" s="834" t="s">
        <v>306</v>
      </c>
      <c r="B20" s="839"/>
      <c r="C20" s="712">
        <f>transport!B14</f>
        <v>129.42703443333335</v>
      </c>
      <c r="D20" s="712">
        <f>transport!C14</f>
        <v>0</v>
      </c>
      <c r="E20" s="712">
        <f>transport!D14</f>
        <v>494.14987253202668</v>
      </c>
      <c r="F20" s="712">
        <f>transport!E14</f>
        <v>436.39148602335416</v>
      </c>
      <c r="G20" s="712">
        <f>transport!F14</f>
        <v>0</v>
      </c>
      <c r="H20" s="712">
        <f>transport!G14</f>
        <v>172627.28592065178</v>
      </c>
      <c r="I20" s="712">
        <f>transport!H14</f>
        <v>37791.221716384542</v>
      </c>
      <c r="J20" s="712">
        <f>transport!I14</f>
        <v>0</v>
      </c>
      <c r="K20" s="712">
        <f>transport!J14</f>
        <v>0</v>
      </c>
      <c r="L20" s="712">
        <f>transport!K14</f>
        <v>0</v>
      </c>
      <c r="M20" s="712">
        <f>transport!L14</f>
        <v>0</v>
      </c>
      <c r="N20" s="712">
        <f>transport!M14</f>
        <v>12437.472289673507</v>
      </c>
      <c r="O20" s="712">
        <f>transport!N14</f>
        <v>0</v>
      </c>
      <c r="P20" s="712">
        <f>transport!O14</f>
        <v>0</v>
      </c>
      <c r="Q20" s="713">
        <f>transport!P14</f>
        <v>0</v>
      </c>
      <c r="R20" s="715">
        <f>SUM(C20:Q20)</f>
        <v>223915.94831969857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129.42703443333335</v>
      </c>
      <c r="D22" s="837">
        <f t="shared" ref="D22:R22" si="1">SUM(D18:D21)</f>
        <v>0</v>
      </c>
      <c r="E22" s="837">
        <f t="shared" si="1"/>
        <v>494.14987253202668</v>
      </c>
      <c r="F22" s="837">
        <f t="shared" si="1"/>
        <v>436.39148602335416</v>
      </c>
      <c r="G22" s="837">
        <f t="shared" si="1"/>
        <v>0</v>
      </c>
      <c r="H22" s="837">
        <f t="shared" si="1"/>
        <v>174061.35847409087</v>
      </c>
      <c r="I22" s="837">
        <f t="shared" si="1"/>
        <v>37791.221716384542</v>
      </c>
      <c r="J22" s="837">
        <f t="shared" si="1"/>
        <v>0</v>
      </c>
      <c r="K22" s="837">
        <f t="shared" si="1"/>
        <v>0</v>
      </c>
      <c r="L22" s="837">
        <f t="shared" si="1"/>
        <v>0</v>
      </c>
      <c r="M22" s="837">
        <f t="shared" si="1"/>
        <v>0</v>
      </c>
      <c r="N22" s="837">
        <f t="shared" si="1"/>
        <v>12517.178200865063</v>
      </c>
      <c r="O22" s="837">
        <f t="shared" si="1"/>
        <v>0</v>
      </c>
      <c r="P22" s="837">
        <f t="shared" si="1"/>
        <v>0</v>
      </c>
      <c r="Q22" s="837">
        <f t="shared" si="1"/>
        <v>0</v>
      </c>
      <c r="R22" s="837">
        <f t="shared" si="1"/>
        <v>225429.72678432919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1399.4385690000001</v>
      </c>
      <c r="D24" s="712">
        <f>+landbouw!C8</f>
        <v>0</v>
      </c>
      <c r="E24" s="712">
        <f>+landbouw!D8</f>
        <v>499.27816813599998</v>
      </c>
      <c r="F24" s="712">
        <f>+landbouw!E8</f>
        <v>43.676016260581491</v>
      </c>
      <c r="G24" s="712">
        <f>+landbouw!F8</f>
        <v>4945.7709284687035</v>
      </c>
      <c r="H24" s="712">
        <f>+landbouw!G8</f>
        <v>0</v>
      </c>
      <c r="I24" s="712">
        <f>+landbouw!H8</f>
        <v>0</v>
      </c>
      <c r="J24" s="712">
        <f>+landbouw!I8</f>
        <v>0</v>
      </c>
      <c r="K24" s="712">
        <f>+landbouw!J8</f>
        <v>385.55503078092181</v>
      </c>
      <c r="L24" s="712">
        <f>+landbouw!K8</f>
        <v>0</v>
      </c>
      <c r="M24" s="712">
        <f>+landbouw!L8</f>
        <v>0</v>
      </c>
      <c r="N24" s="712">
        <f>+landbouw!M8</f>
        <v>0</v>
      </c>
      <c r="O24" s="712">
        <f>+landbouw!N8</f>
        <v>0</v>
      </c>
      <c r="P24" s="712">
        <f>+landbouw!O8</f>
        <v>0</v>
      </c>
      <c r="Q24" s="713">
        <f>+landbouw!P8</f>
        <v>0</v>
      </c>
      <c r="R24" s="715">
        <f>SUM(C24:Q24)</f>
        <v>7273.7187126462068</v>
      </c>
      <c r="S24" s="67"/>
    </row>
    <row r="25" spans="1:19" s="474" customFormat="1" ht="15" thickBot="1">
      <c r="A25" s="856" t="s">
        <v>734</v>
      </c>
      <c r="B25" s="982"/>
      <c r="C25" s="983">
        <f>IF(Onbekend_ele_kWh="---",0,Onbekend_ele_kWh)/1000+IF(REST_rest_ele_kWh="---",0,REST_rest_ele_kWh)/1000</f>
        <v>1238.5380830000001</v>
      </c>
      <c r="D25" s="983"/>
      <c r="E25" s="983">
        <f>IF(onbekend_gas_kWh="---",0,onbekend_gas_kWh)/1000+IF(REST_rest_gas_kWh="---",0,REST_rest_gas_kWh)/1000</f>
        <v>2381.4375030000001</v>
      </c>
      <c r="F25" s="983"/>
      <c r="G25" s="983"/>
      <c r="H25" s="983"/>
      <c r="I25" s="983"/>
      <c r="J25" s="983"/>
      <c r="K25" s="983"/>
      <c r="L25" s="983"/>
      <c r="M25" s="983"/>
      <c r="N25" s="983"/>
      <c r="O25" s="983"/>
      <c r="P25" s="983"/>
      <c r="Q25" s="984"/>
      <c r="R25" s="715">
        <f>SUM(C25:Q25)</f>
        <v>3619.9755860000005</v>
      </c>
      <c r="S25" s="67"/>
    </row>
    <row r="26" spans="1:19" s="474" customFormat="1" ht="15.75" thickBot="1">
      <c r="A26" s="720" t="s">
        <v>735</v>
      </c>
      <c r="B26" s="842"/>
      <c r="C26" s="837">
        <f>SUM(C24:C25)</f>
        <v>2637.9766520000003</v>
      </c>
      <c r="D26" s="837">
        <f t="shared" ref="D26:R26" si="2">SUM(D24:D25)</f>
        <v>0</v>
      </c>
      <c r="E26" s="837">
        <f t="shared" si="2"/>
        <v>2880.7156711360003</v>
      </c>
      <c r="F26" s="837">
        <f t="shared" si="2"/>
        <v>43.676016260581491</v>
      </c>
      <c r="G26" s="837">
        <f t="shared" si="2"/>
        <v>4945.7709284687035</v>
      </c>
      <c r="H26" s="837">
        <f t="shared" si="2"/>
        <v>0</v>
      </c>
      <c r="I26" s="837">
        <f t="shared" si="2"/>
        <v>0</v>
      </c>
      <c r="J26" s="837">
        <f t="shared" si="2"/>
        <v>0</v>
      </c>
      <c r="K26" s="837">
        <f t="shared" si="2"/>
        <v>385.55503078092181</v>
      </c>
      <c r="L26" s="837">
        <f t="shared" si="2"/>
        <v>0</v>
      </c>
      <c r="M26" s="837">
        <f t="shared" si="2"/>
        <v>0</v>
      </c>
      <c r="N26" s="837">
        <f t="shared" si="2"/>
        <v>0</v>
      </c>
      <c r="O26" s="837">
        <f t="shared" si="2"/>
        <v>0</v>
      </c>
      <c r="P26" s="837">
        <f t="shared" si="2"/>
        <v>0</v>
      </c>
      <c r="Q26" s="837">
        <f t="shared" si="2"/>
        <v>0</v>
      </c>
      <c r="R26" s="837">
        <f t="shared" si="2"/>
        <v>10893.694298646207</v>
      </c>
      <c r="S26" s="67"/>
    </row>
    <row r="27" spans="1:19" s="474" customFormat="1" ht="17.25" thickTop="1" thickBot="1">
      <c r="A27" s="721" t="s">
        <v>115</v>
      </c>
      <c r="B27" s="829"/>
      <c r="C27" s="722">
        <f ca="1">C22+C16+C26</f>
        <v>184016.35258637421</v>
      </c>
      <c r="D27" s="722">
        <f t="shared" ref="D27:R27" ca="1" si="3">D22+D16+D26</f>
        <v>0</v>
      </c>
      <c r="E27" s="722">
        <f t="shared" ca="1" si="3"/>
        <v>212202.02858440601</v>
      </c>
      <c r="F27" s="722">
        <f t="shared" si="3"/>
        <v>24270.198628914528</v>
      </c>
      <c r="G27" s="722">
        <f t="shared" ca="1" si="3"/>
        <v>56677.661811683422</v>
      </c>
      <c r="H27" s="722">
        <f t="shared" si="3"/>
        <v>174061.35847409087</v>
      </c>
      <c r="I27" s="722">
        <f t="shared" si="3"/>
        <v>37791.221716384542</v>
      </c>
      <c r="J27" s="722">
        <f t="shared" si="3"/>
        <v>0</v>
      </c>
      <c r="K27" s="722">
        <f t="shared" si="3"/>
        <v>4738.417728385507</v>
      </c>
      <c r="L27" s="722">
        <f t="shared" si="3"/>
        <v>0</v>
      </c>
      <c r="M27" s="722">
        <f t="shared" ca="1" si="3"/>
        <v>0</v>
      </c>
      <c r="N27" s="722">
        <f t="shared" si="3"/>
        <v>12517.178200865063</v>
      </c>
      <c r="O27" s="722">
        <f t="shared" ca="1" si="3"/>
        <v>20766.931409212866</v>
      </c>
      <c r="P27" s="722">
        <f t="shared" si="3"/>
        <v>506.46288157500169</v>
      </c>
      <c r="Q27" s="722">
        <f t="shared" si="3"/>
        <v>726.58187576640648</v>
      </c>
      <c r="R27" s="722">
        <f t="shared" ca="1" si="3"/>
        <v>728274.39389765833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7895.8678918611467</v>
      </c>
      <c r="D40" s="712">
        <f ca="1">tertiair!C20</f>
        <v>0</v>
      </c>
      <c r="E40" s="712">
        <f ca="1">tertiair!D20</f>
        <v>9145.0862981501759</v>
      </c>
      <c r="F40" s="712">
        <f>tertiair!E20</f>
        <v>123.68062554962125</v>
      </c>
      <c r="G40" s="712">
        <f ca="1">tertiair!F20</f>
        <v>1090.1092293130189</v>
      </c>
      <c r="H40" s="712">
        <f>tertiair!G20</f>
        <v>0</v>
      </c>
      <c r="I40" s="712">
        <f>tertiair!H20</f>
        <v>0</v>
      </c>
      <c r="J40" s="712">
        <f>tertiair!I20</f>
        <v>0</v>
      </c>
      <c r="K40" s="712">
        <f>tertiair!J20</f>
        <v>3.6108178667969566E-2</v>
      </c>
      <c r="L40" s="712">
        <f>tertiair!K20</f>
        <v>0</v>
      </c>
      <c r="M40" s="712">
        <f ca="1">tertiair!L20</f>
        <v>0</v>
      </c>
      <c r="N40" s="712">
        <f>tertiair!M20</f>
        <v>0</v>
      </c>
      <c r="O40" s="712">
        <f ca="1">tertiair!N20</f>
        <v>0</v>
      </c>
      <c r="P40" s="712">
        <f>tertiair!O20</f>
        <v>0</v>
      </c>
      <c r="Q40" s="795">
        <f>tertiair!P20</f>
        <v>0</v>
      </c>
      <c r="R40" s="875">
        <f t="shared" ca="1" si="4"/>
        <v>18254.780153052634</v>
      </c>
    </row>
    <row r="41" spans="1:18">
      <c r="A41" s="847" t="s">
        <v>224</v>
      </c>
      <c r="B41" s="854"/>
      <c r="C41" s="712">
        <f ca="1">huishoudens!B12</f>
        <v>9856.6429286145085</v>
      </c>
      <c r="D41" s="712">
        <f ca="1">huishoudens!C12</f>
        <v>0</v>
      </c>
      <c r="E41" s="712">
        <f>huishoudens!D12</f>
        <v>19927.464210728802</v>
      </c>
      <c r="F41" s="712">
        <f>huishoudens!E12</f>
        <v>1741.7171488537799</v>
      </c>
      <c r="G41" s="712">
        <f>huishoudens!F12</f>
        <v>0</v>
      </c>
      <c r="H41" s="712">
        <f>huishoudens!G12</f>
        <v>0</v>
      </c>
      <c r="I41" s="712">
        <f>huishoudens!H12</f>
        <v>0</v>
      </c>
      <c r="J41" s="712">
        <f>huishoudens!I12</f>
        <v>0</v>
      </c>
      <c r="K41" s="712">
        <f>huishoudens!J12</f>
        <v>1490.0780497907731</v>
      </c>
      <c r="L41" s="712">
        <f>huishoudens!K12</f>
        <v>0</v>
      </c>
      <c r="M41" s="712">
        <f>huishoudens!L12</f>
        <v>0</v>
      </c>
      <c r="N41" s="712">
        <f>huishoudens!M12</f>
        <v>0</v>
      </c>
      <c r="O41" s="712">
        <f>huishoudens!N12</f>
        <v>0</v>
      </c>
      <c r="P41" s="712">
        <f>huishoudens!O12</f>
        <v>0</v>
      </c>
      <c r="Q41" s="795">
        <f>huishoudens!P12</f>
        <v>0</v>
      </c>
      <c r="R41" s="875">
        <f t="shared" ca="1" si="4"/>
        <v>33015.902337987864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20582.807207223559</v>
      </c>
      <c r="D43" s="712">
        <f ca="1">industrie!C22</f>
        <v>0</v>
      </c>
      <c r="E43" s="712">
        <f>industrie!D22</f>
        <v>13110.536425350101</v>
      </c>
      <c r="F43" s="712">
        <f>industrie!E22</f>
        <v>3534.9619913417437</v>
      </c>
      <c r="G43" s="712">
        <f>industrie!F22</f>
        <v>12722.305636505313</v>
      </c>
      <c r="H43" s="712">
        <f>industrie!G22</f>
        <v>0</v>
      </c>
      <c r="I43" s="712">
        <f>industrie!H22</f>
        <v>0</v>
      </c>
      <c r="J43" s="712">
        <f>industrie!I22</f>
        <v>0</v>
      </c>
      <c r="K43" s="712">
        <f>industrie!J22</f>
        <v>50.799236982582073</v>
      </c>
      <c r="L43" s="712">
        <f>industrie!K22</f>
        <v>0</v>
      </c>
      <c r="M43" s="712">
        <f>industrie!L22</f>
        <v>0</v>
      </c>
      <c r="N43" s="712">
        <f>industrie!M22</f>
        <v>0</v>
      </c>
      <c r="O43" s="712">
        <f>industrie!N22</f>
        <v>0</v>
      </c>
      <c r="P43" s="712">
        <f>industrie!O22</f>
        <v>0</v>
      </c>
      <c r="Q43" s="795">
        <f>industrie!P22</f>
        <v>0</v>
      </c>
      <c r="R43" s="874">
        <f t="shared" ca="1" si="4"/>
        <v>50001.410497403296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38335.318027699213</v>
      </c>
      <c r="D46" s="748">
        <f t="shared" ref="D46:Q46" ca="1" si="5">SUM(D39:D45)</f>
        <v>0</v>
      </c>
      <c r="E46" s="748">
        <f t="shared" ca="1" si="5"/>
        <v>42183.086934229083</v>
      </c>
      <c r="F46" s="748">
        <f t="shared" si="5"/>
        <v>5400.3597657451446</v>
      </c>
      <c r="G46" s="748">
        <f t="shared" ca="1" si="5"/>
        <v>13812.414865818331</v>
      </c>
      <c r="H46" s="748">
        <f t="shared" si="5"/>
        <v>0</v>
      </c>
      <c r="I46" s="748">
        <f t="shared" si="5"/>
        <v>0</v>
      </c>
      <c r="J46" s="748">
        <f t="shared" si="5"/>
        <v>0</v>
      </c>
      <c r="K46" s="748">
        <f t="shared" si="5"/>
        <v>1540.9133949520231</v>
      </c>
      <c r="L46" s="748">
        <f t="shared" si="5"/>
        <v>0</v>
      </c>
      <c r="M46" s="748">
        <f t="shared" ca="1" si="5"/>
        <v>0</v>
      </c>
      <c r="N46" s="748">
        <f t="shared" si="5"/>
        <v>0</v>
      </c>
      <c r="O46" s="748">
        <f t="shared" ca="1" si="5"/>
        <v>0</v>
      </c>
      <c r="P46" s="748">
        <f t="shared" si="5"/>
        <v>0</v>
      </c>
      <c r="Q46" s="748">
        <f t="shared" si="5"/>
        <v>0</v>
      </c>
      <c r="R46" s="748">
        <f ca="1">SUM(R39:R45)</f>
        <v>101272.09298844379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382.89737176823462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382.89737176823462</v>
      </c>
    </row>
    <row r="50" spans="1:18">
      <c r="A50" s="850" t="s">
        <v>306</v>
      </c>
      <c r="B50" s="860"/>
      <c r="C50" s="718">
        <f ca="1">transport!B18</f>
        <v>27.374649930372254</v>
      </c>
      <c r="D50" s="718">
        <f>transport!C18</f>
        <v>0</v>
      </c>
      <c r="E50" s="718">
        <f>transport!D18</f>
        <v>99.81827425146939</v>
      </c>
      <c r="F50" s="718">
        <f>transport!E18</f>
        <v>99.060867327301395</v>
      </c>
      <c r="G50" s="718">
        <f>transport!F18</f>
        <v>0</v>
      </c>
      <c r="H50" s="718">
        <f>transport!G18</f>
        <v>46091.485340814026</v>
      </c>
      <c r="I50" s="718">
        <f>transport!H18</f>
        <v>9410.0142073797506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55727.753339702918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27.374649930372254</v>
      </c>
      <c r="D52" s="748">
        <f t="shared" ref="D52:Q52" ca="1" si="6">SUM(D48:D51)</f>
        <v>0</v>
      </c>
      <c r="E52" s="748">
        <f t="shared" si="6"/>
        <v>99.81827425146939</v>
      </c>
      <c r="F52" s="748">
        <f t="shared" si="6"/>
        <v>99.060867327301395</v>
      </c>
      <c r="G52" s="748">
        <f t="shared" si="6"/>
        <v>0</v>
      </c>
      <c r="H52" s="748">
        <f t="shared" si="6"/>
        <v>46474.382712582257</v>
      </c>
      <c r="I52" s="748">
        <f t="shared" si="6"/>
        <v>9410.0142073797506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56110.650711471149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295.99025499706386</v>
      </c>
      <c r="D54" s="718">
        <f ca="1">+landbouw!C12</f>
        <v>0</v>
      </c>
      <c r="E54" s="718">
        <f>+landbouw!D12</f>
        <v>100.854189963472</v>
      </c>
      <c r="F54" s="718">
        <f>+landbouw!E12</f>
        <v>9.9144556911519981</v>
      </c>
      <c r="G54" s="718">
        <f>+landbouw!F12</f>
        <v>1320.520837901144</v>
      </c>
      <c r="H54" s="718">
        <f>+landbouw!G12</f>
        <v>0</v>
      </c>
      <c r="I54" s="718">
        <f>+landbouw!H12</f>
        <v>0</v>
      </c>
      <c r="J54" s="718">
        <f>+landbouw!I12</f>
        <v>0</v>
      </c>
      <c r="K54" s="718">
        <f>+landbouw!J12</f>
        <v>136.48648089644632</v>
      </c>
      <c r="L54" s="718">
        <f>+landbouw!K12</f>
        <v>0</v>
      </c>
      <c r="M54" s="718">
        <f>+landbouw!L12</f>
        <v>0</v>
      </c>
      <c r="N54" s="718">
        <f>+landbouw!M12</f>
        <v>0</v>
      </c>
      <c r="O54" s="718">
        <f>+landbouw!N12</f>
        <v>0</v>
      </c>
      <c r="P54" s="718">
        <f>+landbouw!O12</f>
        <v>0</v>
      </c>
      <c r="Q54" s="719">
        <f>+landbouw!P12</f>
        <v>0</v>
      </c>
      <c r="R54" s="747">
        <f ca="1">SUM(C54:Q54)</f>
        <v>1863.7662194492782</v>
      </c>
    </row>
    <row r="55" spans="1:18" ht="15" thickBot="1">
      <c r="A55" s="850" t="s">
        <v>734</v>
      </c>
      <c r="B55" s="860"/>
      <c r="C55" s="718">
        <f ca="1">C25*'EF ele_warmte'!B12</f>
        <v>261.95876770261049</v>
      </c>
      <c r="D55" s="718"/>
      <c r="E55" s="718">
        <f>E25*EF_CO2_aardgas</f>
        <v>481.05037560600005</v>
      </c>
      <c r="F55" s="718"/>
      <c r="G55" s="718"/>
      <c r="H55" s="718"/>
      <c r="I55" s="718"/>
      <c r="J55" s="718"/>
      <c r="K55" s="718"/>
      <c r="L55" s="718"/>
      <c r="M55" s="718"/>
      <c r="N55" s="718"/>
      <c r="O55" s="718"/>
      <c r="P55" s="718"/>
      <c r="Q55" s="719"/>
      <c r="R55" s="747">
        <f ca="1">SUM(C55:Q55)</f>
        <v>743.00914330861053</v>
      </c>
    </row>
    <row r="56" spans="1:18" ht="15.75" thickBot="1">
      <c r="A56" s="848" t="s">
        <v>735</v>
      </c>
      <c r="B56" s="861"/>
      <c r="C56" s="748">
        <f ca="1">SUM(C54:C55)</f>
        <v>557.94902269967429</v>
      </c>
      <c r="D56" s="748">
        <f t="shared" ref="D56:Q56" ca="1" si="7">SUM(D54:D55)</f>
        <v>0</v>
      </c>
      <c r="E56" s="748">
        <f t="shared" si="7"/>
        <v>581.90456556947208</v>
      </c>
      <c r="F56" s="748">
        <f t="shared" si="7"/>
        <v>9.9144556911519981</v>
      </c>
      <c r="G56" s="748">
        <f t="shared" si="7"/>
        <v>1320.520837901144</v>
      </c>
      <c r="H56" s="748">
        <f t="shared" si="7"/>
        <v>0</v>
      </c>
      <c r="I56" s="748">
        <f t="shared" si="7"/>
        <v>0</v>
      </c>
      <c r="J56" s="748">
        <f t="shared" si="7"/>
        <v>0</v>
      </c>
      <c r="K56" s="748">
        <f t="shared" si="7"/>
        <v>136.48648089644632</v>
      </c>
      <c r="L56" s="748">
        <f t="shared" si="7"/>
        <v>0</v>
      </c>
      <c r="M56" s="748">
        <f t="shared" si="7"/>
        <v>0</v>
      </c>
      <c r="N56" s="748">
        <f t="shared" si="7"/>
        <v>0</v>
      </c>
      <c r="O56" s="748">
        <f t="shared" si="7"/>
        <v>0</v>
      </c>
      <c r="P56" s="748">
        <f t="shared" si="7"/>
        <v>0</v>
      </c>
      <c r="Q56" s="749">
        <f t="shared" si="7"/>
        <v>0</v>
      </c>
      <c r="R56" s="750">
        <f ca="1">SUM(R54:R55)</f>
        <v>2606.7753627578886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38920.641700329259</v>
      </c>
      <c r="D61" s="756">
        <f t="shared" ref="D61:Q61" ca="1" si="8">D46+D52+D56</f>
        <v>0</v>
      </c>
      <c r="E61" s="756">
        <f t="shared" ca="1" si="8"/>
        <v>42864.809774050023</v>
      </c>
      <c r="F61" s="756">
        <f t="shared" si="8"/>
        <v>5509.3350887635988</v>
      </c>
      <c r="G61" s="756">
        <f t="shared" ca="1" si="8"/>
        <v>15132.935703719475</v>
      </c>
      <c r="H61" s="756">
        <f t="shared" si="8"/>
        <v>46474.382712582257</v>
      </c>
      <c r="I61" s="756">
        <f t="shared" si="8"/>
        <v>9410.0142073797506</v>
      </c>
      <c r="J61" s="756">
        <f t="shared" si="8"/>
        <v>0</v>
      </c>
      <c r="K61" s="756">
        <f t="shared" si="8"/>
        <v>1677.3998758484695</v>
      </c>
      <c r="L61" s="756">
        <f t="shared" si="8"/>
        <v>0</v>
      </c>
      <c r="M61" s="756">
        <f t="shared" ca="1" si="8"/>
        <v>0</v>
      </c>
      <c r="N61" s="756">
        <f t="shared" si="8"/>
        <v>0</v>
      </c>
      <c r="O61" s="756">
        <f t="shared" ca="1" si="8"/>
        <v>0</v>
      </c>
      <c r="P61" s="756">
        <f t="shared" si="8"/>
        <v>0</v>
      </c>
      <c r="Q61" s="756">
        <f t="shared" si="8"/>
        <v>0</v>
      </c>
      <c r="R61" s="756">
        <f ca="1">R46+R52+R56</f>
        <v>159989.51906267283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0.21150642947376408</v>
      </c>
      <c r="D63" s="802">
        <f t="shared" ca="1" si="9"/>
        <v>0</v>
      </c>
      <c r="E63" s="1008">
        <f t="shared" ca="1" si="9"/>
        <v>0.20200000000000004</v>
      </c>
      <c r="F63" s="802">
        <f t="shared" si="9"/>
        <v>0.22700000000000004</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7904.8516799069876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7904.8516799069876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7904.8516799069876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7904.8516799069876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46602.095988940884</v>
      </c>
      <c r="C4" s="478">
        <f>huishoudens!C8</f>
        <v>0</v>
      </c>
      <c r="D4" s="478">
        <f>huishoudens!D8</f>
        <v>98650.812924400001</v>
      </c>
      <c r="E4" s="478">
        <f>huishoudens!E8</f>
        <v>7672.7627702809687</v>
      </c>
      <c r="F4" s="478">
        <f>huishoudens!F8</f>
        <v>0</v>
      </c>
      <c r="G4" s="478">
        <f>huishoudens!G8</f>
        <v>0</v>
      </c>
      <c r="H4" s="478">
        <f>huishoudens!H8</f>
        <v>0</v>
      </c>
      <c r="I4" s="478">
        <f>huishoudens!I8</f>
        <v>0</v>
      </c>
      <c r="J4" s="478">
        <f>huishoudens!J8</f>
        <v>4209.2600276575513</v>
      </c>
      <c r="K4" s="478">
        <f>huishoudens!K8</f>
        <v>0</v>
      </c>
      <c r="L4" s="478">
        <f>huishoudens!L8</f>
        <v>0</v>
      </c>
      <c r="M4" s="478">
        <f>huishoudens!M8</f>
        <v>0</v>
      </c>
      <c r="N4" s="478">
        <f>huishoudens!N8</f>
        <v>12033.178582347839</v>
      </c>
      <c r="O4" s="478">
        <f>huishoudens!O8</f>
        <v>472.18205621411357</v>
      </c>
      <c r="P4" s="479">
        <f>huishoudens!P8</f>
        <v>621.50359915341642</v>
      </c>
      <c r="Q4" s="480">
        <f>SUM(B4:P4)</f>
        <v>170261.79594899478</v>
      </c>
    </row>
    <row r="5" spans="1:17">
      <c r="A5" s="477" t="s">
        <v>155</v>
      </c>
      <c r="B5" s="478">
        <f ca="1">tertiair!B16</f>
        <v>35479.624851</v>
      </c>
      <c r="C5" s="478">
        <f ca="1">tertiair!C16</f>
        <v>0</v>
      </c>
      <c r="D5" s="478">
        <f ca="1">tertiair!D16</f>
        <v>45272.704446288</v>
      </c>
      <c r="E5" s="478">
        <f>tertiair!E16</f>
        <v>544.8485707031773</v>
      </c>
      <c r="F5" s="478">
        <f ca="1">tertiair!F16</f>
        <v>4082.806102295951</v>
      </c>
      <c r="G5" s="478">
        <f>tertiair!G16</f>
        <v>0</v>
      </c>
      <c r="H5" s="478">
        <f>tertiair!H16</f>
        <v>0</v>
      </c>
      <c r="I5" s="478">
        <f>tertiair!I16</f>
        <v>0</v>
      </c>
      <c r="J5" s="478">
        <f>tertiair!J16</f>
        <v>0.10200050471177843</v>
      </c>
      <c r="K5" s="478">
        <f>tertiair!K16</f>
        <v>0</v>
      </c>
      <c r="L5" s="478">
        <f ca="1">tertiair!L16</f>
        <v>0</v>
      </c>
      <c r="M5" s="478">
        <f>tertiair!M16</f>
        <v>0</v>
      </c>
      <c r="N5" s="478">
        <f ca="1">tertiair!N16</f>
        <v>4001.0054925350641</v>
      </c>
      <c r="O5" s="478">
        <f>tertiair!O16</f>
        <v>34.280825360888088</v>
      </c>
      <c r="P5" s="479">
        <f>tertiair!P16</f>
        <v>105.07827661299004</v>
      </c>
      <c r="Q5" s="477">
        <f t="shared" ref="Q5:Q14" ca="1" si="0">SUM(B5:P5)</f>
        <v>89520.45056530078</v>
      </c>
    </row>
    <row r="6" spans="1:17">
      <c r="A6" s="477" t="s">
        <v>193</v>
      </c>
      <c r="B6" s="478">
        <f>'openbare verlichting'!B8</f>
        <v>1851.9490000000001</v>
      </c>
      <c r="C6" s="478"/>
      <c r="D6" s="478"/>
      <c r="E6" s="478"/>
      <c r="F6" s="478"/>
      <c r="G6" s="478"/>
      <c r="H6" s="478"/>
      <c r="I6" s="478"/>
      <c r="J6" s="478"/>
      <c r="K6" s="478"/>
      <c r="L6" s="478"/>
      <c r="M6" s="478"/>
      <c r="N6" s="478"/>
      <c r="O6" s="478"/>
      <c r="P6" s="479"/>
      <c r="Q6" s="477">
        <f t="shared" si="0"/>
        <v>1851.9490000000001</v>
      </c>
    </row>
    <row r="7" spans="1:17">
      <c r="A7" s="477" t="s">
        <v>111</v>
      </c>
      <c r="B7" s="478">
        <f>landbouw!B8</f>
        <v>1399.4385690000001</v>
      </c>
      <c r="C7" s="478">
        <f>landbouw!C8</f>
        <v>0</v>
      </c>
      <c r="D7" s="478">
        <f>landbouw!D8</f>
        <v>499.27816813599998</v>
      </c>
      <c r="E7" s="478">
        <f>landbouw!E8</f>
        <v>43.676016260581491</v>
      </c>
      <c r="F7" s="478">
        <f>landbouw!F8</f>
        <v>4945.7709284687035</v>
      </c>
      <c r="G7" s="478">
        <f>landbouw!G8</f>
        <v>0</v>
      </c>
      <c r="H7" s="478">
        <f>landbouw!H8</f>
        <v>0</v>
      </c>
      <c r="I7" s="478">
        <f>landbouw!I8</f>
        <v>0</v>
      </c>
      <c r="J7" s="478">
        <f>landbouw!J8</f>
        <v>385.55503078092181</v>
      </c>
      <c r="K7" s="478">
        <f>landbouw!K8</f>
        <v>0</v>
      </c>
      <c r="L7" s="478">
        <f>landbouw!L8</f>
        <v>0</v>
      </c>
      <c r="M7" s="478">
        <f>landbouw!M8</f>
        <v>0</v>
      </c>
      <c r="N7" s="478">
        <f>landbouw!N8</f>
        <v>0</v>
      </c>
      <c r="O7" s="478">
        <f>landbouw!O8</f>
        <v>0</v>
      </c>
      <c r="P7" s="479">
        <f>landbouw!P8</f>
        <v>0</v>
      </c>
      <c r="Q7" s="477">
        <f t="shared" si="0"/>
        <v>7273.7187126462068</v>
      </c>
    </row>
    <row r="8" spans="1:17">
      <c r="A8" s="477" t="s">
        <v>629</v>
      </c>
      <c r="B8" s="478">
        <f>industrie!B18</f>
        <v>97315.279059999986</v>
      </c>
      <c r="C8" s="478">
        <f>industrie!C18</f>
        <v>0</v>
      </c>
      <c r="D8" s="478">
        <f>industrie!D18</f>
        <v>64903.645670049998</v>
      </c>
      <c r="E8" s="478">
        <f>industrie!E18</f>
        <v>15572.519785646447</v>
      </c>
      <c r="F8" s="478">
        <f>industrie!F18</f>
        <v>47649.084780918769</v>
      </c>
      <c r="G8" s="478">
        <f>industrie!G18</f>
        <v>0</v>
      </c>
      <c r="H8" s="478">
        <f>industrie!H18</f>
        <v>0</v>
      </c>
      <c r="I8" s="478">
        <f>industrie!I18</f>
        <v>0</v>
      </c>
      <c r="J8" s="478">
        <f>industrie!J18</f>
        <v>143.50066944232225</v>
      </c>
      <c r="K8" s="478">
        <f>industrie!K18</f>
        <v>0</v>
      </c>
      <c r="L8" s="478">
        <f>industrie!L18</f>
        <v>0</v>
      </c>
      <c r="M8" s="478">
        <f>industrie!M18</f>
        <v>0</v>
      </c>
      <c r="N8" s="478">
        <f>industrie!N18</f>
        <v>4732.7473343299644</v>
      </c>
      <c r="O8" s="478">
        <f>industrie!O18</f>
        <v>0</v>
      </c>
      <c r="P8" s="479">
        <f>industrie!P18</f>
        <v>0</v>
      </c>
      <c r="Q8" s="477">
        <f t="shared" si="0"/>
        <v>230316.77730038745</v>
      </c>
    </row>
    <row r="9" spans="1:17" s="483" customFormat="1">
      <c r="A9" s="481" t="s">
        <v>555</v>
      </c>
      <c r="B9" s="482">
        <f>transport!B14</f>
        <v>129.42703443333335</v>
      </c>
      <c r="C9" s="482">
        <f>transport!C14</f>
        <v>0</v>
      </c>
      <c r="D9" s="482">
        <f>transport!D14</f>
        <v>494.14987253202668</v>
      </c>
      <c r="E9" s="482">
        <f>transport!E14</f>
        <v>436.39148602335416</v>
      </c>
      <c r="F9" s="482">
        <f>transport!F14</f>
        <v>0</v>
      </c>
      <c r="G9" s="482">
        <f>transport!G14</f>
        <v>172627.28592065178</v>
      </c>
      <c r="H9" s="482">
        <f>transport!H14</f>
        <v>37791.221716384542</v>
      </c>
      <c r="I9" s="482">
        <f>transport!I14</f>
        <v>0</v>
      </c>
      <c r="J9" s="482">
        <f>transport!J14</f>
        <v>0</v>
      </c>
      <c r="K9" s="482">
        <f>transport!K14</f>
        <v>0</v>
      </c>
      <c r="L9" s="482">
        <f>transport!L14</f>
        <v>0</v>
      </c>
      <c r="M9" s="482">
        <f>transport!M14</f>
        <v>12437.472289673507</v>
      </c>
      <c r="N9" s="482">
        <f>transport!N14</f>
        <v>0</v>
      </c>
      <c r="O9" s="482">
        <f>transport!O14</f>
        <v>0</v>
      </c>
      <c r="P9" s="482">
        <f>transport!P14</f>
        <v>0</v>
      </c>
      <c r="Q9" s="481">
        <f>SUM(B9:P9)</f>
        <v>223915.94831969857</v>
      </c>
    </row>
    <row r="10" spans="1:17">
      <c r="A10" s="477" t="s">
        <v>545</v>
      </c>
      <c r="B10" s="478">
        <f>transport!B54</f>
        <v>0</v>
      </c>
      <c r="C10" s="478">
        <f>transport!C54</f>
        <v>0</v>
      </c>
      <c r="D10" s="478">
        <f>transport!D54</f>
        <v>0</v>
      </c>
      <c r="E10" s="478">
        <f>transport!E54</f>
        <v>0</v>
      </c>
      <c r="F10" s="478">
        <f>transport!F54</f>
        <v>0</v>
      </c>
      <c r="G10" s="478">
        <f>transport!G54</f>
        <v>1434.0725534390808</v>
      </c>
      <c r="H10" s="478">
        <f>transport!H54</f>
        <v>0</v>
      </c>
      <c r="I10" s="478">
        <f>transport!I54</f>
        <v>0</v>
      </c>
      <c r="J10" s="478">
        <f>transport!J54</f>
        <v>0</v>
      </c>
      <c r="K10" s="478">
        <f>transport!K54</f>
        <v>0</v>
      </c>
      <c r="L10" s="478">
        <f>transport!L54</f>
        <v>0</v>
      </c>
      <c r="M10" s="478">
        <f>transport!M54</f>
        <v>79.705911191555543</v>
      </c>
      <c r="N10" s="478">
        <f>transport!N54</f>
        <v>0</v>
      </c>
      <c r="O10" s="478">
        <f>transport!O54</f>
        <v>0</v>
      </c>
      <c r="P10" s="479">
        <f>transport!P54</f>
        <v>0</v>
      </c>
      <c r="Q10" s="477">
        <f t="shared" si="0"/>
        <v>1513.7784646306363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1238.5380830000001</v>
      </c>
      <c r="C14" s="485"/>
      <c r="D14" s="485">
        <f>'SEAP template'!E25</f>
        <v>2381.4375030000001</v>
      </c>
      <c r="E14" s="485"/>
      <c r="F14" s="485"/>
      <c r="G14" s="485"/>
      <c r="H14" s="485"/>
      <c r="I14" s="485"/>
      <c r="J14" s="485"/>
      <c r="K14" s="485"/>
      <c r="L14" s="485"/>
      <c r="M14" s="485"/>
      <c r="N14" s="485"/>
      <c r="O14" s="485"/>
      <c r="P14" s="486"/>
      <c r="Q14" s="477">
        <f t="shared" si="0"/>
        <v>3619.9755860000005</v>
      </c>
    </row>
    <row r="15" spans="1:17" s="489" customFormat="1">
      <c r="A15" s="487" t="s">
        <v>549</v>
      </c>
      <c r="B15" s="488">
        <f ca="1">SUM(B4:B14)</f>
        <v>184016.35258637418</v>
      </c>
      <c r="C15" s="488">
        <f t="shared" ref="C15:Q15" ca="1" si="1">SUM(C4:C14)</f>
        <v>0</v>
      </c>
      <c r="D15" s="488">
        <f t="shared" ca="1" si="1"/>
        <v>212202.02858440601</v>
      </c>
      <c r="E15" s="488">
        <f t="shared" si="1"/>
        <v>24270.198628914528</v>
      </c>
      <c r="F15" s="488">
        <f t="shared" ca="1" si="1"/>
        <v>56677.661811683422</v>
      </c>
      <c r="G15" s="488">
        <f t="shared" si="1"/>
        <v>174061.35847409087</v>
      </c>
      <c r="H15" s="488">
        <f t="shared" si="1"/>
        <v>37791.221716384542</v>
      </c>
      <c r="I15" s="488">
        <f t="shared" si="1"/>
        <v>0</v>
      </c>
      <c r="J15" s="488">
        <f t="shared" si="1"/>
        <v>4738.417728385507</v>
      </c>
      <c r="K15" s="488">
        <f t="shared" si="1"/>
        <v>0</v>
      </c>
      <c r="L15" s="488">
        <f t="shared" ca="1" si="1"/>
        <v>0</v>
      </c>
      <c r="M15" s="488">
        <f t="shared" si="1"/>
        <v>12517.178200865063</v>
      </c>
      <c r="N15" s="488">
        <f t="shared" ca="1" si="1"/>
        <v>20766.931409212866</v>
      </c>
      <c r="O15" s="488">
        <f t="shared" si="1"/>
        <v>506.46288157500169</v>
      </c>
      <c r="P15" s="488">
        <f t="shared" si="1"/>
        <v>726.58187576640648</v>
      </c>
      <c r="Q15" s="488">
        <f t="shared" ca="1" si="1"/>
        <v>728274.39389765845</v>
      </c>
    </row>
    <row r="17" spans="1:17">
      <c r="A17" s="490" t="s">
        <v>550</v>
      </c>
      <c r="B17" s="807">
        <f ca="1">huishoudens!B10</f>
        <v>0.21150642947376408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9856.6429286145085</v>
      </c>
      <c r="C22" s="478">
        <f t="shared" ref="C22:C32" ca="1" si="3">C4*$C$17</f>
        <v>0</v>
      </c>
      <c r="D22" s="478">
        <f t="shared" ref="D22:D32" si="4">D4*$D$17</f>
        <v>19927.464210728802</v>
      </c>
      <c r="E22" s="478">
        <f t="shared" ref="E22:E32" si="5">E4*$E$17</f>
        <v>1741.7171488537799</v>
      </c>
      <c r="F22" s="478">
        <f t="shared" ref="F22:F32" si="6">F4*$F$17</f>
        <v>0</v>
      </c>
      <c r="G22" s="478">
        <f t="shared" ref="G22:G32" si="7">G4*$G$17</f>
        <v>0</v>
      </c>
      <c r="H22" s="478">
        <f t="shared" ref="H22:H32" si="8">H4*$H$17</f>
        <v>0</v>
      </c>
      <c r="I22" s="478">
        <f t="shared" ref="I22:I32" si="9">I4*$I$17</f>
        <v>0</v>
      </c>
      <c r="J22" s="478">
        <f t="shared" ref="J22:J32" si="10">J4*$J$17</f>
        <v>1490.0780497907731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33015.902337987864</v>
      </c>
    </row>
    <row r="23" spans="1:17">
      <c r="A23" s="477" t="s">
        <v>155</v>
      </c>
      <c r="B23" s="478">
        <f t="shared" ca="1" si="2"/>
        <v>7504.168771303639</v>
      </c>
      <c r="C23" s="478">
        <f t="shared" ca="1" si="3"/>
        <v>0</v>
      </c>
      <c r="D23" s="478">
        <f t="shared" ca="1" si="4"/>
        <v>9145.0862981501759</v>
      </c>
      <c r="E23" s="478">
        <f t="shared" si="5"/>
        <v>123.68062554962125</v>
      </c>
      <c r="F23" s="478">
        <f t="shared" ca="1" si="6"/>
        <v>1090.1092293130189</v>
      </c>
      <c r="G23" s="478">
        <f t="shared" si="7"/>
        <v>0</v>
      </c>
      <c r="H23" s="478">
        <f t="shared" si="8"/>
        <v>0</v>
      </c>
      <c r="I23" s="478">
        <f t="shared" si="9"/>
        <v>0</v>
      </c>
      <c r="J23" s="478">
        <f t="shared" si="10"/>
        <v>3.6108178667969566E-2</v>
      </c>
      <c r="K23" s="478">
        <f t="shared" si="11"/>
        <v>0</v>
      </c>
      <c r="L23" s="478">
        <f t="shared" ca="1" si="12"/>
        <v>0</v>
      </c>
      <c r="M23" s="478">
        <f t="shared" si="13"/>
        <v>0</v>
      </c>
      <c r="N23" s="478">
        <f t="shared" ca="1" si="14"/>
        <v>0</v>
      </c>
      <c r="O23" s="478">
        <f t="shared" si="15"/>
        <v>0</v>
      </c>
      <c r="P23" s="479">
        <f t="shared" si="16"/>
        <v>0</v>
      </c>
      <c r="Q23" s="477">
        <f t="shared" ref="Q23:Q31" ca="1" si="17">SUM(B23:P23)</f>
        <v>17863.081032495124</v>
      </c>
    </row>
    <row r="24" spans="1:17">
      <c r="A24" s="477" t="s">
        <v>193</v>
      </c>
      <c r="B24" s="478">
        <f t="shared" ca="1" si="2"/>
        <v>391.69912055750791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391.69912055750791</v>
      </c>
    </row>
    <row r="25" spans="1:17">
      <c r="A25" s="477" t="s">
        <v>111</v>
      </c>
      <c r="B25" s="478">
        <f t="shared" ca="1" si="2"/>
        <v>295.99025499706386</v>
      </c>
      <c r="C25" s="478">
        <f t="shared" ca="1" si="3"/>
        <v>0</v>
      </c>
      <c r="D25" s="478">
        <f t="shared" si="4"/>
        <v>100.854189963472</v>
      </c>
      <c r="E25" s="478">
        <f t="shared" si="5"/>
        <v>9.9144556911519981</v>
      </c>
      <c r="F25" s="478">
        <f t="shared" si="6"/>
        <v>1320.520837901144</v>
      </c>
      <c r="G25" s="478">
        <f t="shared" si="7"/>
        <v>0</v>
      </c>
      <c r="H25" s="478">
        <f t="shared" si="8"/>
        <v>0</v>
      </c>
      <c r="I25" s="478">
        <f t="shared" si="9"/>
        <v>0</v>
      </c>
      <c r="J25" s="478">
        <f t="shared" si="10"/>
        <v>136.48648089644632</v>
      </c>
      <c r="K25" s="478">
        <f t="shared" si="11"/>
        <v>0</v>
      </c>
      <c r="L25" s="478">
        <f t="shared" si="12"/>
        <v>0</v>
      </c>
      <c r="M25" s="478">
        <f t="shared" si="13"/>
        <v>0</v>
      </c>
      <c r="N25" s="478">
        <f t="shared" si="14"/>
        <v>0</v>
      </c>
      <c r="O25" s="478">
        <f t="shared" si="15"/>
        <v>0</v>
      </c>
      <c r="P25" s="479">
        <f t="shared" si="16"/>
        <v>0</v>
      </c>
      <c r="Q25" s="477">
        <f t="shared" ca="1" si="17"/>
        <v>1863.7662194492782</v>
      </c>
    </row>
    <row r="26" spans="1:17">
      <c r="A26" s="477" t="s">
        <v>629</v>
      </c>
      <c r="B26" s="478">
        <f t="shared" ca="1" si="2"/>
        <v>20582.807207223559</v>
      </c>
      <c r="C26" s="478">
        <f t="shared" ca="1" si="3"/>
        <v>0</v>
      </c>
      <c r="D26" s="478">
        <f t="shared" si="4"/>
        <v>13110.536425350101</v>
      </c>
      <c r="E26" s="478">
        <f t="shared" si="5"/>
        <v>3534.9619913417437</v>
      </c>
      <c r="F26" s="478">
        <f t="shared" si="6"/>
        <v>12722.305636505313</v>
      </c>
      <c r="G26" s="478">
        <f t="shared" si="7"/>
        <v>0</v>
      </c>
      <c r="H26" s="478">
        <f t="shared" si="8"/>
        <v>0</v>
      </c>
      <c r="I26" s="478">
        <f t="shared" si="9"/>
        <v>0</v>
      </c>
      <c r="J26" s="478">
        <f t="shared" si="10"/>
        <v>50.799236982582073</v>
      </c>
      <c r="K26" s="478">
        <f t="shared" si="11"/>
        <v>0</v>
      </c>
      <c r="L26" s="478">
        <f t="shared" si="12"/>
        <v>0</v>
      </c>
      <c r="M26" s="478">
        <f t="shared" si="13"/>
        <v>0</v>
      </c>
      <c r="N26" s="478">
        <f t="shared" si="14"/>
        <v>0</v>
      </c>
      <c r="O26" s="478">
        <f t="shared" si="15"/>
        <v>0</v>
      </c>
      <c r="P26" s="479">
        <f t="shared" si="16"/>
        <v>0</v>
      </c>
      <c r="Q26" s="477">
        <f t="shared" ca="1" si="17"/>
        <v>50001.410497403296</v>
      </c>
    </row>
    <row r="27" spans="1:17" s="483" customFormat="1">
      <c r="A27" s="481" t="s">
        <v>555</v>
      </c>
      <c r="B27" s="801">
        <f t="shared" ca="1" si="2"/>
        <v>27.374649930372254</v>
      </c>
      <c r="C27" s="482">
        <f t="shared" ca="1" si="3"/>
        <v>0</v>
      </c>
      <c r="D27" s="482">
        <f t="shared" si="4"/>
        <v>99.81827425146939</v>
      </c>
      <c r="E27" s="482">
        <f t="shared" si="5"/>
        <v>99.060867327301395</v>
      </c>
      <c r="F27" s="482">
        <f t="shared" si="6"/>
        <v>0</v>
      </c>
      <c r="G27" s="482">
        <f t="shared" si="7"/>
        <v>46091.485340814026</v>
      </c>
      <c r="H27" s="482">
        <f t="shared" si="8"/>
        <v>9410.0142073797506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55727.753339702918</v>
      </c>
    </row>
    <row r="28" spans="1:17" ht="16.5" customHeight="1">
      <c r="A28" s="477" t="s">
        <v>545</v>
      </c>
      <c r="B28" s="478">
        <f t="shared" ca="1" si="2"/>
        <v>0</v>
      </c>
      <c r="C28" s="478">
        <f t="shared" ca="1" si="3"/>
        <v>0</v>
      </c>
      <c r="D28" s="478">
        <f t="shared" si="4"/>
        <v>0</v>
      </c>
      <c r="E28" s="478">
        <f t="shared" si="5"/>
        <v>0</v>
      </c>
      <c r="F28" s="478">
        <f t="shared" si="6"/>
        <v>0</v>
      </c>
      <c r="G28" s="478">
        <f t="shared" si="7"/>
        <v>382.89737176823462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382.89737176823462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261.95876770261049</v>
      </c>
      <c r="C32" s="478">
        <f t="shared" ca="1" si="3"/>
        <v>0</v>
      </c>
      <c r="D32" s="478">
        <f t="shared" si="4"/>
        <v>481.05037560600005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743.00914330861053</v>
      </c>
    </row>
    <row r="33" spans="1:17" s="489" customFormat="1">
      <c r="A33" s="487" t="s">
        <v>549</v>
      </c>
      <c r="B33" s="488">
        <f ca="1">SUM(B22:B32)</f>
        <v>38920.641700329266</v>
      </c>
      <c r="C33" s="488">
        <f t="shared" ref="C33:Q33" ca="1" si="19">SUM(C22:C32)</f>
        <v>0</v>
      </c>
      <c r="D33" s="488">
        <f t="shared" ca="1" si="19"/>
        <v>42864.809774050023</v>
      </c>
      <c r="E33" s="488">
        <f t="shared" si="19"/>
        <v>5509.3350887635988</v>
      </c>
      <c r="F33" s="488">
        <f t="shared" ca="1" si="19"/>
        <v>15132.935703719475</v>
      </c>
      <c r="G33" s="488">
        <f t="shared" si="19"/>
        <v>46474.382712582257</v>
      </c>
      <c r="H33" s="488">
        <f t="shared" si="19"/>
        <v>9410.0142073797506</v>
      </c>
      <c r="I33" s="488">
        <f t="shared" si="19"/>
        <v>0</v>
      </c>
      <c r="J33" s="488">
        <f t="shared" si="19"/>
        <v>1677.3998758484695</v>
      </c>
      <c r="K33" s="488">
        <f t="shared" si="19"/>
        <v>0</v>
      </c>
      <c r="L33" s="488">
        <f t="shared" ca="1" si="19"/>
        <v>0</v>
      </c>
      <c r="M33" s="488">
        <f t="shared" si="19"/>
        <v>0</v>
      </c>
      <c r="N33" s="488">
        <f t="shared" ca="1" si="19"/>
        <v>0</v>
      </c>
      <c r="O33" s="488">
        <f t="shared" si="19"/>
        <v>0</v>
      </c>
      <c r="P33" s="488">
        <f t="shared" si="19"/>
        <v>0</v>
      </c>
      <c r="Q33" s="488">
        <f t="shared" ca="1" si="19"/>
        <v>159989.51906267283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7904.8516799069876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7904.8516799069876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0.21150642947376408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0.21150642947376408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2019-08-12T08:40:37Z</dcterms:modified>
</cp:coreProperties>
</file>