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<sst xmlns="http://schemas.openxmlformats.org/spreadsheetml/2006/main" count="2393" uniqueCount="893">
  <si>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</si>
  <si>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</si>
  <si>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</si>
  <si>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</si>
  <si>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</si>
  <si>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</si>
  <si>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</si>
  <si>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</si>
  <si>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</si>
  <si>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</si>
  <si>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</si>
  <si>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</si>
  <si>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</si>
  <si>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</si>
  <si>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</si>
  <si>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</si>
  <si>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</si>
  <si>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</si>
  <si>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</si>
  <si>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</si>
  <si>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</si>
  <si>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</si>
  <si>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</si>
  <si>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</si>
  <si>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</si>
  <si>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</si>
  <si>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</si>
  <si>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</si>
  <si>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</si>
  <si>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</si>
  <si>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</si>
  <si>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</si>
  <si>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</si>
  <si>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</si>
  <si>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</si>
  <si>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</si>
  <si>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</si>
  <si>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</si>
  <si>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</si>
  <si>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</si>
  <si>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</si>
  <si>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</si>
  <si>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</si>
  <si>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</si>
  <si>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</si>
  <si>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</si>
  <si>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</si>
  <si>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</si>
  <si>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</si>
  <si>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</si>
  <si>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</si>
  <si>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</si>
  <si>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</si>
  <si>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</si>
  <si>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</si>
  <si>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</si>
  <si>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</si>
  <si>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</si>
  <si>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</si>
  <si>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</si>
  <si>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</si>
  <si>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</si>
  <si>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</si>
  <si>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</si>
  <si>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</si>
  <si>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</si>
  <si>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</si>
  <si>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</si>
  <si>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</si>
  <si>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</si>
  <si>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</si>
  <si>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</si>
  <si>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</si>
  <si>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</si>
  <si>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</si>
  <si>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</si>
  <si>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</si>
  <si>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</si>
  <si>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</si>
  <si>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</si>
  <si>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</si>
  <si>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</si>
  <si>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</si>
  <si>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</si>
  <si>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</si>
  <si>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</si>
  <si>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</si>
  <si>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</si>
  <si>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</si>
  <si>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</si>
  <si>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</si>
  <si>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</si>
  <si>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</si>
  <si>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</si>
  <si>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</si>
  <si>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</si>
  <si>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</si>
  <si>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</si>
  <si>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</si>
  <si>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</si>
  <si>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</si>
  <si>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</si>
  <si>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</si>
  <si>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</si>
  <si>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</si>
  <si>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</si>
  <si>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</si>
  <si>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</si>
  <si>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</si>
  <si>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</si>
  <si>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</si>
  <si>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</si>
  <si>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</si>
  <si>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</si>
  <si>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</si>
  <si>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</si>
  <si>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</si>
  <si>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</si>
  <si>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</si>
  <si>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</si>
  <si>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</si>
  <si>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</si>
  <si>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</si>
  <si>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</si>
  <si>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</si>
  <si>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</si>
  <si>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</si>
  <si>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</si>
  <si>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</si>
  <si>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</si>
  <si>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</si>
  <si>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</si>
  <si>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</si>
  <si>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</si>
  <si>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</si>
  <si>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</si>
  <si>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</si>
  <si>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</si>
  <si>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</si>
  <si>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</si>
  <si>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</si>
  <si>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</si>
  <si>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</si>
  <si>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</si>
  <si>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</si>
  <si>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</si>
  <si>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</si>
  <si>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</si>
  <si>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</si>
  <si>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</si>
  <si>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</si>
  <si>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</si>
  <si>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</si>
  <si>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</si>
  <si>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</si>
  <si>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</si>
  <si>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</si>
  <si>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</si>
  <si>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</si>
  <si>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</si>
  <si>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</si>
  <si>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</si>
  <si>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</si>
  <si>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</si>
  <si>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</si>
  <si>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</si>
  <si>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</si>
  <si>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</si>
  <si>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</si>
  <si>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</si>
  <si>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</si>
  <si>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</si>
  <si>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</si>
  <si>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</si>
  <si>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</si>
  <si>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</si>
  <si>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</si>
  <si>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</si>
  <si>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</si>
  <si>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</si>
  <si>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</si>
  <si>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</si>
  <si>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</si>
  <si>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</si>
  <si>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</si>
  <si>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</si>
  <si>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</si>
  <si>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</si>
  <si>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</si>
  <si>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</si>
  <si>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</si>
  <si>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</si>
  <si>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</si>
  <si>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</si>
  <si>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</si>
  <si>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</si>
  <si>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</si>
  <si>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</si>
  <si>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</si>
  <si>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</si>
  <si>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</si>
  <si>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</si>
  <si>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</si>
  <si>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</si>
  <si>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</si>
  <si>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</si>
  <si>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</si>
  <si>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</si>
  <si>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</si>
  <si>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</si>
  <si>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</si>
  <si>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</si>
  <si>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</si>
  <si>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</si>
  <si>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</si>
  <si>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</si>
  <si>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</si>
  <si>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</si>
  <si>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</si>
  <si>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</si>
  <si>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</si>
  <si>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</si>
  <si>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</si>
  <si>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</si>
  <si>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</si>
  <si>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</si>
  <si>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</si>
  <si>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</si>
  <si>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</si>
  <si>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</si>
  <si>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</si>
  <si>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</si>
  <si>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</si>
  <si>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</si>
  <si>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</si>
  <si>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</si>
  <si>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</si>
  <si>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</si>
  <si>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</si>
  <si>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</si>
  <si>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</si>
  <si>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</si>
  <si>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</si>
  <si>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</si>
  <si>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</si>
  <si>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</si>
  <si>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</si>
  <si>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</si>
  <si>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</si>
  <si>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</si>
  <si>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</si>
  <si>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</si>
  <si>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</si>
  <si>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</si>
  <si>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</si>
  <si>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</si>
  <si>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</si>
  <si>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</si>
  <si>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</si>
  <si>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</si>
  <si>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</si>
  <si>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</si>
  <si>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</si>
  <si>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</si>
  <si>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</si>
  <si>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</si>
  <si>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</si>
  <si>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</si>
  <si>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</si>
  <si>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</si>
  <si>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</si>
  <si>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</si>
  <si>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</si>
  <si>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</si>
  <si>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</si>
  <si>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</si>
  <si>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</si>
  <si>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</si>
  <si>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</si>
  <si>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</si>
  <si>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</si>
  <si>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</si>
  <si>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</si>
  <si>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</si>
  <si>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</si>
  <si>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</si>
  <si>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</si>
  <si>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</si>
  <si>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</si>
  <si>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</si>
  <si>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</si>
  <si>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</si>
  <si>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</si>
  <si>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</si>
  <si>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</si>
  <si>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</si>
  <si>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</si>
  <si>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</si>
  <si>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</si>
  <si>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</si>
  <si>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</si>
  <si>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</si>
  <si>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</si>
  <si>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</si>
  <si>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</si>
  <si>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</si>
  <si>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</si>
  <si>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</si>
  <si>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</si>
  <si>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</si>
  <si>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</si>
  <si>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</si>
  <si>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</si>
  <si>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</si>
  <si>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</si>
  <si>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</si>
  <si>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</si>
  <si>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</si>
  <si>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</si>
  <si>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</si>
  <si>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</si>
  <si>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</si>
  <si>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</si>
  <si>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</si>
  <si>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</si>
  <si>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</si>
  <si>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</si>
  <si>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</si>
  <si>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</si>
  <si>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</si>
  <si>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</si>
  <si>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</si>
  <si>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</si>
  <si>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</si>
  <si>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</si>
  <si>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</si>
  <si>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</si>
  <si>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</si>
  <si>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</si>
  <si>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</si>
  <si>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</si>
  <si>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</si>
  <si>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</si>
  <si>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</si>
  <si>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</si>
  <si>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</si>
  <si>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</si>
  <si>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</si>
  <si>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</si>
  <si>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</si>
  <si>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</si>
  <si>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</si>
  <si>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</si>
  <si>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</si>
  <si>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</si>
  <si>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</si>
  <si>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</si>
  <si>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</si>
  <si>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</si>
  <si>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</si>
  <si>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</si>
  <si>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</si>
  <si>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</si>
  <si>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</si>
  <si>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</si>
  <si>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</si>
  <si>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</si>
  <si>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</si>
  <si>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</si>
  <si>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</si>
  <si>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</si>
  <si>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</si>
  <si>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</si>
  <si>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</si>
  <si>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</si>
  <si>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</si>
  <si>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</si>
  <si>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</si>
  <si>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</si>
  <si>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</si>
  <si>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</si>
  <si>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</si>
  <si>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</si>
  <si>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</si>
  <si>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</si>
  <si>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</si>
  <si>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</si>
  <si>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</si>
  <si>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</si>
  <si>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</si>
  <si>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</si>
  <si>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</si>
  <si>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</si>
  <si>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</si>
  <si>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</si>
  <si>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</si>
  <si>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</si>
  <si>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</si>
  <si>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</si>
  <si>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</si>
  <si>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</si>
  <si>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</si>
  <si>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</si>
  <si>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</si>
  <si>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</si>
  <si>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</si>
  <si>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</si>
  <si>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</si>
  <si>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</si>
  <si>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</si>
  <si>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</si>
  <si>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</si>
  <si>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</si>
  <si>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</si>
  <si>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</si>
  <si>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</si>
  <si>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</si>
  <si>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</si>
  <si>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</si>
  <si>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</si>
  <si>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</si>
  <si>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</si>
  <si>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</si>
  <si>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</si>
  <si>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</si>
  <si>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</si>
  <si>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</si>
  <si>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</si>
  <si>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</si>
  <si>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</si>
  <si>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</si>
  <si>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</si>
  <si>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</si>
  <si>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</si>
  <si>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</si>
  <si>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</si>
  <si>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</si>
  <si>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</si>
  <si>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</si>
  <si>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</si>
  <si>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</si>
  <si>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</si>
  <si>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</si>
  <si>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</si>
  <si>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</si>
  <si>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</si>
  <si>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</si>
  <si>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</si>
  <si>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</si>
  <si>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</si>
  <si>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</si>
  <si>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</si>
  <si>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</si>
  <si>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</si>
  <si>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</si>
  <si>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</si>
  <si>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</si>
  <si>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</si>
  <si>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</si>
  <si>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</si>
  <si>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</si>
  <si>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</si>
  <si>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</si>
  <si>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</si>
  <si>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</si>
  <si>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</si>
  <si>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</si>
  <si>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</si>
  <si>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</si>
  <si>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</si>
  <si>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</si>
  <si>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</si>
  <si>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</si>
  <si>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</si>
  <si>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</si>
  <si>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</si>
  <si>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</si>
  <si>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</si>
  <si>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</si>
  <si>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</si>
  <si>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</si>
  <si>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</si>
  <si>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</si>
  <si>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</si>
  <si>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</si>
  <si>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</si>
  <si>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</si>
  <si>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</si>
  <si>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</si>
  <si>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</si>
  <si>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</si>
  <si>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</si>
  <si>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</si>
  <si>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</si>
  <si>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</si>
  <si>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</si>
  <si>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</si>
  <si>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</si>
  <si>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</si>
  <si>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</si>
  <si>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</si>
  <si>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</si>
  <si>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</si>
  <si>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</si>
  <si>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</si>
  <si>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</si>
  <si>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</si>
  <si>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</si>
  <si>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</si>
  <si>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</si>
  <si>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</si>
  <si>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</si>
  <si>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</si>
  <si>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</si>
  <si>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</si>
  <si>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</si>
  <si>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</si>
  <si>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</si>
  <si>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</si>
  <si>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</si>
  <si>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</si>
  <si>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</si>
  <si>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</si>
  <si>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</si>
  <si>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</si>
  <si>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</si>
  <si>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</si>
  <si>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</si>
  <si>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</si>
  <si>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</si>
  <si>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</si>
  <si>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</si>
  <si>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</si>
  <si>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</si>
  <si>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</si>
  <si>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</si>
  <si>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</si>
  <si>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</si>
  <si>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</si>
  <si>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</si>
  <si>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</si>
  <si>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</si>
  <si>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</si>
  <si>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</si>
  <si>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</si>
  <si>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</si>
  <si>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</si>
  <si>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</si>
  <si>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</si>
  <si>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</si>
  <si>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</si>
  <si>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</si>
  <si>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</si>
  <si>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</si>
  <si>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</si>
  <si>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</si>
  <si>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</si>
  <si>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</si>
  <si>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</si>
  <si>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</si>
  <si>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</si>
  <si>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</si>
  <si>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</si>
  <si>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</si>
  <si>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</si>
  <si>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</si>
  <si>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</si>
  <si>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</si>
  <si>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</si>
  <si>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</si>
  <si>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</si>
  <si>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</si>
  <si>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</si>
  <si>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</si>
  <si>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</si>
  <si>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</si>
  <si>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</si>
  <si>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</si>
  <si>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</si>
  <si>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</si>
  <si>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</si>
  <si>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</si>
  <si>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</si>
  <si>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</si>
  <si>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</si>
  <si>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</si>
  <si>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</si>
  <si>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</si>
  <si>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</si>
  <si>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</si>
  <si>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</si>
  <si>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</si>
  <si>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</si>
  <si>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</si>
  <si>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</si>
  <si>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</si>
  <si>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</si>
  <si>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</si>
  <si>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</si>
  <si>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</si>
  <si>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</si>
  <si>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</si>
  <si>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</si>
  <si>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</si>
  <si>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</si>
  <si>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</si>
  <si>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</si>
  <si>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</si>
  <si>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</si>
  <si>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</si>
  <si>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</si>
  <si>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</si>
  <si>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</si>
  <si>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</si>
  <si>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</si>
  <si>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</si>
  <si>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</si>
  <si>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</si>
  <si>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</si>
  <si>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</si>
  <si>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</si>
  <si>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</si>
  <si>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</si>
  <si>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</si>
  <si>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</si>
  <si>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</si>
  <si>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</si>
  <si>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</si>
  <si>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</si>
  <si>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</si>
  <si>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</si>
  <si>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</si>
  <si>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</si>
  <si>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</si>
  <si>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</si>
  <si>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</si>
  <si>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</si>
  <si>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</si>
  <si>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</si>
  <si>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</si>
  <si>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</si>
  <si>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</si>
  <si>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</si>
  <si>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</si>
  <si>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</si>
  <si>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</si>
  <si>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</si>
  <si>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</si>
  <si>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</si>
  <si>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</si>
  <si>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</si>
  <si>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</si>
  <si>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</si>
  <si>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</si>
  <si>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</si>
  <si>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</si>
  <si>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</si>
  <si>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</si>
  <si>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</si>
  <si>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</si>
  <si>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</si>
  <si>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</si>
  <si>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</si>
  <si>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</si>
  <si>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</si>
  <si>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</si>
  <si>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</si>
  <si>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</si>
  <si>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</si>
  <si>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</si>
  <si>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</si>
  <si>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</si>
  <si>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</si>
  <si>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</si>
  <si>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</si>
  <si>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</si>
  <si>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</si>
  <si>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</si>
  <si>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</si>
  <si>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</si>
  <si>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</si>
  <si>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</si>
  <si>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</si>
  <si>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</si>
  <si>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</si>
  <si>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</si>
  <si>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</si>
  <si>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</si>
  <si>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</si>
  <si>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</si>
  <si>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</si>
  <si>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</si>
  <si>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</si>
  <si>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</si>
  <si>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</si>
  <si>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</si>
  <si>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</si>
  <si>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</si>
  <si>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</si>
  <si>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</si>
  <si>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</si>
  <si>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</si>
  <si>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</si>
  <si>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</si>
  <si>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</si>
  <si>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</si>
  <si>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</si>
  <si>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</si>
  <si>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</si>
  <si>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</si>
  <si>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</si>
  <si>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</si>
  <si>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</si>
  <si>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</si>
  <si>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</si>
  <si>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</si>
  <si>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</si>
  <si>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</si>
  <si>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</si>
  <si>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</si>
  <si>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</si>
  <si>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</si>
  <si>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</si>
  <si>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</si>
  <si>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</si>
  <si>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</si>
  <si>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</si>
  <si>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</si>
  <si>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</si>
  <si>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</si>
  <si>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</si>
  <si>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</si>
  <si>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</si>
  <si>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</si>
  <si>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</si>
  <si>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</si>
  <si>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</si>
  <si>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</si>
  <si>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</si>
  <si>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</si>
  <si>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</si>
  <si>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</si>
  <si>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</si>
  <si>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</si>
  <si>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</si>
  <si>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</si>
  <si>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</si>
  <si>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</si>
  <si>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</si>
  <si>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</si>
  <si>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</si>
  <si>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</si>
  <si>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</si>
  <si>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</si>
  <si>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</si>
  <si>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</si>
  <si>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</si>
  <si>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</si>
  <si>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</si>
  <si>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</si>
  <si>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</si>
  <si>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</si>
  <si>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</si>
  <si>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</si>
  <si>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</si>
  <si>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</si>
  <si>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</si>
  <si>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</si>
  <si>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</si>
  <si>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</si>
  <si>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</si>
  <si>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</si>
  <si>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</si>
  <si>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</si>
  <si>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</si>
  <si>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</si>
  <si>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</si>
  <si>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</si>
  <si>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</si>
  <si>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</si>
  <si>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</si>
  <si>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</si>
  <si>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</si>
  <si>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</si>
  <si>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</si>
  <si>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</si>
  <si>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</si>
  <si>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</si>
  <si>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</si>
  <si>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</si>
  <si>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</si>
  <si>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</si>
  <si>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</si>
  <si>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</si>
  <si>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</si>
  <si>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</si>
  <si>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</si>
  <si>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</si>
  <si>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</si>
  <si>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</si>
  <si>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</si>
  <si>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</si>
  <si>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</si>
  <si>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</si>
  <si>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</si>
  <si>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</si>
  <si>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</si>
  <si>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</si>
  <si>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</si>
  <si>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</si>
  <si>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</si>
  <si>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</si>
  <si>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</si>
  <si>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</si>
  <si>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</si>
  <si>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</si>
  <si>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</si>
  <si>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</si>
  <si>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</si>
  <si>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</si>
  <si>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</si>
  <si>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</si>
  <si>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</si>
  <si>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</si>
  <si>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</si>
  <si>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</si>
  <si>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</si>
  <si>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</si>
  <si>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</si>
  <si>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</si>
  <si>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</si>
  <si>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</si>
  <si>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</si>
  <si>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</si>
  <si>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</si>
  <si>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</si>
  <si>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</si>
  <si>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</si>
  <si>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</si>
  <si>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</si>
  <si>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</si>
  <si>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</si>
  <si>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</si>
  <si>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</si>
  <si>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</si>
  <si>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</si>
  <si>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</si>
  <si>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</si>
  <si>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</si>
  <si>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</si>
  <si>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</si>
  <si>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</si>
  <si>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</si>
  <si>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</si>
  <si>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</si>
  <si>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</si>
  <si>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</si>
  <si>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</si>
  <si>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</si>
  <si>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</si>
  <si>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</si>
  <si>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</si>
  <si>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</si>
  <si>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</si>
  <si>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</si>
  <si>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</si>
  <si>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</si>
  <si>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</si>
  <si>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</si>
  <si>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</si>
  <si>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</si>
  <si>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</si>
  <si>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</si>
  <si>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</si>
  <si>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</si>
  <si>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</si>
  <si>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</si>
  <si>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</si>
  <si>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41048</t>
  </si>
  <si>
    <t>NINOVE</t>
  </si>
  <si>
    <t>Mestbank (maart 2019)</t>
  </si>
  <si>
    <t>Fluvius (februari 2019)</t>
  </si>
  <si>
    <t>referentietaak LNE (2017); Jaarverslag De Lijn (2018)</t>
  </si>
  <si>
    <t>VEA (30 april 2019)</t>
  </si>
  <si>
    <t>VEA (mei 2018)</t>
  </si>
  <si>
    <t>VEA (mei 2019)</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</si>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</sst>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298384.93857784691</c:v>
                </c:pt>
                <c:pt idx="1">
                  <c:v>102829.94854873978</c:v>
                </c:pt>
                <c:pt idx="2">
                  <c:v>2535.9050000000002</c:v>
                </c:pt>
                <c:pt idx="3">
                  <c:v>6830.9298219982056</c:v>
                </c:pt>
                <c:pt idx="4">
                  <c:v>111534.64028609853</c:v>
                </c:pt>
                <c:pt idx="5">
                  <c:v>212336.58717566996</c:v>
                </c:pt>
                <c:pt idx="6">
                  <c:v>2863.2808279722062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298384.93857784691</c:v>
                </c:pt>
                <c:pt idx="1">
                  <c:v>102829.94854873978</c:v>
                </c:pt>
                <c:pt idx="2">
                  <c:v>2535.9050000000002</c:v>
                </c:pt>
                <c:pt idx="3">
                  <c:v>6830.9298219982056</c:v>
                </c:pt>
                <c:pt idx="4">
                  <c:v>111534.64028609853</c:v>
                </c:pt>
                <c:pt idx="5">
                  <c:v>212336.58717566996</c:v>
                </c:pt>
                <c:pt idx="6">
                  <c:v>2863.2808279722062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57075.912220201688</c:v>
                </c:pt>
                <c:pt idx="1">
                  <c:v>21203.687957702787</c:v>
                </c:pt>
                <c:pt idx="2">
                  <c:v>518.07174591510216</c:v>
                </c:pt>
                <c:pt idx="3">
                  <c:v>1747.2741293934791</c:v>
                </c:pt>
                <c:pt idx="4">
                  <c:v>22799.701514417255</c:v>
                </c:pt>
                <c:pt idx="5">
                  <c:v>52845.820469257116</c:v>
                </c:pt>
                <c:pt idx="6">
                  <c:v>724.24250263887939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57075.912220201688</c:v>
                </c:pt>
                <c:pt idx="1">
                  <c:v>21203.687957702787</c:v>
                </c:pt>
                <c:pt idx="2">
                  <c:v>518.07174591510216</c:v>
                </c:pt>
                <c:pt idx="3">
                  <c:v>1747.2741293934791</c:v>
                </c:pt>
                <c:pt idx="4">
                  <c:v>22799.701514417255</c:v>
                </c:pt>
                <c:pt idx="5">
                  <c:v>52845.820469257116</c:v>
                </c:pt>
                <c:pt idx="6">
                  <c:v>724.24250263887939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41048</v>
      </c>
      <c r="B6" s="415"/>
      <c r="C6" s="416"/>
    </row>
    <row r="7" spans="1:7" s="413" customFormat="1" ht="15.75" customHeight="1">
      <c r="A7" s="417" t="str">
        <f>txtMunicipality</f>
        <v>NINOVE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51951.640463999996</v>
      </c>
      <c r="D10" s="712">
        <f ca="1">tertiair!C16</f>
        <v>0</v>
      </c>
      <c r="E10" s="712">
        <f ca="1">tertiair!D16</f>
        <v>47254.843722195998</v>
      </c>
      <c r="F10" s="712">
        <f>tertiair!E16</f>
        <v>860.03402071444089</v>
      </c>
      <c r="G10" s="712">
        <f ca="1">tertiair!F16</f>
        <v>5122.0767048720363</v>
      </c>
      <c r="H10" s="712">
        <f>tertiair!G16</f>
        <v>0</v>
      </c>
      <c r="I10" s="712">
        <f>tertiair!H16</f>
        <v>0</v>
      </c>
      <c r="J10" s="712">
        <f>tertiair!I16</f>
        <v>0</v>
      </c>
      <c r="K10" s="712">
        <f>tertiair!J16</f>
        <v>5.2178974449058217E-2</v>
      </c>
      <c r="L10" s="712">
        <f>tertiair!K16</f>
        <v>0</v>
      </c>
      <c r="M10" s="712">
        <f ca="1">tertiair!L16</f>
        <v>0</v>
      </c>
      <c r="N10" s="712">
        <f>tertiair!M16</f>
        <v>0</v>
      </c>
      <c r="O10" s="712">
        <f ca="1">tertiair!N16</f>
        <v>0</v>
      </c>
      <c r="P10" s="712">
        <f>tertiair!O16</f>
        <v>19.589043063364617</v>
      </c>
      <c r="Q10" s="713">
        <f>tertiair!P16</f>
        <v>157.61741491948504</v>
      </c>
      <c r="R10" s="715">
        <f ca="1">SUM(C10:Q10)</f>
        <v>105365.85354873977</v>
      </c>
      <c r="S10" s="67"/>
    </row>
    <row r="11" spans="1:19" s="474" customFormat="1">
      <c r="A11" s="834" t="s">
        <v>224</v>
      </c>
      <c r="B11" s="839"/>
      <c r="C11" s="712">
        <f>huishoudens!B8</f>
        <v>66960.259115152032</v>
      </c>
      <c r="D11" s="712">
        <f>huishoudens!C8</f>
        <v>0</v>
      </c>
      <c r="E11" s="712">
        <f>huishoudens!D8</f>
        <v>115224.64674160001</v>
      </c>
      <c r="F11" s="712">
        <f>huishoudens!E8</f>
        <v>18901.981988971846</v>
      </c>
      <c r="G11" s="712">
        <f>huishoudens!F8</f>
        <v>57658.343117171848</v>
      </c>
      <c r="H11" s="712">
        <f>huishoudens!G8</f>
        <v>0</v>
      </c>
      <c r="I11" s="712">
        <f>huishoudens!H8</f>
        <v>0</v>
      </c>
      <c r="J11" s="712">
        <f>huishoudens!I8</f>
        <v>0</v>
      </c>
      <c r="K11" s="712">
        <f>huishoudens!J8</f>
        <v>1229.9023372304837</v>
      </c>
      <c r="L11" s="712">
        <f>huishoudens!K8</f>
        <v>0</v>
      </c>
      <c r="M11" s="712">
        <f>huishoudens!L8</f>
        <v>0</v>
      </c>
      <c r="N11" s="712">
        <f>huishoudens!M8</f>
        <v>0</v>
      </c>
      <c r="O11" s="712">
        <f>huishoudens!N8</f>
        <v>36712.378547449269</v>
      </c>
      <c r="P11" s="712">
        <f>huishoudens!O8</f>
        <v>622.96288088752794</v>
      </c>
      <c r="Q11" s="713">
        <f>huishoudens!P8</f>
        <v>1074.4638493838725</v>
      </c>
      <c r="R11" s="715">
        <f>SUM(C11:Q11)</f>
        <v>298384.93857784691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48943.609410000005</v>
      </c>
      <c r="D13" s="712">
        <f>industrie!C18</f>
        <v>0</v>
      </c>
      <c r="E13" s="712">
        <f>industrie!D18</f>
        <v>49738.293760100001</v>
      </c>
      <c r="F13" s="712">
        <f>industrie!E18</f>
        <v>2050.2894725752658</v>
      </c>
      <c r="G13" s="712">
        <f>industrie!F18</f>
        <v>8252.7249258294069</v>
      </c>
      <c r="H13" s="712">
        <f>industrie!G18</f>
        <v>0</v>
      </c>
      <c r="I13" s="712">
        <f>industrie!H18</f>
        <v>0</v>
      </c>
      <c r="J13" s="712">
        <f>industrie!I18</f>
        <v>0</v>
      </c>
      <c r="K13" s="712">
        <f>industrie!J18</f>
        <v>239.42618698026052</v>
      </c>
      <c r="L13" s="712">
        <f>industrie!K18</f>
        <v>0</v>
      </c>
      <c r="M13" s="712">
        <f>industrie!L18</f>
        <v>0</v>
      </c>
      <c r="N13" s="712">
        <f>industrie!M18</f>
        <v>0</v>
      </c>
      <c r="O13" s="712">
        <f>industrie!N18</f>
        <v>2310.2965306135934</v>
      </c>
      <c r="P13" s="712">
        <f>industrie!O18</f>
        <v>0</v>
      </c>
      <c r="Q13" s="713">
        <f>industrie!P18</f>
        <v>0</v>
      </c>
      <c r="R13" s="715">
        <f>SUM(C13:Q13)</f>
        <v>111534.64028609853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167855.50898915203</v>
      </c>
      <c r="D16" s="748">
        <f t="shared" ref="D16:R16" ca="1" si="0">SUM(D9:D15)</f>
        <v>0</v>
      </c>
      <c r="E16" s="748">
        <f t="shared" ca="1" si="0"/>
        <v>212217.78422389601</v>
      </c>
      <c r="F16" s="748">
        <f t="shared" si="0"/>
        <v>21812.305482261552</v>
      </c>
      <c r="G16" s="748">
        <f t="shared" ca="1" si="0"/>
        <v>71033.144747873288</v>
      </c>
      <c r="H16" s="748">
        <f t="shared" si="0"/>
        <v>0</v>
      </c>
      <c r="I16" s="748">
        <f t="shared" si="0"/>
        <v>0</v>
      </c>
      <c r="J16" s="748">
        <f t="shared" si="0"/>
        <v>0</v>
      </c>
      <c r="K16" s="748">
        <f t="shared" si="0"/>
        <v>1469.3807031851934</v>
      </c>
      <c r="L16" s="748">
        <f t="shared" si="0"/>
        <v>0</v>
      </c>
      <c r="M16" s="748">
        <f t="shared" ca="1" si="0"/>
        <v>0</v>
      </c>
      <c r="N16" s="748">
        <f t="shared" si="0"/>
        <v>0</v>
      </c>
      <c r="O16" s="748">
        <f t="shared" ca="1" si="0"/>
        <v>39022.675078062864</v>
      </c>
      <c r="P16" s="748">
        <f t="shared" si="0"/>
        <v>642.55192395089261</v>
      </c>
      <c r="Q16" s="748">
        <f t="shared" si="0"/>
        <v>1232.0812643033576</v>
      </c>
      <c r="R16" s="748">
        <f t="shared" ca="1" si="0"/>
        <v>515285.43241268519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2712.5187364752037</v>
      </c>
      <c r="I19" s="712">
        <f>transport!H54</f>
        <v>0</v>
      </c>
      <c r="J19" s="712">
        <f>transport!I54</f>
        <v>0</v>
      </c>
      <c r="K19" s="712">
        <f>transport!J54</f>
        <v>0</v>
      </c>
      <c r="L19" s="712">
        <f>transport!K54</f>
        <v>0</v>
      </c>
      <c r="M19" s="712">
        <f>transport!L54</f>
        <v>0</v>
      </c>
      <c r="N19" s="712">
        <f>transport!M54</f>
        <v>150.76209149700273</v>
      </c>
      <c r="O19" s="712">
        <f>transport!N54</f>
        <v>0</v>
      </c>
      <c r="P19" s="712">
        <f>transport!O54</f>
        <v>0</v>
      </c>
      <c r="Q19" s="713">
        <f>transport!P54</f>
        <v>0</v>
      </c>
      <c r="R19" s="715">
        <f>SUM(C19:Q19)</f>
        <v>2863.2808279722062</v>
      </c>
      <c r="S19" s="67"/>
    </row>
    <row r="20" spans="1:19" s="474" customFormat="1">
      <c r="A20" s="834" t="s">
        <v>306</v>
      </c>
      <c r="B20" s="839"/>
      <c r="C20" s="712">
        <f>transport!B14</f>
        <v>114.49825094305557</v>
      </c>
      <c r="D20" s="712">
        <f>transport!C14</f>
        <v>0</v>
      </c>
      <c r="E20" s="712">
        <f>transport!D14</f>
        <v>482.29758126165001</v>
      </c>
      <c r="F20" s="712">
        <f>transport!E14</f>
        <v>368.85114827073613</v>
      </c>
      <c r="G20" s="712">
        <f>transport!F14</f>
        <v>0</v>
      </c>
      <c r="H20" s="712">
        <f>transport!G14</f>
        <v>163735.09101771217</v>
      </c>
      <c r="I20" s="712">
        <f>transport!H14</f>
        <v>35839.383409227565</v>
      </c>
      <c r="J20" s="712">
        <f>transport!I14</f>
        <v>0</v>
      </c>
      <c r="K20" s="712">
        <f>transport!J14</f>
        <v>0</v>
      </c>
      <c r="L20" s="712">
        <f>transport!K14</f>
        <v>0</v>
      </c>
      <c r="M20" s="712">
        <f>transport!L14</f>
        <v>0</v>
      </c>
      <c r="N20" s="712">
        <f>transport!M14</f>
        <v>11796.465768254811</v>
      </c>
      <c r="O20" s="712">
        <f>transport!N14</f>
        <v>0</v>
      </c>
      <c r="P20" s="712">
        <f>transport!O14</f>
        <v>0</v>
      </c>
      <c r="Q20" s="713">
        <f>transport!P14</f>
        <v>0</v>
      </c>
      <c r="R20" s="715">
        <f>SUM(C20:Q20)</f>
        <v>212336.58717566996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114.49825094305557</v>
      </c>
      <c r="D22" s="837">
        <f t="shared" ref="D22:R22" si="1">SUM(D18:D21)</f>
        <v>0</v>
      </c>
      <c r="E22" s="837">
        <f t="shared" si="1"/>
        <v>482.29758126165001</v>
      </c>
      <c r="F22" s="837">
        <f t="shared" si="1"/>
        <v>368.85114827073613</v>
      </c>
      <c r="G22" s="837">
        <f t="shared" si="1"/>
        <v>0</v>
      </c>
      <c r="H22" s="837">
        <f t="shared" si="1"/>
        <v>166447.60975418738</v>
      </c>
      <c r="I22" s="837">
        <f t="shared" si="1"/>
        <v>35839.383409227565</v>
      </c>
      <c r="J22" s="837">
        <f t="shared" si="1"/>
        <v>0</v>
      </c>
      <c r="K22" s="837">
        <f t="shared" si="1"/>
        <v>0</v>
      </c>
      <c r="L22" s="837">
        <f t="shared" si="1"/>
        <v>0</v>
      </c>
      <c r="M22" s="837">
        <f t="shared" si="1"/>
        <v>0</v>
      </c>
      <c r="N22" s="837">
        <f t="shared" si="1"/>
        <v>11947.227859751814</v>
      </c>
      <c r="O22" s="837">
        <f t="shared" si="1"/>
        <v>0</v>
      </c>
      <c r="P22" s="837">
        <f t="shared" si="1"/>
        <v>0</v>
      </c>
      <c r="Q22" s="837">
        <f t="shared" si="1"/>
        <v>0</v>
      </c>
      <c r="R22" s="837">
        <f t="shared" si="1"/>
        <v>215199.86800364216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1337.705205</v>
      </c>
      <c r="D24" s="712">
        <f>+landbouw!C8</f>
        <v>0</v>
      </c>
      <c r="E24" s="712">
        <f>+landbouw!D8</f>
        <v>355.32983633399999</v>
      </c>
      <c r="F24" s="712">
        <f>+landbouw!E8</f>
        <v>41.749338327293515</v>
      </c>
      <c r="G24" s="712">
        <f>+landbouw!F8</f>
        <v>4727.5983814551182</v>
      </c>
      <c r="H24" s="712">
        <f>+landbouw!G8</f>
        <v>0</v>
      </c>
      <c r="I24" s="712">
        <f>+landbouw!H8</f>
        <v>0</v>
      </c>
      <c r="J24" s="712">
        <f>+landbouw!I8</f>
        <v>0</v>
      </c>
      <c r="K24" s="712">
        <f>+landbouw!J8</f>
        <v>368.54706088179444</v>
      </c>
      <c r="L24" s="712">
        <f>+landbouw!K8</f>
        <v>0</v>
      </c>
      <c r="M24" s="712">
        <f>+landbouw!L8</f>
        <v>0</v>
      </c>
      <c r="N24" s="712">
        <f>+landbouw!M8</f>
        <v>0</v>
      </c>
      <c r="O24" s="712">
        <f>+landbouw!N8</f>
        <v>0</v>
      </c>
      <c r="P24" s="712">
        <f>+landbouw!O8</f>
        <v>0</v>
      </c>
      <c r="Q24" s="713">
        <f>+landbouw!P8</f>
        <v>0</v>
      </c>
      <c r="R24" s="715">
        <f>SUM(C24:Q24)</f>
        <v>6830.9298219982056</v>
      </c>
      <c r="S24" s="67"/>
    </row>
    <row r="25" spans="1:19" s="474" customFormat="1" ht="15" thickBot="1">
      <c r="A25" s="856" t="s">
        <v>734</v>
      </c>
      <c r="B25" s="982"/>
      <c r="C25" s="983">
        <f>IF(Onbekend_ele_kWh="---",0,Onbekend_ele_kWh)/1000+IF(REST_rest_ele_kWh="---",0,REST_rest_ele_kWh)/1000</f>
        <v>2002.7742009999999</v>
      </c>
      <c r="D25" s="983"/>
      <c r="E25" s="983">
        <f>IF(onbekend_gas_kWh="---",0,onbekend_gas_kWh)/1000+IF(REST_rest_gas_kWh="---",0,REST_rest_gas_kWh)/1000</f>
        <v>3456.887839</v>
      </c>
      <c r="F25" s="983"/>
      <c r="G25" s="983"/>
      <c r="H25" s="983"/>
      <c r="I25" s="983"/>
      <c r="J25" s="983"/>
      <c r="K25" s="983"/>
      <c r="L25" s="983"/>
      <c r="M25" s="983"/>
      <c r="N25" s="983"/>
      <c r="O25" s="983"/>
      <c r="P25" s="983"/>
      <c r="Q25" s="984"/>
      <c r="R25" s="715">
        <f>SUM(C25:Q25)</f>
        <v>5459.6620400000002</v>
      </c>
      <c r="S25" s="67"/>
    </row>
    <row r="26" spans="1:19" s="474" customFormat="1" ht="15.75" thickBot="1">
      <c r="A26" s="720" t="s">
        <v>735</v>
      </c>
      <c r="B26" s="842"/>
      <c r="C26" s="837">
        <f>SUM(C24:C25)</f>
        <v>3340.4794059999999</v>
      </c>
      <c r="D26" s="837">
        <f t="shared" ref="D26:R26" si="2">SUM(D24:D25)</f>
        <v>0</v>
      </c>
      <c r="E26" s="837">
        <f t="shared" si="2"/>
        <v>3812.217675334</v>
      </c>
      <c r="F26" s="837">
        <f t="shared" si="2"/>
        <v>41.749338327293515</v>
      </c>
      <c r="G26" s="837">
        <f t="shared" si="2"/>
        <v>4727.5983814551182</v>
      </c>
      <c r="H26" s="837">
        <f t="shared" si="2"/>
        <v>0</v>
      </c>
      <c r="I26" s="837">
        <f t="shared" si="2"/>
        <v>0</v>
      </c>
      <c r="J26" s="837">
        <f t="shared" si="2"/>
        <v>0</v>
      </c>
      <c r="K26" s="837">
        <f t="shared" si="2"/>
        <v>368.54706088179444</v>
      </c>
      <c r="L26" s="837">
        <f t="shared" si="2"/>
        <v>0</v>
      </c>
      <c r="M26" s="837">
        <f t="shared" si="2"/>
        <v>0</v>
      </c>
      <c r="N26" s="837">
        <f t="shared" si="2"/>
        <v>0</v>
      </c>
      <c r="O26" s="837">
        <f t="shared" si="2"/>
        <v>0</v>
      </c>
      <c r="P26" s="837">
        <f t="shared" si="2"/>
        <v>0</v>
      </c>
      <c r="Q26" s="837">
        <f t="shared" si="2"/>
        <v>0</v>
      </c>
      <c r="R26" s="837">
        <f t="shared" si="2"/>
        <v>12290.591861998206</v>
      </c>
      <c r="S26" s="67"/>
    </row>
    <row r="27" spans="1:19" s="474" customFormat="1" ht="17.25" thickTop="1" thickBot="1">
      <c r="A27" s="721" t="s">
        <v>115</v>
      </c>
      <c r="B27" s="829"/>
      <c r="C27" s="722">
        <f ca="1">C22+C16+C26</f>
        <v>171310.48664609509</v>
      </c>
      <c r="D27" s="722">
        <f t="shared" ref="D27:R27" ca="1" si="3">D22+D16+D26</f>
        <v>0</v>
      </c>
      <c r="E27" s="722">
        <f t="shared" ca="1" si="3"/>
        <v>216512.29948049167</v>
      </c>
      <c r="F27" s="722">
        <f t="shared" si="3"/>
        <v>22222.905968859581</v>
      </c>
      <c r="G27" s="722">
        <f t="shared" ca="1" si="3"/>
        <v>75760.743129328403</v>
      </c>
      <c r="H27" s="722">
        <f t="shared" si="3"/>
        <v>166447.60975418738</v>
      </c>
      <c r="I27" s="722">
        <f t="shared" si="3"/>
        <v>35839.383409227565</v>
      </c>
      <c r="J27" s="722">
        <f t="shared" si="3"/>
        <v>0</v>
      </c>
      <c r="K27" s="722">
        <f t="shared" si="3"/>
        <v>1837.9277640669879</v>
      </c>
      <c r="L27" s="722">
        <f t="shared" si="3"/>
        <v>0</v>
      </c>
      <c r="M27" s="722">
        <f t="shared" ca="1" si="3"/>
        <v>0</v>
      </c>
      <c r="N27" s="722">
        <f t="shared" si="3"/>
        <v>11947.227859751814</v>
      </c>
      <c r="O27" s="722">
        <f t="shared" ca="1" si="3"/>
        <v>39022.675078062864</v>
      </c>
      <c r="P27" s="722">
        <f t="shared" si="3"/>
        <v>642.55192395089261</v>
      </c>
      <c r="Q27" s="722">
        <f t="shared" si="3"/>
        <v>1232.0812643033576</v>
      </c>
      <c r="R27" s="722">
        <f t="shared" ca="1" si="3"/>
        <v>742775.89227832551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10613.440597474331</v>
      </c>
      <c r="D40" s="712">
        <f ca="1">tertiair!C20</f>
        <v>0</v>
      </c>
      <c r="E40" s="712">
        <f ca="1">tertiair!D20</f>
        <v>9545.4784318835918</v>
      </c>
      <c r="F40" s="712">
        <f>tertiair!E20</f>
        <v>195.22772270217808</v>
      </c>
      <c r="G40" s="712">
        <f ca="1">tertiair!F20</f>
        <v>1367.5944802008337</v>
      </c>
      <c r="H40" s="712">
        <f>tertiair!G20</f>
        <v>0</v>
      </c>
      <c r="I40" s="712">
        <f>tertiair!H20</f>
        <v>0</v>
      </c>
      <c r="J40" s="712">
        <f>tertiair!I20</f>
        <v>0</v>
      </c>
      <c r="K40" s="712">
        <f>tertiair!J20</f>
        <v>1.8471356954966607E-2</v>
      </c>
      <c r="L40" s="712">
        <f>tertiair!K20</f>
        <v>0</v>
      </c>
      <c r="M40" s="712">
        <f ca="1">tertiair!L20</f>
        <v>0</v>
      </c>
      <c r="N40" s="712">
        <f>tertiair!M20</f>
        <v>0</v>
      </c>
      <c r="O40" s="712">
        <f ca="1">tertiair!N20</f>
        <v>0</v>
      </c>
      <c r="P40" s="712">
        <f>tertiair!O20</f>
        <v>0</v>
      </c>
      <c r="Q40" s="795">
        <f>tertiair!P20</f>
        <v>0</v>
      </c>
      <c r="R40" s="875">
        <f t="shared" ca="1" si="4"/>
        <v>21721.759703617889</v>
      </c>
    </row>
    <row r="41" spans="1:18">
      <c r="A41" s="847" t="s">
        <v>224</v>
      </c>
      <c r="B41" s="854"/>
      <c r="C41" s="712">
        <f ca="1">huishoudens!B12</f>
        <v>13679.620627237395</v>
      </c>
      <c r="D41" s="712">
        <f ca="1">huishoudens!C12</f>
        <v>0</v>
      </c>
      <c r="E41" s="712">
        <f>huishoudens!D12</f>
        <v>23275.378641803203</v>
      </c>
      <c r="F41" s="712">
        <f>huishoudens!E12</f>
        <v>4290.7499114966095</v>
      </c>
      <c r="G41" s="712">
        <f>huishoudens!F12</f>
        <v>15394.777612284885</v>
      </c>
      <c r="H41" s="712">
        <f>huishoudens!G12</f>
        <v>0</v>
      </c>
      <c r="I41" s="712">
        <f>huishoudens!H12</f>
        <v>0</v>
      </c>
      <c r="J41" s="712">
        <f>huishoudens!I12</f>
        <v>0</v>
      </c>
      <c r="K41" s="712">
        <f>huishoudens!J12</f>
        <v>435.38542737959119</v>
      </c>
      <c r="L41" s="712">
        <f>huishoudens!K12</f>
        <v>0</v>
      </c>
      <c r="M41" s="712">
        <f>huishoudens!L12</f>
        <v>0</v>
      </c>
      <c r="N41" s="712">
        <f>huishoudens!M12</f>
        <v>0</v>
      </c>
      <c r="O41" s="712">
        <f>huishoudens!N12</f>
        <v>0</v>
      </c>
      <c r="P41" s="712">
        <f>huishoudens!O12</f>
        <v>0</v>
      </c>
      <c r="Q41" s="795">
        <f>huishoudens!P12</f>
        <v>0</v>
      </c>
      <c r="R41" s="875">
        <f t="shared" ca="1" si="4"/>
        <v>57075.912220201688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9998.9160392150043</v>
      </c>
      <c r="D43" s="712">
        <f ca="1">industrie!C22</f>
        <v>0</v>
      </c>
      <c r="E43" s="712">
        <f>industrie!D22</f>
        <v>10047.1353395402</v>
      </c>
      <c r="F43" s="712">
        <f>industrie!E22</f>
        <v>465.41571027458536</v>
      </c>
      <c r="G43" s="712">
        <f>industrie!F22</f>
        <v>2203.4775551964517</v>
      </c>
      <c r="H43" s="712">
        <f>industrie!G22</f>
        <v>0</v>
      </c>
      <c r="I43" s="712">
        <f>industrie!H22</f>
        <v>0</v>
      </c>
      <c r="J43" s="712">
        <f>industrie!I22</f>
        <v>0</v>
      </c>
      <c r="K43" s="712">
        <f>industrie!J22</f>
        <v>84.756870191012226</v>
      </c>
      <c r="L43" s="712">
        <f>industrie!K22</f>
        <v>0</v>
      </c>
      <c r="M43" s="712">
        <f>industrie!L22</f>
        <v>0</v>
      </c>
      <c r="N43" s="712">
        <f>industrie!M22</f>
        <v>0</v>
      </c>
      <c r="O43" s="712">
        <f>industrie!N22</f>
        <v>0</v>
      </c>
      <c r="P43" s="712">
        <f>industrie!O22</f>
        <v>0</v>
      </c>
      <c r="Q43" s="795">
        <f>industrie!P22</f>
        <v>0</v>
      </c>
      <c r="R43" s="874">
        <f t="shared" ca="1" si="4"/>
        <v>22799.701514417255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34291.977263926732</v>
      </c>
      <c r="D46" s="748">
        <f t="shared" ref="D46:Q46" ca="1" si="5">SUM(D39:D45)</f>
        <v>0</v>
      </c>
      <c r="E46" s="748">
        <f t="shared" ca="1" si="5"/>
        <v>42867.992413226995</v>
      </c>
      <c r="F46" s="748">
        <f t="shared" si="5"/>
        <v>4951.393344473373</v>
      </c>
      <c r="G46" s="748">
        <f t="shared" ca="1" si="5"/>
        <v>18965.849647682171</v>
      </c>
      <c r="H46" s="748">
        <f t="shared" si="5"/>
        <v>0</v>
      </c>
      <c r="I46" s="748">
        <f t="shared" si="5"/>
        <v>0</v>
      </c>
      <c r="J46" s="748">
        <f t="shared" si="5"/>
        <v>0</v>
      </c>
      <c r="K46" s="748">
        <f t="shared" si="5"/>
        <v>520.16076892755837</v>
      </c>
      <c r="L46" s="748">
        <f t="shared" si="5"/>
        <v>0</v>
      </c>
      <c r="M46" s="748">
        <f t="shared" ca="1" si="5"/>
        <v>0</v>
      </c>
      <c r="N46" s="748">
        <f t="shared" si="5"/>
        <v>0</v>
      </c>
      <c r="O46" s="748">
        <f t="shared" ca="1" si="5"/>
        <v>0</v>
      </c>
      <c r="P46" s="748">
        <f t="shared" si="5"/>
        <v>0</v>
      </c>
      <c r="Q46" s="748">
        <f t="shared" si="5"/>
        <v>0</v>
      </c>
      <c r="R46" s="748">
        <f ca="1">SUM(R39:R45)</f>
        <v>101597.37343823683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724.24250263887939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724.24250263887939</v>
      </c>
    </row>
    <row r="50" spans="1:18">
      <c r="A50" s="850" t="s">
        <v>306</v>
      </c>
      <c r="B50" s="860"/>
      <c r="C50" s="718">
        <f ca="1">transport!B18</f>
        <v>23.391376557991837</v>
      </c>
      <c r="D50" s="718">
        <f>transport!C18</f>
        <v>0</v>
      </c>
      <c r="E50" s="718">
        <f>transport!D18</f>
        <v>97.424111414853314</v>
      </c>
      <c r="F50" s="718">
        <f>transport!E18</f>
        <v>83.729210657457102</v>
      </c>
      <c r="G50" s="718">
        <f>transport!F18</f>
        <v>0</v>
      </c>
      <c r="H50" s="718">
        <f>transport!G18</f>
        <v>43717.269301729153</v>
      </c>
      <c r="I50" s="718">
        <f>transport!H18</f>
        <v>8924.0064688976636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52845.820469257116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23.391376557991837</v>
      </c>
      <c r="D52" s="748">
        <f t="shared" ref="D52:Q52" ca="1" si="6">SUM(D48:D51)</f>
        <v>0</v>
      </c>
      <c r="E52" s="748">
        <f t="shared" si="6"/>
        <v>97.424111414853314</v>
      </c>
      <c r="F52" s="748">
        <f t="shared" si="6"/>
        <v>83.729210657457102</v>
      </c>
      <c r="G52" s="748">
        <f t="shared" si="6"/>
        <v>0</v>
      </c>
      <c r="H52" s="748">
        <f t="shared" si="6"/>
        <v>44441.511804368034</v>
      </c>
      <c r="I52" s="748">
        <f t="shared" si="6"/>
        <v>8924.0064688976636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53570.062971895997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273.28597525304366</v>
      </c>
      <c r="D54" s="718">
        <f ca="1">+landbouw!C12</f>
        <v>0</v>
      </c>
      <c r="E54" s="718">
        <f>+landbouw!D12</f>
        <v>71.776626939468002</v>
      </c>
      <c r="F54" s="718">
        <f>+landbouw!E12</f>
        <v>9.4770998002956279</v>
      </c>
      <c r="G54" s="718">
        <f>+landbouw!F12</f>
        <v>1262.2687678485167</v>
      </c>
      <c r="H54" s="718">
        <f>+landbouw!G12</f>
        <v>0</v>
      </c>
      <c r="I54" s="718">
        <f>+landbouw!H12</f>
        <v>0</v>
      </c>
      <c r="J54" s="718">
        <f>+landbouw!I12</f>
        <v>0</v>
      </c>
      <c r="K54" s="718">
        <f>+landbouw!J12</f>
        <v>130.46565955215522</v>
      </c>
      <c r="L54" s="718">
        <f>+landbouw!K12</f>
        <v>0</v>
      </c>
      <c r="M54" s="718">
        <f>+landbouw!L12</f>
        <v>0</v>
      </c>
      <c r="N54" s="718">
        <f>+landbouw!M12</f>
        <v>0</v>
      </c>
      <c r="O54" s="718">
        <f>+landbouw!N12</f>
        <v>0</v>
      </c>
      <c r="P54" s="718">
        <f>+landbouw!O12</f>
        <v>0</v>
      </c>
      <c r="Q54" s="719">
        <f>+landbouw!P12</f>
        <v>0</v>
      </c>
      <c r="R54" s="747">
        <f ca="1">SUM(C54:Q54)</f>
        <v>1747.2741293934791</v>
      </c>
    </row>
    <row r="55" spans="1:18" ht="15" thickBot="1">
      <c r="A55" s="850" t="s">
        <v>734</v>
      </c>
      <c r="B55" s="860"/>
      <c r="C55" s="718">
        <f ca="1">C25*'EF ele_warmte'!B12</f>
        <v>409.15599243102315</v>
      </c>
      <c r="D55" s="718"/>
      <c r="E55" s="718">
        <f>E25*EF_CO2_aardgas</f>
        <v>698.29134347800004</v>
      </c>
      <c r="F55" s="718"/>
      <c r="G55" s="718"/>
      <c r="H55" s="718"/>
      <c r="I55" s="718"/>
      <c r="J55" s="718"/>
      <c r="K55" s="718"/>
      <c r="L55" s="718"/>
      <c r="M55" s="718"/>
      <c r="N55" s="718"/>
      <c r="O55" s="718"/>
      <c r="P55" s="718"/>
      <c r="Q55" s="719"/>
      <c r="R55" s="747">
        <f ca="1">SUM(C55:Q55)</f>
        <v>1107.4473359090232</v>
      </c>
    </row>
    <row r="56" spans="1:18" ht="15.75" thickBot="1">
      <c r="A56" s="848" t="s">
        <v>735</v>
      </c>
      <c r="B56" s="861"/>
      <c r="C56" s="748">
        <f ca="1">SUM(C54:C55)</f>
        <v>682.44196768406687</v>
      </c>
      <c r="D56" s="748">
        <f t="shared" ref="D56:Q56" ca="1" si="7">SUM(D54:D55)</f>
        <v>0</v>
      </c>
      <c r="E56" s="748">
        <f t="shared" si="7"/>
        <v>770.06797041746802</v>
      </c>
      <c r="F56" s="748">
        <f t="shared" si="7"/>
        <v>9.4770998002956279</v>
      </c>
      <c r="G56" s="748">
        <f t="shared" si="7"/>
        <v>1262.2687678485167</v>
      </c>
      <c r="H56" s="748">
        <f t="shared" si="7"/>
        <v>0</v>
      </c>
      <c r="I56" s="748">
        <f t="shared" si="7"/>
        <v>0</v>
      </c>
      <c r="J56" s="748">
        <f t="shared" si="7"/>
        <v>0</v>
      </c>
      <c r="K56" s="748">
        <f t="shared" si="7"/>
        <v>130.46565955215522</v>
      </c>
      <c r="L56" s="748">
        <f t="shared" si="7"/>
        <v>0</v>
      </c>
      <c r="M56" s="748">
        <f t="shared" si="7"/>
        <v>0</v>
      </c>
      <c r="N56" s="748">
        <f t="shared" si="7"/>
        <v>0</v>
      </c>
      <c r="O56" s="748">
        <f t="shared" si="7"/>
        <v>0</v>
      </c>
      <c r="P56" s="748">
        <f t="shared" si="7"/>
        <v>0</v>
      </c>
      <c r="Q56" s="749">
        <f t="shared" si="7"/>
        <v>0</v>
      </c>
      <c r="R56" s="750">
        <f ca="1">SUM(R54:R55)</f>
        <v>2854.7214653025021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34997.810608168795</v>
      </c>
      <c r="D61" s="756">
        <f t="shared" ref="D61:Q61" ca="1" si="8">D46+D52+D56</f>
        <v>0</v>
      </c>
      <c r="E61" s="756">
        <f t="shared" ca="1" si="8"/>
        <v>43735.484495059318</v>
      </c>
      <c r="F61" s="756">
        <f t="shared" si="8"/>
        <v>5044.5996549311258</v>
      </c>
      <c r="G61" s="756">
        <f t="shared" ca="1" si="8"/>
        <v>20228.118415530687</v>
      </c>
      <c r="H61" s="756">
        <f t="shared" si="8"/>
        <v>44441.511804368034</v>
      </c>
      <c r="I61" s="756">
        <f t="shared" si="8"/>
        <v>8924.0064688976636</v>
      </c>
      <c r="J61" s="756">
        <f t="shared" si="8"/>
        <v>0</v>
      </c>
      <c r="K61" s="756">
        <f t="shared" si="8"/>
        <v>650.62642847971358</v>
      </c>
      <c r="L61" s="756">
        <f t="shared" si="8"/>
        <v>0</v>
      </c>
      <c r="M61" s="756">
        <f t="shared" ca="1" si="8"/>
        <v>0</v>
      </c>
      <c r="N61" s="756">
        <f t="shared" si="8"/>
        <v>0</v>
      </c>
      <c r="O61" s="756">
        <f t="shared" ca="1" si="8"/>
        <v>0</v>
      </c>
      <c r="P61" s="756">
        <f t="shared" si="8"/>
        <v>0</v>
      </c>
      <c r="Q61" s="756">
        <f t="shared" si="8"/>
        <v>0</v>
      </c>
      <c r="R61" s="756">
        <f ca="1">R46+R52+R56</f>
        <v>158022.15787543534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0.2042946190472838</v>
      </c>
      <c r="D63" s="802">
        <f t="shared" ca="1" si="9"/>
        <v>0</v>
      </c>
      <c r="E63" s="1008">
        <f t="shared" ca="1" si="9"/>
        <v>0.20200000000000001</v>
      </c>
      <c r="F63" s="802">
        <f t="shared" si="9"/>
        <v>0.22700000000000004</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10762.352672480669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2187</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6248.5714285714294</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12949.352672480669</v>
      </c>
      <c r="C78" s="774">
        <f>SUM(C72:C77)</f>
        <v>0</v>
      </c>
      <c r="D78" s="775">
        <f t="shared" ref="D78:H78" si="10">SUM(D76:D77)</f>
        <v>0</v>
      </c>
      <c r="E78" s="775">
        <f t="shared" si="10"/>
        <v>0</v>
      </c>
      <c r="F78" s="775">
        <f t="shared" si="10"/>
        <v>0</v>
      </c>
      <c r="G78" s="775">
        <f t="shared" si="10"/>
        <v>0</v>
      </c>
      <c r="H78" s="775">
        <f t="shared" si="10"/>
        <v>0</v>
      </c>
      <c r="I78" s="775">
        <f>SUM(I76:I77)</f>
        <v>0</v>
      </c>
      <c r="J78" s="775">
        <f>SUM(J76:J77)</f>
        <v>6248.5714285714294</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66960.259115152032</v>
      </c>
      <c r="C4" s="478">
        <f>huishoudens!C8</f>
        <v>0</v>
      </c>
      <c r="D4" s="478">
        <f>huishoudens!D8</f>
        <v>115224.64674160001</v>
      </c>
      <c r="E4" s="478">
        <f>huishoudens!E8</f>
        <v>18901.981988971846</v>
      </c>
      <c r="F4" s="478">
        <f>huishoudens!F8</f>
        <v>57658.343117171848</v>
      </c>
      <c r="G4" s="478">
        <f>huishoudens!G8</f>
        <v>0</v>
      </c>
      <c r="H4" s="478">
        <f>huishoudens!H8</f>
        <v>0</v>
      </c>
      <c r="I4" s="478">
        <f>huishoudens!I8</f>
        <v>0</v>
      </c>
      <c r="J4" s="478">
        <f>huishoudens!J8</f>
        <v>1229.9023372304837</v>
      </c>
      <c r="K4" s="478">
        <f>huishoudens!K8</f>
        <v>0</v>
      </c>
      <c r="L4" s="478">
        <f>huishoudens!L8</f>
        <v>0</v>
      </c>
      <c r="M4" s="478">
        <f>huishoudens!M8</f>
        <v>0</v>
      </c>
      <c r="N4" s="478">
        <f>huishoudens!N8</f>
        <v>36712.378547449269</v>
      </c>
      <c r="O4" s="478">
        <f>huishoudens!O8</f>
        <v>622.96288088752794</v>
      </c>
      <c r="P4" s="479">
        <f>huishoudens!P8</f>
        <v>1074.4638493838725</v>
      </c>
      <c r="Q4" s="480">
        <f>SUM(B4:P4)</f>
        <v>298384.93857784691</v>
      </c>
    </row>
    <row r="5" spans="1:17">
      <c r="A5" s="477" t="s">
        <v>155</v>
      </c>
      <c r="B5" s="478">
        <f ca="1">tertiair!B16</f>
        <v>49415.735463999998</v>
      </c>
      <c r="C5" s="478">
        <f ca="1">tertiair!C16</f>
        <v>0</v>
      </c>
      <c r="D5" s="478">
        <f ca="1">tertiair!D16</f>
        <v>47254.843722195998</v>
      </c>
      <c r="E5" s="478">
        <f>tertiair!E16</f>
        <v>860.03402071444089</v>
      </c>
      <c r="F5" s="478">
        <f ca="1">tertiair!F16</f>
        <v>5122.0767048720363</v>
      </c>
      <c r="G5" s="478">
        <f>tertiair!G16</f>
        <v>0</v>
      </c>
      <c r="H5" s="478">
        <f>tertiair!H16</f>
        <v>0</v>
      </c>
      <c r="I5" s="478">
        <f>tertiair!I16</f>
        <v>0</v>
      </c>
      <c r="J5" s="478">
        <f>tertiair!J16</f>
        <v>5.2178974449058217E-2</v>
      </c>
      <c r="K5" s="478">
        <f>tertiair!K16</f>
        <v>0</v>
      </c>
      <c r="L5" s="478">
        <f ca="1">tertiair!L16</f>
        <v>0</v>
      </c>
      <c r="M5" s="478">
        <f>tertiair!M16</f>
        <v>0</v>
      </c>
      <c r="N5" s="478">
        <f ca="1">tertiair!N16</f>
        <v>0</v>
      </c>
      <c r="O5" s="478">
        <f>tertiair!O16</f>
        <v>19.589043063364617</v>
      </c>
      <c r="P5" s="479">
        <f>tertiair!P16</f>
        <v>157.61741491948504</v>
      </c>
      <c r="Q5" s="477">
        <f t="shared" ref="Q5:Q14" ca="1" si="0">SUM(B5:P5)</f>
        <v>102829.94854873978</v>
      </c>
    </row>
    <row r="6" spans="1:17">
      <c r="A6" s="477" t="s">
        <v>193</v>
      </c>
      <c r="B6" s="478">
        <f>'openbare verlichting'!B8</f>
        <v>2535.9050000000002</v>
      </c>
      <c r="C6" s="478"/>
      <c r="D6" s="478"/>
      <c r="E6" s="478"/>
      <c r="F6" s="478"/>
      <c r="G6" s="478"/>
      <c r="H6" s="478"/>
      <c r="I6" s="478"/>
      <c r="J6" s="478"/>
      <c r="K6" s="478"/>
      <c r="L6" s="478"/>
      <c r="M6" s="478"/>
      <c r="N6" s="478"/>
      <c r="O6" s="478"/>
      <c r="P6" s="479"/>
      <c r="Q6" s="477">
        <f t="shared" si="0"/>
        <v>2535.9050000000002</v>
      </c>
    </row>
    <row r="7" spans="1:17">
      <c r="A7" s="477" t="s">
        <v>111</v>
      </c>
      <c r="B7" s="478">
        <f>landbouw!B8</f>
        <v>1337.705205</v>
      </c>
      <c r="C7" s="478">
        <f>landbouw!C8</f>
        <v>0</v>
      </c>
      <c r="D7" s="478">
        <f>landbouw!D8</f>
        <v>355.32983633399999</v>
      </c>
      <c r="E7" s="478">
        <f>landbouw!E8</f>
        <v>41.749338327293515</v>
      </c>
      <c r="F7" s="478">
        <f>landbouw!F8</f>
        <v>4727.5983814551182</v>
      </c>
      <c r="G7" s="478">
        <f>landbouw!G8</f>
        <v>0</v>
      </c>
      <c r="H7" s="478">
        <f>landbouw!H8</f>
        <v>0</v>
      </c>
      <c r="I7" s="478">
        <f>landbouw!I8</f>
        <v>0</v>
      </c>
      <c r="J7" s="478">
        <f>landbouw!J8</f>
        <v>368.54706088179444</v>
      </c>
      <c r="K7" s="478">
        <f>landbouw!K8</f>
        <v>0</v>
      </c>
      <c r="L7" s="478">
        <f>landbouw!L8</f>
        <v>0</v>
      </c>
      <c r="M7" s="478">
        <f>landbouw!M8</f>
        <v>0</v>
      </c>
      <c r="N7" s="478">
        <f>landbouw!N8</f>
        <v>0</v>
      </c>
      <c r="O7" s="478">
        <f>landbouw!O8</f>
        <v>0</v>
      </c>
      <c r="P7" s="479">
        <f>landbouw!P8</f>
        <v>0</v>
      </c>
      <c r="Q7" s="477">
        <f t="shared" si="0"/>
        <v>6830.9298219982056</v>
      </c>
    </row>
    <row r="8" spans="1:17">
      <c r="A8" s="477" t="s">
        <v>629</v>
      </c>
      <c r="B8" s="478">
        <f>industrie!B18</f>
        <v>48943.609410000005</v>
      </c>
      <c r="C8" s="478">
        <f>industrie!C18</f>
        <v>0</v>
      </c>
      <c r="D8" s="478">
        <f>industrie!D18</f>
        <v>49738.293760100001</v>
      </c>
      <c r="E8" s="478">
        <f>industrie!E18</f>
        <v>2050.2894725752658</v>
      </c>
      <c r="F8" s="478">
        <f>industrie!F18</f>
        <v>8252.7249258294069</v>
      </c>
      <c r="G8" s="478">
        <f>industrie!G18</f>
        <v>0</v>
      </c>
      <c r="H8" s="478">
        <f>industrie!H18</f>
        <v>0</v>
      </c>
      <c r="I8" s="478">
        <f>industrie!I18</f>
        <v>0</v>
      </c>
      <c r="J8" s="478">
        <f>industrie!J18</f>
        <v>239.42618698026052</v>
      </c>
      <c r="K8" s="478">
        <f>industrie!K18</f>
        <v>0</v>
      </c>
      <c r="L8" s="478">
        <f>industrie!L18</f>
        <v>0</v>
      </c>
      <c r="M8" s="478">
        <f>industrie!M18</f>
        <v>0</v>
      </c>
      <c r="N8" s="478">
        <f>industrie!N18</f>
        <v>2310.2965306135934</v>
      </c>
      <c r="O8" s="478">
        <f>industrie!O18</f>
        <v>0</v>
      </c>
      <c r="P8" s="479">
        <f>industrie!P18</f>
        <v>0</v>
      </c>
      <c r="Q8" s="477">
        <f t="shared" si="0"/>
        <v>111534.64028609853</v>
      </c>
    </row>
    <row r="9" spans="1:17" s="483" customFormat="1">
      <c r="A9" s="481" t="s">
        <v>555</v>
      </c>
      <c r="B9" s="482">
        <f>transport!B14</f>
        <v>114.49825094305557</v>
      </c>
      <c r="C9" s="482">
        <f>transport!C14</f>
        <v>0</v>
      </c>
      <c r="D9" s="482">
        <f>transport!D14</f>
        <v>482.29758126165001</v>
      </c>
      <c r="E9" s="482">
        <f>transport!E14</f>
        <v>368.85114827073613</v>
      </c>
      <c r="F9" s="482">
        <f>transport!F14</f>
        <v>0</v>
      </c>
      <c r="G9" s="482">
        <f>transport!G14</f>
        <v>163735.09101771217</v>
      </c>
      <c r="H9" s="482">
        <f>transport!H14</f>
        <v>35839.383409227565</v>
      </c>
      <c r="I9" s="482">
        <f>transport!I14</f>
        <v>0</v>
      </c>
      <c r="J9" s="482">
        <f>transport!J14</f>
        <v>0</v>
      </c>
      <c r="K9" s="482">
        <f>transport!K14</f>
        <v>0</v>
      </c>
      <c r="L9" s="482">
        <f>transport!L14</f>
        <v>0</v>
      </c>
      <c r="M9" s="482">
        <f>transport!M14</f>
        <v>11796.465768254811</v>
      </c>
      <c r="N9" s="482">
        <f>transport!N14</f>
        <v>0</v>
      </c>
      <c r="O9" s="482">
        <f>transport!O14</f>
        <v>0</v>
      </c>
      <c r="P9" s="482">
        <f>transport!P14</f>
        <v>0</v>
      </c>
      <c r="Q9" s="481">
        <f>SUM(B9:P9)</f>
        <v>212336.58717566996</v>
      </c>
    </row>
    <row r="10" spans="1:17">
      <c r="A10" s="477" t="s">
        <v>545</v>
      </c>
      <c r="B10" s="478">
        <f>transport!B54</f>
        <v>0</v>
      </c>
      <c r="C10" s="478">
        <f>transport!C54</f>
        <v>0</v>
      </c>
      <c r="D10" s="478">
        <f>transport!D54</f>
        <v>0</v>
      </c>
      <c r="E10" s="478">
        <f>transport!E54</f>
        <v>0</v>
      </c>
      <c r="F10" s="478">
        <f>transport!F54</f>
        <v>0</v>
      </c>
      <c r="G10" s="478">
        <f>transport!G54</f>
        <v>2712.5187364752037</v>
      </c>
      <c r="H10" s="478">
        <f>transport!H54</f>
        <v>0</v>
      </c>
      <c r="I10" s="478">
        <f>transport!I54</f>
        <v>0</v>
      </c>
      <c r="J10" s="478">
        <f>transport!J54</f>
        <v>0</v>
      </c>
      <c r="K10" s="478">
        <f>transport!K54</f>
        <v>0</v>
      </c>
      <c r="L10" s="478">
        <f>transport!L54</f>
        <v>0</v>
      </c>
      <c r="M10" s="478">
        <f>transport!M54</f>
        <v>150.76209149700273</v>
      </c>
      <c r="N10" s="478">
        <f>transport!N54</f>
        <v>0</v>
      </c>
      <c r="O10" s="478">
        <f>transport!O54</f>
        <v>0</v>
      </c>
      <c r="P10" s="479">
        <f>transport!P54</f>
        <v>0</v>
      </c>
      <c r="Q10" s="477">
        <f t="shared" si="0"/>
        <v>2863.2808279722062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2002.7742009999999</v>
      </c>
      <c r="C14" s="485"/>
      <c r="D14" s="485">
        <f>'SEAP template'!E25</f>
        <v>3456.887839</v>
      </c>
      <c r="E14" s="485"/>
      <c r="F14" s="485"/>
      <c r="G14" s="485"/>
      <c r="H14" s="485"/>
      <c r="I14" s="485"/>
      <c r="J14" s="485"/>
      <c r="K14" s="485"/>
      <c r="L14" s="485"/>
      <c r="M14" s="485"/>
      <c r="N14" s="485"/>
      <c r="O14" s="485"/>
      <c r="P14" s="486"/>
      <c r="Q14" s="477">
        <f t="shared" si="0"/>
        <v>5459.6620400000002</v>
      </c>
    </row>
    <row r="15" spans="1:17" s="489" customFormat="1">
      <c r="A15" s="487" t="s">
        <v>549</v>
      </c>
      <c r="B15" s="488">
        <f ca="1">SUM(B4:B14)</f>
        <v>171310.48664609509</v>
      </c>
      <c r="C15" s="488">
        <f t="shared" ref="C15:Q15" ca="1" si="1">SUM(C4:C14)</f>
        <v>0</v>
      </c>
      <c r="D15" s="488">
        <f t="shared" ca="1" si="1"/>
        <v>216512.29948049167</v>
      </c>
      <c r="E15" s="488">
        <f t="shared" si="1"/>
        <v>22222.905968859581</v>
      </c>
      <c r="F15" s="488">
        <f t="shared" ca="1" si="1"/>
        <v>75760.743129328403</v>
      </c>
      <c r="G15" s="488">
        <f t="shared" si="1"/>
        <v>166447.60975418738</v>
      </c>
      <c r="H15" s="488">
        <f t="shared" si="1"/>
        <v>35839.383409227565</v>
      </c>
      <c r="I15" s="488">
        <f t="shared" si="1"/>
        <v>0</v>
      </c>
      <c r="J15" s="488">
        <f t="shared" si="1"/>
        <v>1837.9277640669877</v>
      </c>
      <c r="K15" s="488">
        <f t="shared" si="1"/>
        <v>0</v>
      </c>
      <c r="L15" s="488">
        <f t="shared" ca="1" si="1"/>
        <v>0</v>
      </c>
      <c r="M15" s="488">
        <f t="shared" si="1"/>
        <v>11947.227859751814</v>
      </c>
      <c r="N15" s="488">
        <f t="shared" ca="1" si="1"/>
        <v>39022.675078062864</v>
      </c>
      <c r="O15" s="488">
        <f t="shared" si="1"/>
        <v>642.55192395089261</v>
      </c>
      <c r="P15" s="488">
        <f t="shared" si="1"/>
        <v>1232.0812643033576</v>
      </c>
      <c r="Q15" s="488">
        <f t="shared" ca="1" si="1"/>
        <v>742775.89227832563</v>
      </c>
    </row>
    <row r="17" spans="1:17">
      <c r="A17" s="490" t="s">
        <v>550</v>
      </c>
      <c r="B17" s="807">
        <f ca="1">huishoudens!B10</f>
        <v>0.20429461904728377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13679.620627237395</v>
      </c>
      <c r="C22" s="478">
        <f t="shared" ref="C22:C32" ca="1" si="3">C4*$C$17</f>
        <v>0</v>
      </c>
      <c r="D22" s="478">
        <f t="shared" ref="D22:D32" si="4">D4*$D$17</f>
        <v>23275.378641803203</v>
      </c>
      <c r="E22" s="478">
        <f t="shared" ref="E22:E32" si="5">E4*$E$17</f>
        <v>4290.7499114966095</v>
      </c>
      <c r="F22" s="478">
        <f t="shared" ref="F22:F32" si="6">F4*$F$17</f>
        <v>15394.777612284885</v>
      </c>
      <c r="G22" s="478">
        <f t="shared" ref="G22:G32" si="7">G4*$G$17</f>
        <v>0</v>
      </c>
      <c r="H22" s="478">
        <f t="shared" ref="H22:H32" si="8">H4*$H$17</f>
        <v>0</v>
      </c>
      <c r="I22" s="478">
        <f t="shared" ref="I22:I32" si="9">I4*$I$17</f>
        <v>0</v>
      </c>
      <c r="J22" s="478">
        <f t="shared" ref="J22:J32" si="10">J4*$J$17</f>
        <v>435.38542737959119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57075.912220201688</v>
      </c>
    </row>
    <row r="23" spans="1:17">
      <c r="A23" s="477" t="s">
        <v>155</v>
      </c>
      <c r="B23" s="478">
        <f t="shared" ca="1" si="2"/>
        <v>10095.368851559229</v>
      </c>
      <c r="C23" s="478">
        <f t="shared" ca="1" si="3"/>
        <v>0</v>
      </c>
      <c r="D23" s="478">
        <f t="shared" ca="1" si="4"/>
        <v>9545.4784318835918</v>
      </c>
      <c r="E23" s="478">
        <f t="shared" si="5"/>
        <v>195.22772270217808</v>
      </c>
      <c r="F23" s="478">
        <f t="shared" ca="1" si="6"/>
        <v>1367.5944802008337</v>
      </c>
      <c r="G23" s="478">
        <f t="shared" si="7"/>
        <v>0</v>
      </c>
      <c r="H23" s="478">
        <f t="shared" si="8"/>
        <v>0</v>
      </c>
      <c r="I23" s="478">
        <f t="shared" si="9"/>
        <v>0</v>
      </c>
      <c r="J23" s="478">
        <f t="shared" si="10"/>
        <v>1.8471356954966607E-2</v>
      </c>
      <c r="K23" s="478">
        <f t="shared" si="11"/>
        <v>0</v>
      </c>
      <c r="L23" s="478">
        <f t="shared" ca="1" si="12"/>
        <v>0</v>
      </c>
      <c r="M23" s="478">
        <f t="shared" si="13"/>
        <v>0</v>
      </c>
      <c r="N23" s="478">
        <f t="shared" ca="1" si="14"/>
        <v>0</v>
      </c>
      <c r="O23" s="478">
        <f t="shared" si="15"/>
        <v>0</v>
      </c>
      <c r="P23" s="479">
        <f t="shared" si="16"/>
        <v>0</v>
      </c>
      <c r="Q23" s="477">
        <f t="shared" ref="Q23:Q31" ca="1" si="17">SUM(B23:P23)</f>
        <v>21203.687957702787</v>
      </c>
    </row>
    <row r="24" spans="1:17">
      <c r="A24" s="477" t="s">
        <v>193</v>
      </c>
      <c r="B24" s="478">
        <f t="shared" ca="1" si="2"/>
        <v>518.07174591510216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518.07174591510216</v>
      </c>
    </row>
    <row r="25" spans="1:17">
      <c r="A25" s="477" t="s">
        <v>111</v>
      </c>
      <c r="B25" s="478">
        <f t="shared" ca="1" si="2"/>
        <v>273.28597525304366</v>
      </c>
      <c r="C25" s="478">
        <f t="shared" ca="1" si="3"/>
        <v>0</v>
      </c>
      <c r="D25" s="478">
        <f t="shared" si="4"/>
        <v>71.776626939468002</v>
      </c>
      <c r="E25" s="478">
        <f t="shared" si="5"/>
        <v>9.4770998002956279</v>
      </c>
      <c r="F25" s="478">
        <f t="shared" si="6"/>
        <v>1262.2687678485167</v>
      </c>
      <c r="G25" s="478">
        <f t="shared" si="7"/>
        <v>0</v>
      </c>
      <c r="H25" s="478">
        <f t="shared" si="8"/>
        <v>0</v>
      </c>
      <c r="I25" s="478">
        <f t="shared" si="9"/>
        <v>0</v>
      </c>
      <c r="J25" s="478">
        <f t="shared" si="10"/>
        <v>130.46565955215522</v>
      </c>
      <c r="K25" s="478">
        <f t="shared" si="11"/>
        <v>0</v>
      </c>
      <c r="L25" s="478">
        <f t="shared" si="12"/>
        <v>0</v>
      </c>
      <c r="M25" s="478">
        <f t="shared" si="13"/>
        <v>0</v>
      </c>
      <c r="N25" s="478">
        <f t="shared" si="14"/>
        <v>0</v>
      </c>
      <c r="O25" s="478">
        <f t="shared" si="15"/>
        <v>0</v>
      </c>
      <c r="P25" s="479">
        <f t="shared" si="16"/>
        <v>0</v>
      </c>
      <c r="Q25" s="477">
        <f t="shared" ca="1" si="17"/>
        <v>1747.2741293934791</v>
      </c>
    </row>
    <row r="26" spans="1:17">
      <c r="A26" s="477" t="s">
        <v>629</v>
      </c>
      <c r="B26" s="478">
        <f t="shared" ca="1" si="2"/>
        <v>9998.9160392150043</v>
      </c>
      <c r="C26" s="478">
        <f t="shared" ca="1" si="3"/>
        <v>0</v>
      </c>
      <c r="D26" s="478">
        <f t="shared" si="4"/>
        <v>10047.1353395402</v>
      </c>
      <c r="E26" s="478">
        <f t="shared" si="5"/>
        <v>465.41571027458536</v>
      </c>
      <c r="F26" s="478">
        <f t="shared" si="6"/>
        <v>2203.4775551964517</v>
      </c>
      <c r="G26" s="478">
        <f t="shared" si="7"/>
        <v>0</v>
      </c>
      <c r="H26" s="478">
        <f t="shared" si="8"/>
        <v>0</v>
      </c>
      <c r="I26" s="478">
        <f t="shared" si="9"/>
        <v>0</v>
      </c>
      <c r="J26" s="478">
        <f t="shared" si="10"/>
        <v>84.756870191012226</v>
      </c>
      <c r="K26" s="478">
        <f t="shared" si="11"/>
        <v>0</v>
      </c>
      <c r="L26" s="478">
        <f t="shared" si="12"/>
        <v>0</v>
      </c>
      <c r="M26" s="478">
        <f t="shared" si="13"/>
        <v>0</v>
      </c>
      <c r="N26" s="478">
        <f t="shared" si="14"/>
        <v>0</v>
      </c>
      <c r="O26" s="478">
        <f t="shared" si="15"/>
        <v>0</v>
      </c>
      <c r="P26" s="479">
        <f t="shared" si="16"/>
        <v>0</v>
      </c>
      <c r="Q26" s="477">
        <f t="shared" ca="1" si="17"/>
        <v>22799.701514417255</v>
      </c>
    </row>
    <row r="27" spans="1:17" s="483" customFormat="1">
      <c r="A27" s="481" t="s">
        <v>555</v>
      </c>
      <c r="B27" s="801">
        <f t="shared" ca="1" si="2"/>
        <v>23.391376557991837</v>
      </c>
      <c r="C27" s="482">
        <f t="shared" ca="1" si="3"/>
        <v>0</v>
      </c>
      <c r="D27" s="482">
        <f t="shared" si="4"/>
        <v>97.424111414853314</v>
      </c>
      <c r="E27" s="482">
        <f t="shared" si="5"/>
        <v>83.729210657457102</v>
      </c>
      <c r="F27" s="482">
        <f t="shared" si="6"/>
        <v>0</v>
      </c>
      <c r="G27" s="482">
        <f t="shared" si="7"/>
        <v>43717.269301729153</v>
      </c>
      <c r="H27" s="482">
        <f t="shared" si="8"/>
        <v>8924.0064688976636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52845.820469257116</v>
      </c>
    </row>
    <row r="28" spans="1:17" ht="16.5" customHeight="1">
      <c r="A28" s="477" t="s">
        <v>545</v>
      </c>
      <c r="B28" s="478">
        <f t="shared" ca="1" si="2"/>
        <v>0</v>
      </c>
      <c r="C28" s="478">
        <f t="shared" ca="1" si="3"/>
        <v>0</v>
      </c>
      <c r="D28" s="478">
        <f t="shared" si="4"/>
        <v>0</v>
      </c>
      <c r="E28" s="478">
        <f t="shared" si="5"/>
        <v>0</v>
      </c>
      <c r="F28" s="478">
        <f t="shared" si="6"/>
        <v>0</v>
      </c>
      <c r="G28" s="478">
        <f t="shared" si="7"/>
        <v>724.24250263887939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724.24250263887939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409.15599243102315</v>
      </c>
      <c r="C32" s="478">
        <f t="shared" ca="1" si="3"/>
        <v>0</v>
      </c>
      <c r="D32" s="478">
        <f t="shared" si="4"/>
        <v>698.29134347800004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1107.4473359090232</v>
      </c>
    </row>
    <row r="33" spans="1:17" s="489" customFormat="1">
      <c r="A33" s="487" t="s">
        <v>549</v>
      </c>
      <c r="B33" s="488">
        <f ca="1">SUM(B22:B32)</f>
        <v>34997.810608168787</v>
      </c>
      <c r="C33" s="488">
        <f t="shared" ref="C33:Q33" ca="1" si="19">SUM(C22:C32)</f>
        <v>0</v>
      </c>
      <c r="D33" s="488">
        <f t="shared" ca="1" si="19"/>
        <v>43735.484495059325</v>
      </c>
      <c r="E33" s="488">
        <f t="shared" si="19"/>
        <v>5044.5996549311258</v>
      </c>
      <c r="F33" s="488">
        <f t="shared" ca="1" si="19"/>
        <v>20228.118415530687</v>
      </c>
      <c r="G33" s="488">
        <f t="shared" si="19"/>
        <v>44441.511804368034</v>
      </c>
      <c r="H33" s="488">
        <f t="shared" si="19"/>
        <v>8924.0064688976636</v>
      </c>
      <c r="I33" s="488">
        <f t="shared" si="19"/>
        <v>0</v>
      </c>
      <c r="J33" s="488">
        <f t="shared" si="19"/>
        <v>650.6264284797137</v>
      </c>
      <c r="K33" s="488">
        <f t="shared" si="19"/>
        <v>0</v>
      </c>
      <c r="L33" s="488">
        <f t="shared" ca="1" si="19"/>
        <v>0</v>
      </c>
      <c r="M33" s="488">
        <f t="shared" si="19"/>
        <v>0</v>
      </c>
      <c r="N33" s="488">
        <f t="shared" ca="1" si="19"/>
        <v>0</v>
      </c>
      <c r="O33" s="488">
        <f t="shared" si="19"/>
        <v>0</v>
      </c>
      <c r="P33" s="488">
        <f t="shared" si="19"/>
        <v>0</v>
      </c>
      <c r="Q33" s="488">
        <f t="shared" ca="1" si="19"/>
        <v>158022.15787543531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10762.352672480669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2187</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6248.5714285714294</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12949.352672480669</v>
      </c>
      <c r="C10" s="1064">
        <f>SUM(C4:C9)</f>
        <v>0</v>
      </c>
      <c r="D10" s="1064">
        <f t="shared" ref="D10:H10" si="0">SUM(D8:D9)</f>
        <v>0</v>
      </c>
      <c r="E10" s="1064">
        <f t="shared" si="0"/>
        <v>0</v>
      </c>
      <c r="F10" s="1064">
        <f t="shared" si="0"/>
        <v>0</v>
      </c>
      <c r="G10" s="1064">
        <f t="shared" si="0"/>
        <v>0</v>
      </c>
      <c r="H10" s="1064">
        <f t="shared" si="0"/>
        <v>0</v>
      </c>
      <c r="I10" s="1064">
        <f>SUM(I8:I9)</f>
        <v>0</v>
      </c>
      <c r="J10" s="1064">
        <f>SUM(J8:J9)</f>
        <v>6248.5714285714294</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0.20429461904728377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0.20429461904728377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0.20429461904728377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0.20429461904728377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16209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3908.43</v>
      </c>
    </row>
    <row r="15" spans="1:6">
      <c r="A15" s="348" t="s">
        <v>183</v>
      </c>
      <c r="B15" s="334">
        <v>150</v>
      </c>
    </row>
    <row r="16" spans="1:6">
      <c r="A16" s="348" t="s">
        <v>6</v>
      </c>
      <c r="B16" s="334">
        <v>1608</v>
      </c>
    </row>
    <row r="17" spans="1:6">
      <c r="A17" s="348" t="s">
        <v>7</v>
      </c>
      <c r="B17" s="334">
        <v>1200</v>
      </c>
    </row>
    <row r="18" spans="1:6">
      <c r="A18" s="348" t="s">
        <v>8</v>
      </c>
      <c r="B18" s="334">
        <v>1888</v>
      </c>
    </row>
    <row r="19" spans="1:6">
      <c r="A19" s="348" t="s">
        <v>9</v>
      </c>
      <c r="B19" s="334">
        <v>1980</v>
      </c>
    </row>
    <row r="20" spans="1:6">
      <c r="A20" s="348" t="s">
        <v>10</v>
      </c>
      <c r="B20" s="334">
        <v>1679</v>
      </c>
    </row>
    <row r="21" spans="1:6">
      <c r="A21" s="348" t="s">
        <v>11</v>
      </c>
      <c r="B21" s="334">
        <v>47</v>
      </c>
    </row>
    <row r="22" spans="1:6">
      <c r="A22" s="348" t="s">
        <v>12</v>
      </c>
      <c r="B22" s="334">
        <v>830</v>
      </c>
    </row>
    <row r="23" spans="1:6">
      <c r="A23" s="348" t="s">
        <v>13</v>
      </c>
      <c r="B23" s="334">
        <v>10</v>
      </c>
    </row>
    <row r="24" spans="1:6">
      <c r="A24" s="348" t="s">
        <v>14</v>
      </c>
      <c r="B24" s="334">
        <v>0</v>
      </c>
    </row>
    <row r="25" spans="1:6">
      <c r="A25" s="348" t="s">
        <v>15</v>
      </c>
      <c r="B25" s="334">
        <v>35</v>
      </c>
    </row>
    <row r="26" spans="1:6">
      <c r="A26" s="348" t="s">
        <v>16</v>
      </c>
      <c r="B26" s="334">
        <v>891</v>
      </c>
    </row>
    <row r="27" spans="1:6">
      <c r="A27" s="348" t="s">
        <v>17</v>
      </c>
      <c r="B27" s="334">
        <v>1</v>
      </c>
    </row>
    <row r="28" spans="1:6" s="356" customFormat="1">
      <c r="A28" s="355" t="s">
        <v>18</v>
      </c>
      <c r="B28" s="355">
        <v>6</v>
      </c>
    </row>
    <row r="29" spans="1:6">
      <c r="A29" s="355" t="s">
        <v>713</v>
      </c>
      <c r="B29" s="355">
        <v>205</v>
      </c>
      <c r="C29" s="356"/>
      <c r="D29" s="356"/>
      <c r="E29" s="356"/>
      <c r="F29" s="356"/>
    </row>
    <row r="30" spans="1:6">
      <c r="A30" s="341" t="s">
        <v>714</v>
      </c>
      <c r="B30" s="341">
        <v>51</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4442.1099999999997</v>
      </c>
    </row>
    <row r="37" spans="1:6">
      <c r="A37" s="348" t="s">
        <v>24</v>
      </c>
      <c r="B37" s="348" t="s">
        <v>27</v>
      </c>
      <c r="C37" s="334">
        <v>0</v>
      </c>
      <c r="D37" s="334">
        <v>0</v>
      </c>
      <c r="E37" s="334">
        <v>0</v>
      </c>
      <c r="F37" s="334">
        <v>0</v>
      </c>
    </row>
    <row r="38" spans="1:6">
      <c r="A38" s="348" t="s">
        <v>24</v>
      </c>
      <c r="B38" s="348" t="s">
        <v>28</v>
      </c>
      <c r="C38" s="334">
        <v>2</v>
      </c>
      <c r="D38" s="334">
        <v>153247.451</v>
      </c>
      <c r="E38" s="334">
        <v>3</v>
      </c>
      <c r="F38" s="334">
        <v>8005.1279999999997</v>
      </c>
    </row>
    <row r="39" spans="1:6">
      <c r="A39" s="348" t="s">
        <v>29</v>
      </c>
      <c r="B39" s="348" t="s">
        <v>30</v>
      </c>
      <c r="C39" s="334">
        <v>9011</v>
      </c>
      <c r="D39" s="334">
        <v>127743510.8</v>
      </c>
      <c r="E39" s="334">
        <v>16020</v>
      </c>
      <c r="F39" s="334">
        <v>59937648.740000002</v>
      </c>
    </row>
    <row r="40" spans="1:6">
      <c r="A40" s="348" t="s">
        <v>29</v>
      </c>
      <c r="B40" s="348" t="s">
        <v>28</v>
      </c>
      <c r="C40" s="334">
        <v>0</v>
      </c>
      <c r="D40" s="334">
        <v>0</v>
      </c>
      <c r="E40" s="334">
        <v>0</v>
      </c>
      <c r="F40" s="334">
        <v>0</v>
      </c>
    </row>
    <row r="41" spans="1:6">
      <c r="A41" s="348" t="s">
        <v>31</v>
      </c>
      <c r="B41" s="348" t="s">
        <v>32</v>
      </c>
      <c r="C41" s="334">
        <v>76</v>
      </c>
      <c r="D41" s="334">
        <v>1417338.7660000001</v>
      </c>
      <c r="E41" s="334">
        <v>315</v>
      </c>
      <c r="F41" s="334">
        <v>2403763.5049999999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564619.50399999996</v>
      </c>
      <c r="E44" s="334">
        <v>28</v>
      </c>
      <c r="F44" s="334">
        <v>3108779.8360000001</v>
      </c>
    </row>
    <row r="45" spans="1:6">
      <c r="A45" s="348" t="s">
        <v>31</v>
      </c>
      <c r="B45" s="348" t="s">
        <v>36</v>
      </c>
      <c r="C45" s="334">
        <v>0</v>
      </c>
      <c r="D45" s="334">
        <v>0</v>
      </c>
      <c r="E45" s="334">
        <v>3</v>
      </c>
      <c r="F45" s="334">
        <v>577656.96499999997</v>
      </c>
    </row>
    <row r="46" spans="1:6">
      <c r="A46" s="348" t="s">
        <v>31</v>
      </c>
      <c r="B46" s="348" t="s">
        <v>37</v>
      </c>
      <c r="C46" s="334">
        <v>0</v>
      </c>
      <c r="D46" s="334">
        <v>0</v>
      </c>
      <c r="E46" s="334">
        <v>0</v>
      </c>
      <c r="F46" s="334">
        <v>0</v>
      </c>
    </row>
    <row r="47" spans="1:6">
      <c r="A47" s="348" t="s">
        <v>31</v>
      </c>
      <c r="B47" s="348" t="s">
        <v>38</v>
      </c>
      <c r="C47" s="334">
        <v>0</v>
      </c>
      <c r="D47" s="334">
        <v>0</v>
      </c>
      <c r="E47" s="334">
        <v>7</v>
      </c>
      <c r="F47" s="334">
        <v>66060.827000000005</v>
      </c>
    </row>
    <row r="48" spans="1:6">
      <c r="A48" s="348" t="s">
        <v>31</v>
      </c>
      <c r="B48" s="348" t="s">
        <v>28</v>
      </c>
      <c r="C48" s="334">
        <v>88</v>
      </c>
      <c r="D48" s="334">
        <v>26388459.5</v>
      </c>
      <c r="E48" s="334">
        <v>118</v>
      </c>
      <c r="F48" s="334">
        <v>27707374.460000001</v>
      </c>
    </row>
    <row r="49" spans="1:6">
      <c r="A49" s="348" t="s">
        <v>31</v>
      </c>
      <c r="B49" s="348" t="s">
        <v>39</v>
      </c>
      <c r="C49" s="334">
        <v>0</v>
      </c>
      <c r="D49" s="334">
        <v>0</v>
      </c>
      <c r="E49" s="334">
        <v>3</v>
      </c>
      <c r="F49" s="334">
        <v>27575.206999999999</v>
      </c>
    </row>
    <row r="50" spans="1:6">
      <c r="A50" s="348" t="s">
        <v>31</v>
      </c>
      <c r="B50" s="348" t="s">
        <v>40</v>
      </c>
      <c r="C50" s="334">
        <v>10</v>
      </c>
      <c r="D50" s="334">
        <v>26771814.780000001</v>
      </c>
      <c r="E50" s="334">
        <v>18</v>
      </c>
      <c r="F50" s="334">
        <v>15052398.609999999</v>
      </c>
    </row>
    <row r="51" spans="1:6">
      <c r="A51" s="348" t="s">
        <v>41</v>
      </c>
      <c r="B51" s="348" t="s">
        <v>42</v>
      </c>
      <c r="C51" s="334">
        <v>8</v>
      </c>
      <c r="D51" s="334">
        <v>291384.06300000002</v>
      </c>
      <c r="E51" s="334">
        <v>94</v>
      </c>
      <c r="F51" s="334">
        <v>1124541.281</v>
      </c>
    </row>
    <row r="52" spans="1:6">
      <c r="A52" s="348" t="s">
        <v>41</v>
      </c>
      <c r="B52" s="348" t="s">
        <v>28</v>
      </c>
      <c r="C52" s="334">
        <v>9</v>
      </c>
      <c r="D52" s="334">
        <v>102551.454</v>
      </c>
      <c r="E52" s="334">
        <v>21</v>
      </c>
      <c r="F52" s="334">
        <v>213163.924</v>
      </c>
    </row>
    <row r="53" spans="1:6">
      <c r="A53" s="348" t="s">
        <v>43</v>
      </c>
      <c r="B53" s="348" t="s">
        <v>44</v>
      </c>
      <c r="C53" s="334">
        <v>240</v>
      </c>
      <c r="D53" s="334">
        <v>3456887.8390000002</v>
      </c>
      <c r="E53" s="334">
        <v>589</v>
      </c>
      <c r="F53" s="334">
        <v>2002774.2009999999</v>
      </c>
    </row>
    <row r="54" spans="1:6">
      <c r="A54" s="348" t="s">
        <v>45</v>
      </c>
      <c r="B54" s="348" t="s">
        <v>46</v>
      </c>
      <c r="C54" s="334">
        <v>0</v>
      </c>
      <c r="D54" s="334">
        <v>0</v>
      </c>
      <c r="E54" s="334">
        <v>1</v>
      </c>
      <c r="F54" s="334">
        <v>2535905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81</v>
      </c>
      <c r="D57" s="334">
        <v>2766016.7140000002</v>
      </c>
      <c r="E57" s="334">
        <v>182</v>
      </c>
      <c r="F57" s="334">
        <v>2342836.969</v>
      </c>
    </row>
    <row r="58" spans="1:6">
      <c r="A58" s="348" t="s">
        <v>48</v>
      </c>
      <c r="B58" s="348" t="s">
        <v>50</v>
      </c>
      <c r="C58" s="334">
        <v>48</v>
      </c>
      <c r="D58" s="334">
        <v>1348501.53</v>
      </c>
      <c r="E58" s="334">
        <v>93</v>
      </c>
      <c r="F58" s="334">
        <v>1060512.26</v>
      </c>
    </row>
    <row r="59" spans="1:6">
      <c r="A59" s="348" t="s">
        <v>48</v>
      </c>
      <c r="B59" s="348" t="s">
        <v>51</v>
      </c>
      <c r="C59" s="334">
        <v>194</v>
      </c>
      <c r="D59" s="334">
        <v>15061295.789999999</v>
      </c>
      <c r="E59" s="334">
        <v>520</v>
      </c>
      <c r="F59" s="334">
        <v>23386336.32</v>
      </c>
    </row>
    <row r="60" spans="1:6">
      <c r="A60" s="348" t="s">
        <v>48</v>
      </c>
      <c r="B60" s="348" t="s">
        <v>52</v>
      </c>
      <c r="C60" s="334">
        <v>124</v>
      </c>
      <c r="D60" s="334">
        <v>4598743.4069999997</v>
      </c>
      <c r="E60" s="334">
        <v>205</v>
      </c>
      <c r="F60" s="334">
        <v>4903895.1270000003</v>
      </c>
    </row>
    <row r="61" spans="1:6">
      <c r="A61" s="348" t="s">
        <v>48</v>
      </c>
      <c r="B61" s="348" t="s">
        <v>53</v>
      </c>
      <c r="C61" s="334">
        <v>208</v>
      </c>
      <c r="D61" s="334">
        <v>7553772.0580000002</v>
      </c>
      <c r="E61" s="334">
        <v>749</v>
      </c>
      <c r="F61" s="334">
        <v>8048639.5319999997</v>
      </c>
    </row>
    <row r="62" spans="1:6">
      <c r="A62" s="348" t="s">
        <v>48</v>
      </c>
      <c r="B62" s="348" t="s">
        <v>54</v>
      </c>
      <c r="C62" s="334">
        <v>44</v>
      </c>
      <c r="D62" s="334">
        <v>9744917.7689999994</v>
      </c>
      <c r="E62" s="334">
        <v>30</v>
      </c>
      <c r="F62" s="334">
        <v>1012636.514</v>
      </c>
    </row>
    <row r="63" spans="1:6">
      <c r="A63" s="348" t="s">
        <v>48</v>
      </c>
      <c r="B63" s="348" t="s">
        <v>28</v>
      </c>
      <c r="C63" s="334">
        <v>229</v>
      </c>
      <c r="D63" s="334">
        <v>11315714.73</v>
      </c>
      <c r="E63" s="334">
        <v>302</v>
      </c>
      <c r="F63" s="334">
        <v>6473878.7419999996</v>
      </c>
    </row>
    <row r="64" spans="1:6">
      <c r="A64" s="348" t="s">
        <v>55</v>
      </c>
      <c r="B64" s="348" t="s">
        <v>56</v>
      </c>
      <c r="C64" s="334">
        <v>0</v>
      </c>
      <c r="D64" s="334">
        <v>0</v>
      </c>
      <c r="E64" s="334">
        <v>0</v>
      </c>
      <c r="F64" s="334">
        <v>0</v>
      </c>
    </row>
    <row r="65" spans="1:6">
      <c r="A65" s="348" t="s">
        <v>55</v>
      </c>
      <c r="B65" s="348" t="s">
        <v>28</v>
      </c>
      <c r="C65" s="334">
        <v>7</v>
      </c>
      <c r="D65" s="334">
        <v>268388.95400000003</v>
      </c>
      <c r="E65" s="334">
        <v>10</v>
      </c>
      <c r="F65" s="334">
        <v>164582.51300000001</v>
      </c>
    </row>
    <row r="66" spans="1:6">
      <c r="A66" s="348" t="s">
        <v>55</v>
      </c>
      <c r="B66" s="348" t="s">
        <v>57</v>
      </c>
      <c r="C66" s="334">
        <v>0</v>
      </c>
      <c r="D66" s="334">
        <v>0</v>
      </c>
      <c r="E66" s="334">
        <v>20</v>
      </c>
      <c r="F66" s="334">
        <v>366433.92700000003</v>
      </c>
    </row>
    <row r="67" spans="1:6">
      <c r="A67" s="355" t="s">
        <v>55</v>
      </c>
      <c r="B67" s="355" t="s">
        <v>58</v>
      </c>
      <c r="C67" s="334">
        <v>0</v>
      </c>
      <c r="D67" s="334">
        <v>0</v>
      </c>
      <c r="E67" s="334">
        <v>0</v>
      </c>
      <c r="F67" s="334">
        <v>0</v>
      </c>
    </row>
    <row r="68" spans="1:6">
      <c r="A68" s="341" t="s">
        <v>55</v>
      </c>
      <c r="B68" s="341" t="s">
        <v>59</v>
      </c>
      <c r="C68" s="334">
        <v>5</v>
      </c>
      <c r="D68" s="334">
        <v>48521.428</v>
      </c>
      <c r="E68" s="334">
        <v>15</v>
      </c>
      <c r="F68" s="334">
        <v>162460.16399999999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152934015</v>
      </c>
      <c r="E73" s="476"/>
    </row>
    <row r="74" spans="1:6">
      <c r="A74" s="348" t="s">
        <v>63</v>
      </c>
      <c r="B74" s="348" t="s">
        <v>651</v>
      </c>
      <c r="C74" s="1307" t="s">
        <v>653</v>
      </c>
      <c r="D74" s="476">
        <v>21713452</v>
      </c>
      <c r="E74" s="476"/>
    </row>
    <row r="75" spans="1:6">
      <c r="A75" s="348" t="s">
        <v>64</v>
      </c>
      <c r="B75" s="348" t="s">
        <v>650</v>
      </c>
      <c r="C75" s="1307" t="s">
        <v>654</v>
      </c>
      <c r="D75" s="476">
        <v>57906754</v>
      </c>
      <c r="E75" s="476"/>
    </row>
    <row r="76" spans="1:6">
      <c r="A76" s="348" t="s">
        <v>64</v>
      </c>
      <c r="B76" s="348" t="s">
        <v>651</v>
      </c>
      <c r="C76" s="1307" t="s">
        <v>655</v>
      </c>
      <c r="D76" s="476">
        <v>2689504</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795456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7022.6103751520259</v>
      </c>
    </row>
    <row r="92" spans="1:6">
      <c r="A92" s="341" t="s">
        <v>68</v>
      </c>
      <c r="B92" s="342">
        <v>3739.7422973286421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4030</v>
      </c>
    </row>
    <row r="98" spans="1:6">
      <c r="A98" s="348" t="s">
        <v>71</v>
      </c>
      <c r="B98" s="334">
        <v>2</v>
      </c>
    </row>
    <row r="99" spans="1:6">
      <c r="A99" s="348" t="s">
        <v>72</v>
      </c>
      <c r="B99" s="334">
        <v>188</v>
      </c>
    </row>
    <row r="100" spans="1:6">
      <c r="A100" s="348" t="s">
        <v>73</v>
      </c>
      <c r="B100" s="334">
        <v>1269</v>
      </c>
    </row>
    <row r="101" spans="1:6">
      <c r="A101" s="348" t="s">
        <v>74</v>
      </c>
      <c r="B101" s="334">
        <v>211</v>
      </c>
    </row>
    <row r="102" spans="1:6">
      <c r="A102" s="348" t="s">
        <v>75</v>
      </c>
      <c r="B102" s="334">
        <v>300</v>
      </c>
    </row>
    <row r="103" spans="1:6">
      <c r="A103" s="348" t="s">
        <v>76</v>
      </c>
      <c r="B103" s="334">
        <v>540</v>
      </c>
    </row>
    <row r="104" spans="1:6">
      <c r="A104" s="348" t="s">
        <v>77</v>
      </c>
      <c r="B104" s="334">
        <v>7256</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50</v>
      </c>
      <c r="C123" s="334">
        <v>53</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259</v>
      </c>
    </row>
    <row r="130" spans="1:6">
      <c r="A130" s="348" t="s">
        <v>294</v>
      </c>
      <c r="B130" s="334">
        <v>4</v>
      </c>
    </row>
    <row r="131" spans="1:6">
      <c r="A131" s="348" t="s">
        <v>295</v>
      </c>
      <c r="B131" s="334">
        <v>3</v>
      </c>
    </row>
    <row r="132" spans="1:6">
      <c r="A132" s="341" t="s">
        <v>296</v>
      </c>
      <c r="B132" s="342">
        <v>52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171310.48664609509</v>
      </c>
      <c r="C3" s="43" t="s">
        <v>169</v>
      </c>
      <c r="D3" s="43"/>
      <c r="E3" s="154"/>
      <c r="F3" s="43"/>
      <c r="G3" s="43"/>
      <c r="H3" s="43"/>
      <c r="I3" s="43"/>
      <c r="J3" s="43"/>
      <c r="K3" s="96"/>
    </row>
    <row r="4" spans="1:11">
      <c r="A4" s="383" t="s">
        <v>170</v>
      </c>
      <c r="B4" s="49">
        <f>IF(ISERROR('SEAP template'!B78+'SEAP template'!C78),0,'SEAP template'!B78+'SEAP template'!C78)</f>
        <v>12949.352672480669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0.20429461904728377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2535.9050000000002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2535.9050000000002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0.20429461904728377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518.07174591510216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59937.648740000004</v>
      </c>
      <c r="C5" s="17">
        <f>IF(ISERROR('Eigen informatie GS &amp; warmtenet'!B59),0,'Eigen informatie GS &amp; warmtenet'!B59)</f>
        <v>0</v>
      </c>
      <c r="D5" s="30">
        <f>(SUM(HH_hh_gas_kWh,HH_rest_gas_kWh)/1000)*0.902</f>
        <v>115224.64674160001</v>
      </c>
      <c r="E5" s="17">
        <f>B46*B57</f>
        <v>18901.981988971846</v>
      </c>
      <c r="F5" s="17">
        <f>B51*B62</f>
        <v>57658.343117171848</v>
      </c>
      <c r="G5" s="18"/>
      <c r="H5" s="17"/>
      <c r="I5" s="17"/>
      <c r="J5" s="17">
        <f>B50*B61+C50*C61</f>
        <v>1229.9023372304837</v>
      </c>
      <c r="K5" s="17"/>
      <c r="L5" s="17"/>
      <c r="M5" s="17"/>
      <c r="N5" s="17">
        <f>B48*B59+C48*C59</f>
        <v>36712.378547449269</v>
      </c>
      <c r="O5" s="17">
        <f>B69*B70*B71</f>
        <v>622.96288088752794</v>
      </c>
      <c r="P5" s="17">
        <f>B77*B78*B79/1000-B77*B78*B79/1000/B80</f>
        <v>1074.4638493838725</v>
      </c>
    </row>
    <row r="6" spans="1:16">
      <c r="A6" s="16" t="s">
        <v>615</v>
      </c>
      <c r="B6" s="809">
        <f>kWh_PV_kleiner_dan_10kW</f>
        <v>7022.6103751520259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66960.259115152032</v>
      </c>
      <c r="C8" s="21">
        <f>C5</f>
        <v>0</v>
      </c>
      <c r="D8" s="21">
        <f>D5</f>
        <v>115224.64674160001</v>
      </c>
      <c r="E8" s="21">
        <f>E5</f>
        <v>18901.981988971846</v>
      </c>
      <c r="F8" s="21">
        <f>F5</f>
        <v>57658.343117171848</v>
      </c>
      <c r="G8" s="21"/>
      <c r="H8" s="21"/>
      <c r="I8" s="21"/>
      <c r="J8" s="21">
        <f>J5</f>
        <v>1229.9023372304837</v>
      </c>
      <c r="K8" s="21"/>
      <c r="L8" s="21">
        <f>L5</f>
        <v>0</v>
      </c>
      <c r="M8" s="21">
        <f>M5</f>
        <v>0</v>
      </c>
      <c r="N8" s="21">
        <f>N5</f>
        <v>36712.378547449269</v>
      </c>
      <c r="O8" s="21">
        <f>O5</f>
        <v>622.96288088752794</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0.20429461904728377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13679.620627237395</v>
      </c>
      <c r="C12" s="23">
        <f ca="1">C10*C8</f>
        <v>0</v>
      </c>
      <c r="D12" s="23">
        <f>D8*D10</f>
        <v>23275.378641803203</v>
      </c>
      <c r="E12" s="23">
        <f>E10*E8</f>
        <v>4290.7499114966095</v>
      </c>
      <c r="F12" s="23">
        <f>F10*F8</f>
        <v>15394.777612284885</v>
      </c>
      <c r="G12" s="23"/>
      <c r="H12" s="23"/>
      <c r="I12" s="23"/>
      <c r="J12" s="23">
        <f>J10*J8</f>
        <v>435.38542737959119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4030</v>
      </c>
      <c r="C18" s="166" t="s">
        <v>110</v>
      </c>
      <c r="D18" s="228"/>
      <c r="E18" s="15"/>
    </row>
    <row r="19" spans="1:7">
      <c r="A19" s="171" t="s">
        <v>71</v>
      </c>
      <c r="B19" s="37">
        <f>aantalw2001_ander</f>
        <v>2</v>
      </c>
      <c r="C19" s="166" t="s">
        <v>110</v>
      </c>
      <c r="D19" s="229"/>
      <c r="E19" s="15"/>
    </row>
    <row r="20" spans="1:7">
      <c r="A20" s="171" t="s">
        <v>72</v>
      </c>
      <c r="B20" s="37">
        <f>aantalw2001_propaan</f>
        <v>188</v>
      </c>
      <c r="C20" s="167">
        <f>IF(ISERROR(B20/SUM($B$20,$B$21,$B$22)*100),0,B20/SUM($B$20,$B$21,$B$22)*100)</f>
        <v>11.270983213429256</v>
      </c>
      <c r="D20" s="229"/>
      <c r="E20" s="15"/>
    </row>
    <row r="21" spans="1:7">
      <c r="A21" s="171" t="s">
        <v>73</v>
      </c>
      <c r="B21" s="37">
        <f>aantalw2001_elektriciteit</f>
        <v>1269</v>
      </c>
      <c r="C21" s="167">
        <f>IF(ISERROR(B21/SUM($B$20,$B$21,$B$22)*100),0,B21/SUM($B$20,$B$21,$B$22)*100)</f>
        <v>76.079136690647488</v>
      </c>
      <c r="D21" s="229"/>
      <c r="E21" s="15"/>
    </row>
    <row r="22" spans="1:7">
      <c r="A22" s="171" t="s">
        <v>74</v>
      </c>
      <c r="B22" s="37">
        <f>aantalw2001_hout</f>
        <v>211</v>
      </c>
      <c r="C22" s="167">
        <f>IF(ISERROR(B22/SUM($B$20,$B$21,$B$22)*100),0,B22/SUM($B$20,$B$21,$B$22)*100)</f>
        <v>12.64988009592326</v>
      </c>
      <c r="D22" s="229"/>
      <c r="E22" s="15"/>
    </row>
    <row r="23" spans="1:7">
      <c r="A23" s="171" t="s">
        <v>75</v>
      </c>
      <c r="B23" s="37">
        <f>aantalw2001_niet_gespec</f>
        <v>300</v>
      </c>
      <c r="C23" s="166" t="s">
        <v>110</v>
      </c>
      <c r="D23" s="228"/>
      <c r="E23" s="15"/>
    </row>
    <row r="24" spans="1:7">
      <c r="A24" s="171" t="s">
        <v>76</v>
      </c>
      <c r="B24" s="37">
        <f>aantalw2001_steenkool</f>
        <v>540</v>
      </c>
      <c r="C24" s="166" t="s">
        <v>110</v>
      </c>
      <c r="D24" s="229"/>
      <c r="E24" s="15"/>
    </row>
    <row r="25" spans="1:7">
      <c r="A25" s="171" t="s">
        <v>77</v>
      </c>
      <c r="B25" s="37">
        <f>aantalw2001_stookolie</f>
        <v>7256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836</v>
      </c>
      <c r="B28" s="37">
        <f>aantalHuishoudens2011</f>
        <v>16209</v>
      </c>
      <c r="C28" s="36"/>
      <c r="D28" s="228"/>
    </row>
    <row r="29" spans="1:7" s="15" customFormat="1">
      <c r="A29" s="230" t="s">
        <v>837</v>
      </c>
      <c r="B29" s="37">
        <f>SUM(HH_hh_gas_aantal,HH_rest_gas_aantal)</f>
        <v>9011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9011</v>
      </c>
      <c r="C32" s="167">
        <f>IF(ISERROR(B32/SUM($B$32,$B$34,$B$35,$B$36,$B$38,$B$39)*100),0,B32/SUM($B$32,$B$34,$B$35,$B$36,$B$38,$B$39)*100)</f>
        <v>55.944620351400012</v>
      </c>
      <c r="D32" s="233"/>
      <c r="G32" s="15"/>
    </row>
    <row r="33" spans="1:7">
      <c r="A33" s="171" t="s">
        <v>71</v>
      </c>
      <c r="B33" s="34" t="s">
        <v>110</v>
      </c>
      <c r="C33" s="167"/>
      <c r="D33" s="233"/>
      <c r="G33" s="15"/>
    </row>
    <row r="34" spans="1:7">
      <c r="A34" s="171" t="s">
        <v>72</v>
      </c>
      <c r="B34" s="33">
        <f>IF((($B$28-$B$32-$B$39-$B$77-$B$38)*C20/100)&lt;0,0,($B$28-$B$32-$B$39-$B$77-$B$38)*C20/100)</f>
        <v>482.51079136690657</v>
      </c>
      <c r="C34" s="167">
        <f>IF(ISERROR(B34/SUM($B$32,$B$34,$B$35,$B$36,$B$38,$B$39)*100),0,B34/SUM($B$32,$B$34,$B$35,$B$36,$B$38,$B$39)*100)</f>
        <v>2.9956589766369066</v>
      </c>
      <c r="D34" s="233"/>
      <c r="G34" s="15"/>
    </row>
    <row r="35" spans="1:7">
      <c r="A35" s="171" t="s">
        <v>73</v>
      </c>
      <c r="B35" s="33">
        <f>IF((($B$28-$B$32-$B$39-$B$77-$B$38)*C21/100)&lt;0,0,($B$28-$B$32-$B$39-$B$77-$B$38)*C21/100)</f>
        <v>3256.9478417266196</v>
      </c>
      <c r="C35" s="167">
        <f>IF(ISERROR(B35/SUM($B$32,$B$34,$B$35,$B$36,$B$38,$B$39)*100),0,B35/SUM($B$32,$B$34,$B$35,$B$36,$B$38,$B$39)*100)</f>
        <v>20.220698092299124</v>
      </c>
      <c r="D35" s="233"/>
      <c r="G35" s="15"/>
    </row>
    <row r="36" spans="1:7">
      <c r="A36" s="171" t="s">
        <v>74</v>
      </c>
      <c r="B36" s="33">
        <f>IF((($B$28-$B$32-$B$39-$B$77-$B$38)*C22/100)&lt;0,0,($B$28-$B$32-$B$39-$B$77-$B$38)*C22/100)</f>
        <v>541.54136690647488</v>
      </c>
      <c r="C36" s="167">
        <f>IF(ISERROR(B36/SUM($B$32,$B$34,$B$35,$B$36,$B$38,$B$39)*100),0,B36/SUM($B$32,$B$34,$B$35,$B$36,$B$38,$B$39)*100)</f>
        <v>3.3621491705871662</v>
      </c>
      <c r="D36" s="233"/>
      <c r="G36" s="15"/>
    </row>
    <row r="37" spans="1:7">
      <c r="A37" s="171" t="s">
        <v>75</v>
      </c>
      <c r="B37" s="34" t="s">
        <v>110</v>
      </c>
      <c r="C37" s="167"/>
      <c r="D37" s="173"/>
      <c r="G37" s="15"/>
    </row>
    <row r="38" spans="1:7">
      <c r="A38" s="171" t="s">
        <v>76</v>
      </c>
      <c r="B38" s="33">
        <f>IF((B24-(B29-B18)*0.1)&lt;0,0,B24-(B29-B18)*0.1)</f>
        <v>41.899999999999977</v>
      </c>
      <c r="C38" s="167">
        <f>IF(ISERROR(B38/SUM($B$32,$B$34,$B$35,$B$36,$B$38,$B$39)*100),0,B38/SUM($B$32,$B$34,$B$35,$B$36,$B$38,$B$39)*100)</f>
        <v>0.26013534488110746</v>
      </c>
      <c r="D38" s="234"/>
      <c r="G38" s="15"/>
    </row>
    <row r="39" spans="1:7">
      <c r="A39" s="171" t="s">
        <v>77</v>
      </c>
      <c r="B39" s="33">
        <f>IF((B25-(B29-B18))&lt;0,0,B25-(B29-B18)*0.9)</f>
        <v>2773.0999999999995</v>
      </c>
      <c r="C39" s="167">
        <f>IF(ISERROR(B39/SUM($B$32,$B$34,$B$35,$B$36,$B$38,$B$39)*100),0,B39/SUM($B$32,$B$34,$B$35,$B$36,$B$38,$B$39)*100)</f>
        <v>17.216738064195688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9011</v>
      </c>
      <c r="C44" s="34" t="s">
        <v>110</v>
      </c>
      <c r="D44" s="174"/>
    </row>
    <row r="45" spans="1:7">
      <c r="A45" s="171" t="s">
        <v>71</v>
      </c>
      <c r="B45" s="33" t="str">
        <f t="shared" si="0"/>
        <v>-</v>
      </c>
      <c r="C45" s="34" t="s">
        <v>110</v>
      </c>
      <c r="D45" s="174"/>
    </row>
    <row r="46" spans="1:7">
      <c r="A46" s="171" t="s">
        <v>72</v>
      </c>
      <c r="B46" s="33">
        <f t="shared" si="0"/>
        <v>482.51079136690657</v>
      </c>
      <c r="C46" s="34" t="s">
        <v>110</v>
      </c>
      <c r="D46" s="174"/>
    </row>
    <row r="47" spans="1:7">
      <c r="A47" s="171" t="s">
        <v>73</v>
      </c>
      <c r="B47" s="33">
        <f t="shared" si="0"/>
        <v>3256.9478417266196</v>
      </c>
      <c r="C47" s="34" t="s">
        <v>110</v>
      </c>
      <c r="D47" s="174"/>
    </row>
    <row r="48" spans="1:7">
      <c r="A48" s="171" t="s">
        <v>74</v>
      </c>
      <c r="B48" s="33">
        <f t="shared" si="0"/>
        <v>541.54136690647488</v>
      </c>
      <c r="C48" s="33">
        <f>B48*10</f>
        <v>5415.4136690647483</v>
      </c>
      <c r="D48" s="234"/>
    </row>
    <row r="49" spans="1:6">
      <c r="A49" s="171" t="s">
        <v>75</v>
      </c>
      <c r="B49" s="33" t="str">
        <f t="shared" si="0"/>
        <v>-</v>
      </c>
      <c r="C49" s="34" t="s">
        <v>110</v>
      </c>
      <c r="D49" s="234"/>
    </row>
    <row r="50" spans="1:6">
      <c r="A50" s="171" t="s">
        <v>76</v>
      </c>
      <c r="B50" s="33">
        <f t="shared" si="0"/>
        <v>41.899999999999977</v>
      </c>
      <c r="C50" s="33">
        <f>B50*2</f>
        <v>83.799999999999955</v>
      </c>
      <c r="D50" s="234"/>
    </row>
    <row r="51" spans="1:6">
      <c r="A51" s="171" t="s">
        <v>77</v>
      </c>
      <c r="B51" s="33">
        <f t="shared" si="0"/>
        <v>2773.0999999999995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314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47228.735463999998</v>
      </c>
      <c r="C5" s="17">
        <f>IF(ISERROR('Eigen informatie GS &amp; warmtenet'!B60),0,'Eigen informatie GS &amp; warmtenet'!B60)</f>
        <v>0</v>
      </c>
      <c r="D5" s="30">
        <f>SUM(D6:D12)</f>
        <v>47254.843722195998</v>
      </c>
      <c r="E5" s="17">
        <f>SUM(E6:E12)</f>
        <v>860.03402071444089</v>
      </c>
      <c r="F5" s="17">
        <f>SUM(F6:F12)</f>
        <v>5122.0767048720363</v>
      </c>
      <c r="G5" s="18"/>
      <c r="H5" s="17"/>
      <c r="I5" s="17"/>
      <c r="J5" s="17">
        <f>SUM(J6:J12)</f>
        <v>5.2178974449058217E-2</v>
      </c>
      <c r="K5" s="17"/>
      <c r="L5" s="17"/>
      <c r="M5" s="17"/>
      <c r="N5" s="17">
        <f>SUM(N6:N12)</f>
        <v>2064.9626523538345</v>
      </c>
      <c r="O5" s="17">
        <f>B38*B39*B40</f>
        <v>19.589043063364617</v>
      </c>
      <c r="P5" s="17">
        <f>B46*B47*B48/1000-B46*B47*B48/1000/B49</f>
        <v>157.61741491948504</v>
      </c>
      <c r="R5" s="32"/>
    </row>
    <row r="6" spans="1:18">
      <c r="A6" s="32" t="s">
        <v>53</v>
      </c>
      <c r="B6" s="37">
        <f>B26</f>
        <v>8048.6395319999992</v>
      </c>
      <c r="C6" s="33"/>
      <c r="D6" s="37">
        <f>IF(ISERROR(TER_kantoor_gas_kWh/1000),0,TER_kantoor_gas_kWh/1000)*0.902</f>
        <v>6813.5023963160002</v>
      </c>
      <c r="E6" s="33">
        <f>$C$26*'E Balans VL '!I12/100/3.6*1000000</f>
        <v>64.764821716864418</v>
      </c>
      <c r="F6" s="33">
        <f>$C$26*('E Balans VL '!L12+'E Balans VL '!N12)/100/3.6*1000000</f>
        <v>984.03085176414345</v>
      </c>
      <c r="G6" s="34"/>
      <c r="H6" s="33"/>
      <c r="I6" s="33"/>
      <c r="J6" s="33">
        <f>$C$26*('E Balans VL '!D12+'E Balans VL '!E12)/100/3.6*1000000</f>
        <v>0</v>
      </c>
      <c r="K6" s="33"/>
      <c r="L6" s="33"/>
      <c r="M6" s="33"/>
      <c r="N6" s="33">
        <f>$C$26*'E Balans VL '!Y12/100/3.6*1000000</f>
        <v>4.3257473958520727</v>
      </c>
      <c r="O6" s="33"/>
      <c r="P6" s="33"/>
      <c r="R6" s="32"/>
    </row>
    <row r="7" spans="1:18">
      <c r="A7" s="32" t="s">
        <v>52</v>
      </c>
      <c r="B7" s="37">
        <f t="shared" ref="B7:B12" si="0">B27</f>
        <v>4903.8951270000007</v>
      </c>
      <c r="C7" s="33"/>
      <c r="D7" s="37">
        <f>IF(ISERROR(TER_horeca_gas_kWh/1000),0,TER_horeca_gas_kWh/1000)*0.902</f>
        <v>4148.0665531140003</v>
      </c>
      <c r="E7" s="33">
        <f>$C$27*'E Balans VL '!I9/100/3.6*1000000</f>
        <v>52.655791802805837</v>
      </c>
      <c r="F7" s="33">
        <f>$C$27*('E Balans VL '!L9+'E Balans VL '!N9)/100/3.6*1000000</f>
        <v>589.81967073210592</v>
      </c>
      <c r="G7" s="34"/>
      <c r="H7" s="33"/>
      <c r="I7" s="33"/>
      <c r="J7" s="33">
        <f>$C$27*('E Balans VL '!D9+'E Balans VL '!E9)/100/3.6*1000000</f>
        <v>0</v>
      </c>
      <c r="K7" s="33"/>
      <c r="L7" s="33"/>
      <c r="M7" s="33"/>
      <c r="N7" s="33">
        <f>$C$27*'E Balans VL '!Y9/100/3.6*1000000</f>
        <v>0.73519326995244305</v>
      </c>
      <c r="O7" s="33"/>
      <c r="P7" s="33"/>
      <c r="R7" s="32"/>
    </row>
    <row r="8" spans="1:18">
      <c r="A8" s="6" t="s">
        <v>51</v>
      </c>
      <c r="B8" s="37">
        <f t="shared" si="0"/>
        <v>23386.336319999999</v>
      </c>
      <c r="C8" s="33"/>
      <c r="D8" s="37">
        <f>IF(ISERROR(TER_handel_gas_kWh/1000),0,TER_handel_gas_kWh/1000)*0.902</f>
        <v>13585.288802579998</v>
      </c>
      <c r="E8" s="33">
        <f>$C$28*'E Balans VL '!I13/100/3.6*1000000</f>
        <v>627.61767025469987</v>
      </c>
      <c r="F8" s="33">
        <f>$C$28*('E Balans VL '!L13+'E Balans VL '!N13)/100/3.6*1000000</f>
        <v>2231.7772703986575</v>
      </c>
      <c r="G8" s="34"/>
      <c r="H8" s="33"/>
      <c r="I8" s="33"/>
      <c r="J8" s="33">
        <f>$C$28*('E Balans VL '!D13+'E Balans VL '!E13)/100/3.6*1000000</f>
        <v>0</v>
      </c>
      <c r="K8" s="33"/>
      <c r="L8" s="33"/>
      <c r="M8" s="33"/>
      <c r="N8" s="33">
        <f>$C$28*'E Balans VL '!Y13/100/3.6*1000000</f>
        <v>9.2706096289069375</v>
      </c>
      <c r="O8" s="33"/>
      <c r="P8" s="33"/>
      <c r="R8" s="32"/>
    </row>
    <row r="9" spans="1:18">
      <c r="A9" s="32" t="s">
        <v>50</v>
      </c>
      <c r="B9" s="37">
        <f t="shared" si="0"/>
        <v>1060.51226</v>
      </c>
      <c r="C9" s="33"/>
      <c r="D9" s="37">
        <f>IF(ISERROR(TER_gezond_gas_kWh/1000),0,TER_gezond_gas_kWh/1000)*0.902</f>
        <v>1216.34838006</v>
      </c>
      <c r="E9" s="33">
        <f>$C$29*'E Balans VL '!I10/100/3.6*1000000</f>
        <v>1.9877452930268653</v>
      </c>
      <c r="F9" s="33">
        <f>$C$29*('E Balans VL '!L10+'E Balans VL '!N10)/100/3.6*1000000</f>
        <v>87.183784200771584</v>
      </c>
      <c r="G9" s="34"/>
      <c r="H9" s="33"/>
      <c r="I9" s="33"/>
      <c r="J9" s="33">
        <f>$C$29*('E Balans VL '!D10+'E Balans VL '!E10)/100/3.6*1000000</f>
        <v>0</v>
      </c>
      <c r="K9" s="33"/>
      <c r="L9" s="33"/>
      <c r="M9" s="33"/>
      <c r="N9" s="33">
        <f>$C$29*'E Balans VL '!Y10/100/3.6*1000000</f>
        <v>8.2515766386391025</v>
      </c>
      <c r="O9" s="33"/>
      <c r="P9" s="33"/>
      <c r="R9" s="32"/>
    </row>
    <row r="10" spans="1:18">
      <c r="A10" s="32" t="s">
        <v>49</v>
      </c>
      <c r="B10" s="37">
        <f t="shared" si="0"/>
        <v>2342.836969</v>
      </c>
      <c r="C10" s="33"/>
      <c r="D10" s="37">
        <f>IF(ISERROR(TER_ander_gas_kWh/1000),0,TER_ander_gas_kWh/1000)*0.902</f>
        <v>2494.9470760280005</v>
      </c>
      <c r="E10" s="33">
        <f>$C$30*'E Balans VL '!I14/100/3.6*1000000</f>
        <v>3.6115069273137004</v>
      </c>
      <c r="F10" s="33">
        <f>$C$30*('E Balans VL '!L14+'E Balans VL '!N14)/100/3.6*1000000</f>
        <v>363.72608621295427</v>
      </c>
      <c r="G10" s="34"/>
      <c r="H10" s="33"/>
      <c r="I10" s="33"/>
      <c r="J10" s="33">
        <f>$C$30*('E Balans VL '!D14+'E Balans VL '!E14)/100/3.6*1000000</f>
        <v>3.9772128362744477E-2</v>
      </c>
      <c r="K10" s="33"/>
      <c r="L10" s="33"/>
      <c r="M10" s="33"/>
      <c r="N10" s="33">
        <f>$C$30*'E Balans VL '!Y14/100/3.6*1000000</f>
        <v>1549.9458513291775</v>
      </c>
      <c r="O10" s="33"/>
      <c r="P10" s="33"/>
      <c r="R10" s="32"/>
    </row>
    <row r="11" spans="1:18">
      <c r="A11" s="32" t="s">
        <v>54</v>
      </c>
      <c r="B11" s="37">
        <f t="shared" si="0"/>
        <v>1012.6365139999999</v>
      </c>
      <c r="C11" s="33"/>
      <c r="D11" s="37">
        <f>IF(ISERROR(TER_onderwijs_gas_kWh/1000),0,TER_onderwijs_gas_kWh/1000)*0.902</f>
        <v>8789.9158276380003</v>
      </c>
      <c r="E11" s="33">
        <f>$C$31*'E Balans VL '!I11/100/3.6*1000000</f>
        <v>25.829147471537091</v>
      </c>
      <c r="F11" s="33">
        <f>$C$31*('E Balans VL '!L11+'E Balans VL '!N11)/100/3.6*1000000</f>
        <v>121.7790721063343</v>
      </c>
      <c r="G11" s="34"/>
      <c r="H11" s="33"/>
      <c r="I11" s="33"/>
      <c r="J11" s="33">
        <f>$C$31*('E Balans VL '!D11+'E Balans VL '!E11)/100/3.6*1000000</f>
        <v>0</v>
      </c>
      <c r="K11" s="33"/>
      <c r="L11" s="33"/>
      <c r="M11" s="33"/>
      <c r="N11" s="33">
        <f>$C$31*'E Balans VL '!Y11/100/3.6*1000000</f>
        <v>2.2520788985921527</v>
      </c>
      <c r="O11" s="33"/>
      <c r="P11" s="33"/>
      <c r="R11" s="32"/>
    </row>
    <row r="12" spans="1:18">
      <c r="A12" s="32" t="s">
        <v>259</v>
      </c>
      <c r="B12" s="37">
        <f t="shared" si="0"/>
        <v>6473.8787419999999</v>
      </c>
      <c r="C12" s="33"/>
      <c r="D12" s="37">
        <f>IF(ISERROR(TER_rest_gas_kWh/1000),0,TER_rest_gas_kWh/1000)*0.902</f>
        <v>10206.774686459999</v>
      </c>
      <c r="E12" s="33">
        <f>$C$32*'E Balans VL '!I8/100/3.6*1000000</f>
        <v>83.567337248193041</v>
      </c>
      <c r="F12" s="33">
        <f>$C$32*('E Balans VL '!L8+'E Balans VL '!N8)/100/3.6*1000000</f>
        <v>743.75996945707004</v>
      </c>
      <c r="G12" s="34"/>
      <c r="H12" s="33"/>
      <c r="I12" s="33"/>
      <c r="J12" s="33">
        <f>$C$32*('E Balans VL '!D8+'E Balans VL '!E8)/100/3.6*1000000</f>
        <v>1.240684608631374E-2</v>
      </c>
      <c r="K12" s="33"/>
      <c r="L12" s="33"/>
      <c r="M12" s="33"/>
      <c r="N12" s="33">
        <f>$C$32*'E Balans VL '!Y8/100/3.6*1000000</f>
        <v>490.18159519271455</v>
      </c>
      <c r="O12" s="33"/>
      <c r="P12" s="33"/>
      <c r="R12" s="32"/>
    </row>
    <row r="13" spans="1:18">
      <c r="A13" s="16" t="s">
        <v>482</v>
      </c>
      <c r="B13" s="247">
        <f ca="1">'lokale energieproductie'!N91+'lokale energieproductie'!N60</f>
        <v>2187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-6248.5714285714294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49415.735463999998</v>
      </c>
      <c r="C16" s="21">
        <f t="shared" ca="1" si="1"/>
        <v>0</v>
      </c>
      <c r="D16" s="21">
        <f t="shared" ca="1" si="1"/>
        <v>47254.843722195998</v>
      </c>
      <c r="E16" s="21">
        <f t="shared" si="1"/>
        <v>860.03402071444089</v>
      </c>
      <c r="F16" s="21">
        <f t="shared" ca="1" si="1"/>
        <v>5122.0767048720363</v>
      </c>
      <c r="G16" s="21">
        <f t="shared" si="1"/>
        <v>0</v>
      </c>
      <c r="H16" s="21">
        <f t="shared" si="1"/>
        <v>0</v>
      </c>
      <c r="I16" s="21">
        <f t="shared" si="1"/>
        <v>0</v>
      </c>
      <c r="J16" s="21">
        <f t="shared" si="1"/>
        <v>5.2178974449058217E-2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0.20429461904728377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10095.368851559229</v>
      </c>
      <c r="C20" s="23">
        <f t="shared" ref="C20:P20" ca="1" si="2">C16*C18</f>
        <v>0</v>
      </c>
      <c r="D20" s="23">
        <f t="shared" ca="1" si="2"/>
        <v>9545.4784318835918</v>
      </c>
      <c r="E20" s="23">
        <f t="shared" si="2"/>
        <v>195.22772270217808</v>
      </c>
      <c r="F20" s="23">
        <f t="shared" ca="1" si="2"/>
        <v>1367.5944802008337</v>
      </c>
      <c r="G20" s="23">
        <f t="shared" si="2"/>
        <v>0</v>
      </c>
      <c r="H20" s="23">
        <f t="shared" si="2"/>
        <v>0</v>
      </c>
      <c r="I20" s="23">
        <f t="shared" si="2"/>
        <v>0</v>
      </c>
      <c r="J20" s="23">
        <f t="shared" si="2"/>
        <v>1.8471356954966607E-2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8048.6395319999992</v>
      </c>
      <c r="C26" s="39">
        <f>IF(ISERROR(B26*3.6/1000000/'E Balans VL '!Z12*100),0,B26*3.6/1000000/'E Balans VL '!Z12*100)</f>
        <v>0.17074452401180423</v>
      </c>
      <c r="D26" s="237" t="s">
        <v>716</v>
      </c>
      <c r="F26" s="6"/>
    </row>
    <row r="27" spans="1:18">
      <c r="A27" s="231" t="s">
        <v>52</v>
      </c>
      <c r="B27" s="33">
        <f>IF(ISERROR(TER_horeca_ele_kWh/1000),0,TER_horeca_ele_kWh/1000)</f>
        <v>4903.8951270000007</v>
      </c>
      <c r="C27" s="39">
        <f>IF(ISERROR(B27*3.6/1000000/'E Balans VL '!Z9*100),0,B27*3.6/1000000/'E Balans VL '!Z9*100)</f>
        <v>0.36930674425024035</v>
      </c>
      <c r="D27" s="237" t="s">
        <v>716</v>
      </c>
      <c r="F27" s="6"/>
    </row>
    <row r="28" spans="1:18">
      <c r="A28" s="171" t="s">
        <v>51</v>
      </c>
      <c r="B28" s="33">
        <f>IF(ISERROR(TER_handel_ele_kWh/1000),0,TER_handel_ele_kWh/1000)</f>
        <v>23386.336319999999</v>
      </c>
      <c r="C28" s="39">
        <f>IF(ISERROR(B28*3.6/1000000/'E Balans VL '!Z13*100),0,B28*3.6/1000000/'E Balans VL '!Z13*100)</f>
        <v>0.67882247911479954</v>
      </c>
      <c r="D28" s="237" t="s">
        <v>716</v>
      </c>
      <c r="F28" s="6"/>
    </row>
    <row r="29" spans="1:18">
      <c r="A29" s="231" t="s">
        <v>50</v>
      </c>
      <c r="B29" s="33">
        <f>IF(ISERROR(TER_gezond_ele_kWh/1000),0,TER_gezond_ele_kWh/1000)</f>
        <v>1060.51226</v>
      </c>
      <c r="C29" s="39">
        <f>IF(ISERROR(B29*3.6/1000000/'E Balans VL '!Z10*100),0,B29*3.6/1000000/'E Balans VL '!Z10*100)</f>
        <v>0.10695392613338066</v>
      </c>
      <c r="D29" s="237" t="s">
        <v>716</v>
      </c>
      <c r="F29" s="6"/>
    </row>
    <row r="30" spans="1:18">
      <c r="A30" s="231" t="s">
        <v>49</v>
      </c>
      <c r="B30" s="33">
        <f>IF(ISERROR(TER_ander_ele_kWh/1000),0,TER_ander_ele_kWh/1000)</f>
        <v>2342.836969</v>
      </c>
      <c r="C30" s="39">
        <f>IF(ISERROR(B30*3.6/1000000/'E Balans VL '!Z14*100),0,B30*3.6/1000000/'E Balans VL '!Z14*100)</f>
        <v>0.1700047842576311</v>
      </c>
      <c r="D30" s="237" t="s">
        <v>716</v>
      </c>
      <c r="F30" s="6"/>
    </row>
    <row r="31" spans="1:18">
      <c r="A31" s="231" t="s">
        <v>54</v>
      </c>
      <c r="B31" s="33">
        <f>IF(ISERROR(TER_onderwijs_ele_kWh/1000),0,TER_onderwijs_ele_kWh/1000)</f>
        <v>1012.6365139999999</v>
      </c>
      <c r="C31" s="39">
        <f>IF(ISERROR(B31*3.6/1000000/'E Balans VL '!Z11*100),0,B31*3.6/1000000/'E Balans VL '!Z11*100)</f>
        <v>0.28864264296897008</v>
      </c>
      <c r="D31" s="237" t="s">
        <v>716</v>
      </c>
    </row>
    <row r="32" spans="1:18">
      <c r="A32" s="231" t="s">
        <v>259</v>
      </c>
      <c r="B32" s="33">
        <f>IF(ISERROR(TER_rest_ele_kWh/1000),0,TER_rest_ele_kWh/1000)</f>
        <v>6473.8787419999999</v>
      </c>
      <c r="C32" s="39">
        <f>IF(ISERROR(B32*3.6/1000000/'E Balans VL '!Z8*100),0,B32*3.6/1000000/'E Balans VL '!Z8*100)</f>
        <v>5.303269598710144E-2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48943.609410000005</v>
      </c>
      <c r="C5" s="17">
        <f>IF(ISERROR('Eigen informatie GS &amp; warmtenet'!B61),0,'Eigen informatie GS &amp; warmtenet'!B61)</f>
        <v>0</v>
      </c>
      <c r="D5" s="30">
        <f>SUM(D6:D15)</f>
        <v>49738.293760100001</v>
      </c>
      <c r="E5" s="17">
        <f>SUM(E6:E15)</f>
        <v>2050.2894725752658</v>
      </c>
      <c r="F5" s="17">
        <f>SUM(F6:F15)</f>
        <v>8252.7249258294069</v>
      </c>
      <c r="G5" s="18"/>
      <c r="H5" s="17"/>
      <c r="I5" s="17"/>
      <c r="J5" s="17">
        <f>SUM(J6:J15)</f>
        <v>239.42618698026052</v>
      </c>
      <c r="K5" s="17"/>
      <c r="L5" s="17"/>
      <c r="M5" s="17"/>
      <c r="N5" s="17">
        <f>SUM(N6:N15)</f>
        <v>2310.2965306135934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3108.7798360000002</v>
      </c>
      <c r="C8" s="33"/>
      <c r="D8" s="37">
        <f>IF( ISERROR(IND_metaal_Gas_kWH/1000),0,IND_metaal_Gas_kWH/1000)*0.902</f>
        <v>509.28679260800004</v>
      </c>
      <c r="E8" s="33">
        <f>C30*'E Balans VL '!I18/100/3.6*1000000</f>
        <v>22.427664571127412</v>
      </c>
      <c r="F8" s="33">
        <f>C30*'E Balans VL '!L18/100/3.6*1000000+C30*'E Balans VL '!N18/100/3.6*1000000</f>
        <v>294.03325060083438</v>
      </c>
      <c r="G8" s="34"/>
      <c r="H8" s="33"/>
      <c r="I8" s="33"/>
      <c r="J8" s="40">
        <f>C30*'E Balans VL '!D18/100/3.6*1000000+C30*'E Balans VL '!E18/100/3.6*1000000</f>
        <v>3.1268288247843294</v>
      </c>
      <c r="K8" s="33"/>
      <c r="L8" s="33"/>
      <c r="M8" s="33"/>
      <c r="N8" s="33">
        <f>C30*'E Balans VL '!Y18/100/3.6*1000000</f>
        <v>39.303202146459085</v>
      </c>
      <c r="O8" s="33"/>
      <c r="P8" s="33"/>
      <c r="R8" s="32"/>
    </row>
    <row r="9" spans="1:18">
      <c r="A9" s="6" t="s">
        <v>32</v>
      </c>
      <c r="B9" s="37">
        <f t="shared" si="0"/>
        <v>2403.7635049999999</v>
      </c>
      <c r="C9" s="33"/>
      <c r="D9" s="37">
        <f>IF( ISERROR(IND_andere_gas_kWh/1000),0,IND_andere_gas_kWh/1000)*0.902</f>
        <v>1278.4395669320002</v>
      </c>
      <c r="E9" s="33">
        <f>C31*'E Balans VL '!I19/100/3.6*1000000</f>
        <v>666.11500958042654</v>
      </c>
      <c r="F9" s="33">
        <f>C31*'E Balans VL '!L19/100/3.6*1000000+C31*'E Balans VL '!N19/100/3.6*1000000</f>
        <v>1992.2443875169688</v>
      </c>
      <c r="G9" s="34"/>
      <c r="H9" s="33"/>
      <c r="I9" s="33"/>
      <c r="J9" s="40">
        <f>C31*'E Balans VL '!D19/100/3.6*1000000+C31*'E Balans VL '!E19/100/3.6*1000000</f>
        <v>0</v>
      </c>
      <c r="K9" s="33"/>
      <c r="L9" s="33"/>
      <c r="M9" s="33"/>
      <c r="N9" s="33">
        <f>C31*'E Balans VL '!Y19/100/3.6*1000000</f>
        <v>174.48382925240983</v>
      </c>
      <c r="O9" s="33"/>
      <c r="P9" s="33"/>
      <c r="R9" s="32"/>
    </row>
    <row r="10" spans="1:18">
      <c r="A10" s="6" t="s">
        <v>40</v>
      </c>
      <c r="B10" s="37">
        <f t="shared" si="0"/>
        <v>15052.39861</v>
      </c>
      <c r="C10" s="33"/>
      <c r="D10" s="37">
        <f>IF( ISERROR(IND_voed_gas_kWh/1000),0,IND_voed_gas_kWh/1000)*0.902</f>
        <v>24148.17693156</v>
      </c>
      <c r="E10" s="33">
        <f>C32*'E Balans VL '!I20/100/3.6*1000000</f>
        <v>26.647844113993404</v>
      </c>
      <c r="F10" s="33">
        <f>C32*'E Balans VL '!L20/100/3.6*1000000+C32*'E Balans VL '!N20/100/3.6*1000000</f>
        <v>812.96293315218918</v>
      </c>
      <c r="G10" s="34"/>
      <c r="H10" s="33"/>
      <c r="I10" s="33"/>
      <c r="J10" s="40">
        <f>C32*'E Balans VL '!D20/100/3.6*1000000+C32*'E Balans VL '!E20/100/3.6*1000000</f>
        <v>0</v>
      </c>
      <c r="K10" s="33"/>
      <c r="L10" s="33"/>
      <c r="M10" s="33"/>
      <c r="N10" s="33">
        <f>C32*'E Balans VL '!Y20/100/3.6*1000000</f>
        <v>874.65931584164605</v>
      </c>
      <c r="O10" s="33"/>
      <c r="P10" s="33"/>
      <c r="R10" s="32"/>
    </row>
    <row r="11" spans="1:18">
      <c r="A11" s="6" t="s">
        <v>39</v>
      </c>
      <c r="B11" s="37">
        <f t="shared" si="0"/>
        <v>27.575206999999999</v>
      </c>
      <c r="C11" s="33"/>
      <c r="D11" s="37">
        <f>IF( ISERROR(IND_textiel_gas_kWh/1000),0,IND_textiel_gas_kWh/1000)*0.902</f>
        <v>0</v>
      </c>
      <c r="E11" s="33">
        <f>C33*'E Balans VL '!I21/100/3.6*1000000</f>
        <v>9.7205466842785956E-2</v>
      </c>
      <c r="F11" s="33">
        <f>C33*'E Balans VL '!L21/100/3.6*1000000+C33*'E Balans VL '!N21/100/3.6*1000000</f>
        <v>0.80937356034851116</v>
      </c>
      <c r="G11" s="34"/>
      <c r="H11" s="33"/>
      <c r="I11" s="33"/>
      <c r="J11" s="40">
        <f>C33*'E Balans VL '!D21/100/3.6*1000000+C33*'E Balans VL '!E21/100/3.6*1000000</f>
        <v>0</v>
      </c>
      <c r="K11" s="33"/>
      <c r="L11" s="33"/>
      <c r="M11" s="33"/>
      <c r="N11" s="33">
        <f>C33*'E Balans VL '!Y21/100/3.6*1000000</f>
        <v>1.2149596731317933</v>
      </c>
      <c r="O11" s="33"/>
      <c r="P11" s="33"/>
      <c r="R11" s="32"/>
    </row>
    <row r="12" spans="1:18">
      <c r="A12" s="6" t="s">
        <v>36</v>
      </c>
      <c r="B12" s="37">
        <f t="shared" si="0"/>
        <v>577.65696500000001</v>
      </c>
      <c r="C12" s="33"/>
      <c r="D12" s="37">
        <f>IF( ISERROR(IND_min_gas_kWh/1000),0,IND_min_gas_kWh/1000)*0.902</f>
        <v>0</v>
      </c>
      <c r="E12" s="33">
        <f>C34*'E Balans VL '!I22/100/3.6*1000000</f>
        <v>25.437952216573915</v>
      </c>
      <c r="F12" s="33">
        <f>C34*'E Balans VL '!L22/100/3.6*1000000+C34*'E Balans VL '!N22/100/3.6*1000000</f>
        <v>225.88720231477762</v>
      </c>
      <c r="G12" s="34"/>
      <c r="H12" s="33"/>
      <c r="I12" s="33"/>
      <c r="J12" s="40">
        <f>C34*'E Balans VL '!D22/100/3.6*1000000+C34*'E Balans VL '!E22/100/3.6*1000000</f>
        <v>0.17539718216936956</v>
      </c>
      <c r="K12" s="33"/>
      <c r="L12" s="33"/>
      <c r="M12" s="33"/>
      <c r="N12" s="33">
        <f>C34*'E Balans VL '!Y22/100/3.6*1000000</f>
        <v>142.89482720046809</v>
      </c>
      <c r="O12" s="33"/>
      <c r="P12" s="33"/>
      <c r="R12" s="32"/>
    </row>
    <row r="13" spans="1:18">
      <c r="A13" s="6" t="s">
        <v>38</v>
      </c>
      <c r="B13" s="37">
        <f t="shared" si="0"/>
        <v>66.060827000000003</v>
      </c>
      <c r="C13" s="33"/>
      <c r="D13" s="37">
        <f>IF( ISERROR(IND_papier_gas_kWh/1000),0,IND_papier_gas_kWh/1000)*0.902</f>
        <v>0</v>
      </c>
      <c r="E13" s="33">
        <f>C35*'E Balans VL '!I23/100/3.6*1000000</f>
        <v>9.7198160495407512E-2</v>
      </c>
      <c r="F13" s="33">
        <f>C35*'E Balans VL '!L23/100/3.6*1000000+C35*'E Balans VL '!N23/100/3.6*1000000</f>
        <v>0.70733352415263495</v>
      </c>
      <c r="G13" s="34"/>
      <c r="H13" s="33"/>
      <c r="I13" s="33"/>
      <c r="J13" s="40">
        <f>C35*'E Balans VL '!D23/100/3.6*1000000+C35*'E Balans VL '!E23/100/3.6*1000000</f>
        <v>7.2274249235324923</v>
      </c>
      <c r="K13" s="33"/>
      <c r="L13" s="33"/>
      <c r="M13" s="33"/>
      <c r="N13" s="33">
        <f>C35*'E Balans VL '!Y23/100/3.6*1000000</f>
        <v>-0.59845448723232697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27707.374459999999</v>
      </c>
      <c r="C15" s="33"/>
      <c r="D15" s="37">
        <f>IF( ISERROR(IND_rest_gas_kWh/1000),0,IND_rest_gas_kWh/1000)*0.902</f>
        <v>23802.390469000002</v>
      </c>
      <c r="E15" s="33">
        <f>C37*'E Balans VL '!I15/100/3.6*1000000</f>
        <v>1309.4665984658063</v>
      </c>
      <c r="F15" s="33">
        <f>C37*'E Balans VL '!L15/100/3.6*1000000+C37*'E Balans VL '!N15/100/3.6*1000000</f>
        <v>4926.0804451601362</v>
      </c>
      <c r="G15" s="34"/>
      <c r="H15" s="33"/>
      <c r="I15" s="33"/>
      <c r="J15" s="40">
        <f>C37*'E Balans VL '!D15/100/3.6*1000000+C37*'E Balans VL '!E15/100/3.6*1000000</f>
        <v>228.89653604977434</v>
      </c>
      <c r="K15" s="33"/>
      <c r="L15" s="33"/>
      <c r="M15" s="33"/>
      <c r="N15" s="33">
        <f>C37*'E Balans VL '!Y15/100/3.6*1000000</f>
        <v>1078.3388509867109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48943.609410000005</v>
      </c>
      <c r="C18" s="21">
        <f>C5+C16</f>
        <v>0</v>
      </c>
      <c r="D18" s="21">
        <f>MAX((D5+D16),0)</f>
        <v>49738.293760100001</v>
      </c>
      <c r="E18" s="21">
        <f>MAX((E5+E16),0)</f>
        <v>2050.2894725752658</v>
      </c>
      <c r="F18" s="21">
        <f>MAX((F5+F16),0)</f>
        <v>8252.7249258294069</v>
      </c>
      <c r="G18" s="21"/>
      <c r="H18" s="21"/>
      <c r="I18" s="21"/>
      <c r="J18" s="21">
        <f>MAX((J5+J16),0)</f>
        <v>239.42618698026052</v>
      </c>
      <c r="K18" s="21"/>
      <c r="L18" s="21">
        <f>MAX((L5+L16),0)</f>
        <v>0</v>
      </c>
      <c r="M18" s="21"/>
      <c r="N18" s="21">
        <f>MAX((N5+N16),0)</f>
        <v>2310.2965306135934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0.20429461904728377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9998.9160392150043</v>
      </c>
      <c r="C22" s="23">
        <f ca="1">C18*C20</f>
        <v>0</v>
      </c>
      <c r="D22" s="23">
        <f>D18*D20</f>
        <v>10047.1353395402</v>
      </c>
      <c r="E22" s="23">
        <f>E18*E20</f>
        <v>465.41571027458536</v>
      </c>
      <c r="F22" s="23">
        <f>F18*F20</f>
        <v>2203.4775551964517</v>
      </c>
      <c r="G22" s="23"/>
      <c r="H22" s="23"/>
      <c r="I22" s="23"/>
      <c r="J22" s="23">
        <f>J18*J20</f>
        <v>84.756870191012226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3108.7798360000002</v>
      </c>
      <c r="C30" s="39">
        <f>IF(ISERROR(B30*3.6/1000000/'E Balans VL '!Z18*100),0,B30*3.6/1000000/'E Balans VL '!Z18*100)</f>
        <v>0.1794650091549132</v>
      </c>
      <c r="D30" s="237" t="s">
        <v>716</v>
      </c>
    </row>
    <row r="31" spans="1:18">
      <c r="A31" s="6" t="s">
        <v>32</v>
      </c>
      <c r="B31" s="37">
        <f>IF( ISERROR(IND_ander_ele_kWh/1000),0,IND_ander_ele_kWh/1000)</f>
        <v>2403.7635049999999</v>
      </c>
      <c r="C31" s="39">
        <f>IF(ISERROR(B31*3.6/1000000/'E Balans VL '!Z19*100),0,B31*3.6/1000000/'E Balans VL '!Z19*100)</f>
        <v>0.12090151280379294</v>
      </c>
      <c r="D31" s="237" t="s">
        <v>716</v>
      </c>
    </row>
    <row r="32" spans="1:18">
      <c r="A32" s="171" t="s">
        <v>40</v>
      </c>
      <c r="B32" s="37">
        <f>IF( ISERROR(IND_voed_ele_kWh/1000),0,IND_voed_ele_kWh/1000)</f>
        <v>15052.39861</v>
      </c>
      <c r="C32" s="39">
        <f>IF(ISERROR(B32*3.6/1000000/'E Balans VL '!Z20*100),0,B32*3.6/1000000/'E Balans VL '!Z20*100)</f>
        <v>0.50133425859022607</v>
      </c>
      <c r="D32" s="237" t="s">
        <v>716</v>
      </c>
    </row>
    <row r="33" spans="1:5">
      <c r="A33" s="171" t="s">
        <v>39</v>
      </c>
      <c r="B33" s="37">
        <f>IF( ISERROR(IND_textiel_ele_kWh/1000),0,IND_textiel_ele_kWh/1000)</f>
        <v>27.575206999999999</v>
      </c>
      <c r="C33" s="39">
        <f>IF(ISERROR(B33*3.6/1000000/'E Balans VL '!Z21*100),0,B33*3.6/1000000/'E Balans VL '!Z21*100)</f>
        <v>4.2993257328588792E-3</v>
      </c>
      <c r="D33" s="237" t="s">
        <v>716</v>
      </c>
    </row>
    <row r="34" spans="1:5">
      <c r="A34" s="171" t="s">
        <v>36</v>
      </c>
      <c r="B34" s="37">
        <f>IF( ISERROR(IND_min_ele_kWh/1000),0,IND_min_ele_kWh/1000)</f>
        <v>577.65696500000001</v>
      </c>
      <c r="C34" s="39">
        <f>IF(ISERROR(B34*3.6/1000000/'E Balans VL '!Z22*100),0,B34*3.6/1000000/'E Balans VL '!Z22*100)</f>
        <v>0.1077525351211087</v>
      </c>
      <c r="D34" s="237" t="s">
        <v>716</v>
      </c>
    </row>
    <row r="35" spans="1:5">
      <c r="A35" s="171" t="s">
        <v>38</v>
      </c>
      <c r="B35" s="37">
        <f>IF( ISERROR(IND_papier_ele_kWh/1000),0,IND_papier_ele_kWh/1000)</f>
        <v>66.060827000000003</v>
      </c>
      <c r="C35" s="39">
        <f>IF(ISERROR(B35*3.6/1000000/'E Balans VL '!Z22*100),0,B35*3.6/1000000/'E Balans VL '!Z22*100)</f>
        <v>1.2322575529660561E-2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27707.374459999999</v>
      </c>
      <c r="C37" s="39">
        <f>IF(ISERROR(B37*3.6/1000000/'E Balans VL '!Z15*100),0,B37*3.6/1000000/'E Balans VL '!Z15*100)</f>
        <v>0.2161932902384775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1337.705205</v>
      </c>
      <c r="C5" s="17">
        <f>'Eigen informatie GS &amp; warmtenet'!B62</f>
        <v>0</v>
      </c>
      <c r="D5" s="30">
        <f>IF(ISERROR(SUM(LB_lb_gas_kWh,LB_rest_gas_kWh)/1000),0,SUM(LB_lb_gas_kWh,LB_rest_gas_kWh)/1000)*0.902</f>
        <v>355.32983633399999</v>
      </c>
      <c r="E5" s="17">
        <f>B17*'E Balans VL '!I25/3.6*1000000/100</f>
        <v>41.749338327293515</v>
      </c>
      <c r="F5" s="17">
        <f>B17*('E Balans VL '!L25/3.6*1000000+'E Balans VL '!N25/3.6*1000000)/100</f>
        <v>4727.5983814551182</v>
      </c>
      <c r="G5" s="18"/>
      <c r="H5" s="17"/>
      <c r="I5" s="17"/>
      <c r="J5" s="17">
        <f>('E Balans VL '!D25+'E Balans VL '!E25)/3.6*1000000*landbouw!B17/100</f>
        <v>368.54706088179444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1337.705205</v>
      </c>
      <c r="C8" s="21">
        <f>C5+C6</f>
        <v>0</v>
      </c>
      <c r="D8" s="21">
        <f>MAX((D5+D6),0)</f>
        <v>355.32983633399999</v>
      </c>
      <c r="E8" s="21">
        <f>MAX((E5+E6),0)</f>
        <v>41.749338327293515</v>
      </c>
      <c r="F8" s="21">
        <f>MAX((F5+F6),0)</f>
        <v>4727.5983814551182</v>
      </c>
      <c r="G8" s="21"/>
      <c r="H8" s="21"/>
      <c r="I8" s="21"/>
      <c r="J8" s="21">
        <f>MAX((J5+J6),0)</f>
        <v>368.54706088179444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0.20429461904728377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273.28597525304366</v>
      </c>
      <c r="C12" s="23">
        <f ca="1">C8*C10</f>
        <v>0</v>
      </c>
      <c r="D12" s="23">
        <f>D8*D10</f>
        <v>71.776626939468002</v>
      </c>
      <c r="E12" s="23">
        <f>E8*E10</f>
        <v>9.4770998002956279</v>
      </c>
      <c r="F12" s="23">
        <f>F8*F10</f>
        <v>1262.2687678485167</v>
      </c>
      <c r="G12" s="23"/>
      <c r="H12" s="23"/>
      <c r="I12" s="23"/>
      <c r="J12" s="23">
        <f>J8*J10</f>
        <v>130.46565955215522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0.19885946830250525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611.21884541022314</v>
      </c>
      <c r="C26" s="247">
        <f>B26*'GWP N2O_CH4'!B5</f>
        <v>12835.595753614685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89.643951244693326</v>
      </c>
      <c r="C27" s="247">
        <f>B27*'GWP N2O_CH4'!B5</f>
        <v>1882.5229761385599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7.7097927197333442</v>
      </c>
      <c r="C28" s="247">
        <f>B28*'GWP N2O_CH4'!B4</f>
        <v>2390.0357431173366</v>
      </c>
      <c r="D28" s="50"/>
    </row>
    <row r="29" spans="1:4">
      <c r="A29" s="41" t="s">
        <v>276</v>
      </c>
      <c r="B29" s="247">
        <f>B34*'ha_N2O bodem landbouw'!B4</f>
        <v>26.389166826322743</v>
      </c>
      <c r="C29" s="247">
        <f>B29*'GWP N2O_CH4'!B4</f>
        <v>8180.6417161600502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5.7866691587469959E-3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4.12193703395E-4</v>
      </c>
      <c r="C5" s="463" t="s">
        <v>210</v>
      </c>
      <c r="D5" s="448">
        <f>SUM(D6:D11)</f>
        <v>1.7362712925419401E-3</v>
      </c>
      <c r="E5" s="448">
        <f>SUM(E6:E11)</f>
        <v>1.32786413377465E-3</v>
      </c>
      <c r="F5" s="461" t="s">
        <v>210</v>
      </c>
      <c r="G5" s="448">
        <f>SUM(G6:G11)</f>
        <v>0.58944632766376381</v>
      </c>
      <c r="H5" s="448">
        <f>SUM(H6:H11)</f>
        <v>0.12902178027321923</v>
      </c>
      <c r="I5" s="463" t="s">
        <v>210</v>
      </c>
      <c r="J5" s="463" t="s">
        <v>210</v>
      </c>
      <c r="K5" s="463" t="s">
        <v>210</v>
      </c>
      <c r="L5" s="463" t="s">
        <v>210</v>
      </c>
      <c r="M5" s="448">
        <f>SUM(M6:M11)</f>
        <v>4.2467276765717321E-2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2.9898599932500001E-4</v>
      </c>
      <c r="C6" s="449"/>
      <c r="D6" s="917">
        <f>vkm_2011_GW_PW*SUMIFS(TableVerdeelsleutelVkm[CNG],TableVerdeelsleutelVkm[Voertuigtype],"Lichte voertuigen")*SUMIFS(TableECFTransport[EnergieConsumptieFactor (PJ per km)],TableECFTransport[Index],CONCATENATE($A6,"_CNG_CNG"))</f>
        <v>1.0396252466800199E-3</v>
      </c>
      <c r="E6" s="917">
        <f>vkm_2011_GW_PW*SUMIFS(TableVerdeelsleutelVkm[LPG],TableVerdeelsleutelVkm[Voertuigtype],"Lichte voertuigen")*SUMIFS(TableECFTransport[EnergieConsumptieFactor (PJ per km)],TableECFTransport[Index],CONCATENATE($A6,"_LPG_LPG"))</f>
        <v>8.1905341073400001E-4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0.22295586189682509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7.8019743283562676E-2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1.798518414597795E-2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0.20541253721440791</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5.175003751415181E-5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1.1844728649239368E-2</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1.1320770406999999E-4</v>
      </c>
      <c r="C8" s="449"/>
      <c r="D8" s="451">
        <f>vkm_2011_NGW_PW*SUMIFS(TableVerdeelsleutelVkm[CNG],TableVerdeelsleutelVkm[Voertuigtype],"Lichte voertuigen")*SUMIFS(TableECFTransport[EnergieConsumptieFactor (PJ per km)],TableECFTransport[Index],CONCATENATE($A8,"_CNG_CNG"))</f>
        <v>6.9664604586192004E-4</v>
      </c>
      <c r="E8" s="451">
        <f>vkm_2011_NGW_PW*SUMIFS(TableVerdeelsleutelVkm[LPG],TableVerdeelsleutelVkm[Voertuigtype],"Lichte voertuigen")*SUMIFS(TableECFTransport[EnergieConsumptieFactor (PJ per km)],TableECFTransport[Index],CONCATENATE($A8,"_LPG_LPG"))</f>
        <v>5.0881072304064998E-4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0.12852767131514695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5.0942549370621884E-2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1.0760444894596242E-2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3.2550257237383778E-2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7.7375815205306722E-6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1.8769190759037628E-3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114.49825094305557</v>
      </c>
      <c r="C14" s="21"/>
      <c r="D14" s="21">
        <f t="shared" ref="D14:M14" si="0">((D5)*10^9/3600)+D12</f>
        <v>482.29758126165001</v>
      </c>
      <c r="E14" s="21">
        <f t="shared" si="0"/>
        <v>368.85114827073613</v>
      </c>
      <c r="F14" s="21"/>
      <c r="G14" s="21">
        <f t="shared" si="0"/>
        <v>163735.09101771217</v>
      </c>
      <c r="H14" s="21">
        <f t="shared" si="0"/>
        <v>35839.383409227565</v>
      </c>
      <c r="I14" s="21"/>
      <c r="J14" s="21"/>
      <c r="K14" s="21"/>
      <c r="L14" s="21"/>
      <c r="M14" s="21">
        <f t="shared" si="0"/>
        <v>11796.465768254811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0.20429461904728377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23.391376557991837</v>
      </c>
      <c r="C18" s="23"/>
      <c r="D18" s="23">
        <f t="shared" ref="D18:M18" si="1">D14*D16</f>
        <v>97.424111414853314</v>
      </c>
      <c r="E18" s="23">
        <f t="shared" si="1"/>
        <v>83.729210657457102</v>
      </c>
      <c r="F18" s="23"/>
      <c r="G18" s="23">
        <f t="shared" si="1"/>
        <v>43717.269301729153</v>
      </c>
      <c r="H18" s="23">
        <f t="shared" si="1"/>
        <v>8924.0064688976636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9.7650674513107341E-3</v>
      </c>
      <c r="H50" s="321">
        <f t="shared" si="2"/>
        <v>0</v>
      </c>
      <c r="I50" s="321">
        <f t="shared" si="2"/>
        <v>0</v>
      </c>
      <c r="J50" s="321">
        <f t="shared" si="2"/>
        <v>0</v>
      </c>
      <c r="K50" s="321">
        <f t="shared" si="2"/>
        <v>0</v>
      </c>
      <c r="L50" s="321">
        <f t="shared" si="2"/>
        <v>0</v>
      </c>
      <c r="M50" s="321">
        <f t="shared" si="2"/>
        <v>5.4274352938920981E-4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9.7650674513107341E-3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5.4274352938920981E-4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2712.5187364752037</v>
      </c>
      <c r="H54" s="21">
        <f t="shared" si="3"/>
        <v>0</v>
      </c>
      <c r="I54" s="21">
        <f t="shared" si="3"/>
        <v>0</v>
      </c>
      <c r="J54" s="21">
        <f t="shared" si="3"/>
        <v>0</v>
      </c>
      <c r="K54" s="21">
        <f t="shared" si="3"/>
        <v>0</v>
      </c>
      <c r="L54" s="21">
        <f t="shared" si="3"/>
        <v>0</v>
      </c>
      <c r="M54" s="21">
        <f t="shared" si="3"/>
        <v>150.76209149700273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0.20429461904728377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724.24250263887939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10762.352672480669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2187</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12949.352672480669</v>
      </c>
      <c r="C10" s="589">
        <f t="shared" ref="C10:L10" si="0">SUM(C8:C9)</f>
        <v>0</v>
      </c>
      <c r="D10" s="589">
        <f t="shared" si="0"/>
        <v>0</v>
      </c>
      <c r="E10" s="589">
        <f t="shared" si="0"/>
        <v>0</v>
      </c>
      <c r="F10" s="589">
        <f t="shared" si="0"/>
        <v>0</v>
      </c>
      <c r="G10" s="589">
        <f t="shared" si="0"/>
        <v>0</v>
      </c>
      <c r="H10" s="589">
        <f t="shared" si="0"/>
        <v>0</v>
      </c>
      <c r="I10" s="589">
        <f t="shared" si="0"/>
        <v>0</v>
      </c>
      <c r="J10" s="589">
        <f t="shared" si="0"/>
        <v>6248.5714285714294</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41048</v>
      </c>
      <c r="C64" s="817">
        <v>9400</v>
      </c>
      <c r="D64" s="668" t="s">
        <v>886</v>
      </c>
      <c r="E64" s="668" t="s">
        <v>887</v>
      </c>
      <c r="F64" s="668" t="s">
        <v>888</v>
      </c>
      <c r="G64" s="668" t="s">
        <v>889</v>
      </c>
      <c r="H64" s="668" t="s">
        <v>890</v>
      </c>
      <c r="I64" s="668" t="s">
        <v>891</v>
      </c>
      <c r="J64" s="816">
        <v>38826</v>
      </c>
      <c r="K64" s="816">
        <v>38930</v>
      </c>
      <c r="L64" s="668" t="s">
        <v>892</v>
      </c>
      <c r="M64" s="668">
        <v>486</v>
      </c>
      <c r="N64" s="668">
        <v>2187</v>
      </c>
      <c r="O64" s="668">
        <v>0</v>
      </c>
      <c r="P64" s="668">
        <v>0</v>
      </c>
      <c r="Q64" s="668">
        <v>0</v>
      </c>
      <c r="R64" s="668">
        <v>6248.5714285714294</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486</v>
      </c>
      <c r="N89" s="623">
        <f t="shared" ref="N89:W89" si="5">SUM(N64:N88)</f>
        <v>2187</v>
      </c>
      <c r="O89" s="623">
        <f t="shared" si="5"/>
        <v>0</v>
      </c>
      <c r="P89" s="623">
        <f t="shared" si="5"/>
        <v>0</v>
      </c>
      <c r="Q89" s="623">
        <f t="shared" si="5"/>
        <v>0</v>
      </c>
      <c r="R89" s="623">
        <f t="shared" si="5"/>
        <v>6248.5714285714294</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486</v>
      </c>
      <c r="N91" s="623">
        <f t="shared" si="7"/>
        <v>2187</v>
      </c>
      <c r="O91" s="623">
        <f t="shared" si="7"/>
        <v>0</v>
      </c>
      <c r="P91" s="623">
        <f t="shared" si="7"/>
        <v>0</v>
      </c>
      <c r="Q91" s="623">
        <f t="shared" si="7"/>
        <v>0</v>
      </c>
      <c r="R91" s="623">
        <f t="shared" si="7"/>
        <v>6248.5714285714294</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2019-08-12T08:40:27Z</dcterms:modified>
</cp:coreProperties>
</file>