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<sst xmlns="http://schemas.openxmlformats.org/spreadsheetml/2006/main" count="2384" uniqueCount="886">
  <si>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</si>
  <si>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</si>
  <si>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</si>
  <si>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</si>
  <si>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</si>
  <si>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</si>
  <si>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</si>
  <si>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</si>
  <si>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</si>
  <si>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</si>
  <si>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</si>
  <si>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</si>
  <si>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</si>
  <si>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</si>
  <si>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</si>
  <si>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</si>
  <si>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</si>
  <si>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</si>
  <si>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</si>
  <si>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</si>
  <si>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</si>
  <si>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</si>
  <si>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</si>
  <si>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</si>
  <si>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</si>
  <si>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</si>
  <si>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</si>
  <si>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</si>
  <si>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</si>
  <si>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</si>
  <si>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</si>
  <si>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</si>
  <si>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</si>
  <si>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</si>
  <si>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</si>
  <si>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</si>
  <si>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</si>
  <si>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</si>
  <si>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</si>
  <si>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</si>
  <si>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</si>
  <si>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</si>
  <si>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</si>
  <si>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</si>
  <si>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</si>
  <si>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</si>
  <si>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</si>
  <si>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</si>
  <si>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</si>
  <si>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</si>
  <si>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</si>
  <si>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</si>
  <si>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</si>
  <si>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</si>
  <si>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</si>
  <si>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</si>
  <si>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</si>
  <si>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</si>
  <si>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</si>
  <si>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</si>
  <si>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</si>
  <si>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</si>
  <si>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</si>
  <si>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</si>
  <si>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</si>
  <si>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</si>
  <si>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</si>
  <si>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</si>
  <si>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</si>
  <si>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</si>
  <si>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</si>
  <si>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</si>
  <si>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</si>
  <si>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</si>
  <si>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</si>
  <si>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</si>
  <si>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</si>
  <si>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</si>
  <si>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</si>
  <si>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</si>
  <si>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</si>
  <si>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</si>
  <si>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</si>
  <si>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</si>
  <si>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</si>
  <si>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</si>
  <si>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</si>
  <si>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</si>
  <si>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</si>
  <si>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</si>
  <si>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</si>
  <si>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</si>
  <si>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</si>
  <si>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</si>
  <si>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</si>
  <si>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</si>
  <si>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</si>
  <si>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</si>
  <si>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</si>
  <si>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</si>
  <si>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</si>
  <si>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</si>
  <si>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</si>
  <si>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</si>
  <si>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</si>
  <si>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</si>
  <si>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</si>
  <si>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</si>
  <si>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</si>
  <si>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</si>
  <si>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</si>
  <si>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</si>
  <si>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</si>
  <si>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</si>
  <si>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</si>
  <si>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</si>
  <si>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</si>
  <si>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</si>
  <si>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</si>
  <si>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</si>
  <si>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</si>
  <si>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</si>
  <si>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</si>
  <si>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</si>
  <si>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</si>
  <si>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</si>
  <si>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</si>
  <si>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</si>
  <si>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</si>
  <si>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</si>
  <si>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</si>
  <si>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</si>
  <si>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</si>
  <si>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</si>
  <si>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</si>
  <si>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</si>
  <si>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</si>
  <si>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</si>
  <si>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</si>
  <si>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</si>
  <si>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</si>
  <si>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</si>
  <si>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</si>
  <si>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</si>
  <si>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</si>
  <si>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</si>
  <si>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</si>
  <si>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</si>
  <si>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</si>
  <si>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</si>
  <si>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</si>
  <si>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</si>
  <si>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</si>
  <si>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</si>
  <si>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</si>
  <si>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</si>
  <si>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</si>
  <si>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</si>
  <si>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</si>
  <si>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</si>
  <si>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</si>
  <si>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</si>
  <si>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</si>
  <si>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</si>
  <si>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</si>
  <si>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</si>
  <si>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</si>
  <si>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</si>
  <si>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</si>
  <si>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</si>
  <si>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</si>
  <si>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</si>
  <si>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</si>
  <si>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</si>
  <si>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</si>
  <si>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</si>
  <si>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</si>
  <si>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</si>
  <si>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</si>
  <si>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</si>
  <si>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</si>
  <si>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</si>
  <si>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</si>
  <si>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</si>
  <si>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</si>
  <si>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</si>
  <si>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</si>
  <si>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</si>
  <si>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</si>
  <si>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</si>
  <si>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</si>
  <si>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</si>
  <si>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</si>
  <si>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</si>
  <si>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</si>
  <si>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</si>
  <si>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</si>
  <si>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</si>
  <si>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</si>
  <si>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</si>
  <si>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</si>
  <si>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</si>
  <si>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</si>
  <si>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</si>
  <si>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</si>
  <si>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</si>
  <si>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</si>
  <si>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</si>
  <si>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</si>
  <si>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</si>
  <si>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</si>
  <si>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</si>
  <si>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</si>
  <si>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</si>
  <si>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</si>
  <si>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</si>
  <si>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</si>
  <si>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</si>
  <si>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</si>
  <si>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</si>
  <si>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</si>
  <si>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</si>
  <si>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</si>
  <si>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</si>
  <si>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</si>
  <si>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</si>
  <si>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</si>
  <si>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</si>
  <si>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</si>
  <si>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</si>
  <si>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</si>
  <si>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</si>
  <si>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</si>
  <si>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</si>
  <si>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</si>
  <si>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</si>
  <si>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</si>
  <si>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</si>
  <si>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</si>
  <si>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</si>
  <si>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</si>
  <si>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</si>
  <si>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</si>
  <si>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</si>
  <si>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</si>
  <si>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</si>
  <si>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</si>
  <si>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</si>
  <si>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</si>
  <si>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</si>
  <si>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</si>
  <si>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</si>
  <si>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</si>
  <si>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</si>
  <si>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</si>
  <si>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</si>
  <si>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</si>
  <si>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</si>
  <si>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</si>
  <si>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</si>
  <si>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</si>
  <si>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</si>
  <si>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</si>
  <si>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</si>
  <si>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</si>
  <si>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</si>
  <si>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</si>
  <si>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</si>
  <si>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</si>
  <si>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</si>
  <si>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</si>
  <si>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</si>
  <si>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</si>
  <si>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</si>
  <si>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</si>
  <si>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</si>
  <si>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</si>
  <si>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</si>
  <si>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</si>
  <si>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</si>
  <si>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</si>
  <si>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</si>
  <si>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</si>
  <si>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</si>
  <si>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</si>
  <si>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</si>
  <si>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</si>
  <si>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</si>
  <si>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</si>
  <si>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</si>
  <si>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</si>
  <si>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</si>
  <si>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</si>
  <si>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</si>
  <si>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</si>
  <si>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</si>
  <si>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</si>
  <si>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</si>
  <si>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</si>
  <si>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</si>
  <si>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</si>
  <si>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</si>
  <si>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</si>
  <si>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</si>
  <si>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</si>
  <si>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</si>
  <si>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</si>
  <si>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</si>
  <si>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</si>
  <si>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</si>
  <si>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</si>
  <si>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</si>
  <si>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</si>
  <si>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</si>
  <si>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</si>
  <si>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</si>
  <si>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</si>
  <si>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</si>
  <si>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</si>
  <si>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</si>
  <si>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</si>
  <si>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</si>
  <si>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</si>
  <si>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</si>
  <si>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</si>
  <si>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</si>
  <si>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</si>
  <si>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</si>
  <si>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</si>
  <si>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</si>
  <si>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</si>
  <si>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</si>
  <si>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</si>
  <si>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</si>
  <si>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</si>
  <si>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</si>
  <si>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</si>
  <si>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</si>
  <si>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</si>
  <si>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</si>
  <si>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</si>
  <si>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</si>
  <si>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</si>
  <si>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</si>
  <si>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</si>
  <si>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</si>
  <si>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</si>
  <si>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</si>
  <si>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</si>
  <si>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</si>
  <si>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</si>
  <si>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</si>
  <si>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</si>
  <si>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</si>
  <si>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</si>
  <si>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</si>
  <si>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</si>
  <si>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</si>
  <si>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</si>
  <si>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</si>
  <si>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</si>
  <si>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</si>
  <si>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</si>
  <si>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</si>
  <si>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</si>
  <si>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</si>
  <si>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</si>
  <si>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</si>
  <si>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</si>
  <si>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</si>
  <si>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</si>
  <si>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</si>
  <si>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</si>
  <si>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</si>
  <si>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</si>
  <si>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</si>
  <si>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</si>
  <si>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</si>
  <si>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</si>
  <si>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</si>
  <si>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</si>
  <si>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</si>
  <si>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</si>
  <si>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</si>
  <si>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</si>
  <si>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</si>
  <si>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</si>
  <si>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</si>
  <si>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</si>
  <si>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</si>
  <si>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</si>
  <si>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</si>
  <si>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</si>
  <si>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</si>
  <si>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</si>
  <si>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</si>
  <si>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</si>
  <si>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</si>
  <si>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</si>
  <si>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</si>
  <si>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</si>
  <si>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</si>
  <si>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</si>
  <si>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</si>
  <si>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</si>
  <si>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</si>
  <si>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</si>
  <si>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</si>
  <si>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</si>
  <si>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</si>
  <si>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</si>
  <si>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</si>
  <si>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</si>
  <si>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</si>
  <si>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</si>
  <si>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</si>
  <si>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</si>
  <si>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</si>
  <si>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</si>
  <si>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</si>
  <si>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</si>
  <si>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</si>
  <si>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</si>
  <si>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</si>
  <si>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</si>
  <si>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</si>
  <si>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</si>
  <si>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</si>
  <si>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</si>
  <si>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</si>
  <si>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</si>
  <si>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</si>
  <si>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</si>
  <si>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</si>
  <si>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</si>
  <si>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</si>
  <si>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</si>
  <si>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</si>
  <si>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</si>
  <si>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</si>
  <si>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</si>
  <si>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</si>
  <si>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</si>
  <si>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</si>
  <si>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</si>
  <si>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</si>
  <si>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</si>
  <si>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</si>
  <si>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</si>
  <si>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</si>
  <si>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</si>
  <si>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</si>
  <si>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</si>
  <si>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</si>
  <si>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</si>
  <si>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</si>
  <si>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</si>
  <si>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</si>
  <si>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</si>
  <si>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</si>
  <si>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</si>
  <si>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</si>
  <si>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</si>
  <si>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</si>
  <si>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</si>
  <si>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</si>
  <si>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</si>
  <si>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</si>
  <si>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</si>
  <si>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</si>
  <si>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</si>
  <si>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</si>
  <si>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</si>
  <si>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</si>
  <si>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</si>
  <si>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</si>
  <si>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</si>
  <si>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</si>
  <si>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</si>
  <si>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</si>
  <si>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</si>
  <si>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</si>
  <si>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</si>
  <si>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</si>
  <si>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</si>
  <si>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</si>
  <si>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</si>
  <si>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</si>
  <si>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</si>
  <si>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</si>
  <si>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</si>
  <si>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</si>
  <si>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</si>
  <si>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</si>
  <si>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</si>
  <si>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</si>
  <si>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</si>
  <si>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</si>
  <si>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</si>
  <si>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</si>
  <si>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</si>
  <si>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</si>
  <si>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</si>
  <si>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</si>
  <si>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</si>
  <si>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</si>
  <si>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</si>
  <si>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</si>
  <si>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</si>
  <si>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</si>
  <si>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</si>
  <si>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</si>
  <si>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</si>
  <si>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</si>
  <si>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</si>
  <si>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</si>
  <si>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</si>
  <si>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</si>
  <si>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</si>
  <si>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</si>
  <si>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</si>
  <si>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</si>
  <si>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</si>
  <si>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</si>
  <si>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</si>
  <si>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</si>
  <si>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</si>
  <si>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</si>
  <si>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</si>
  <si>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</si>
  <si>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</si>
  <si>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</si>
  <si>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</si>
  <si>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</si>
  <si>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</si>
  <si>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</si>
  <si>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</si>
  <si>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</si>
  <si>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</si>
  <si>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</si>
  <si>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</si>
  <si>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</si>
  <si>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</si>
  <si>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</si>
  <si>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</si>
  <si>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</si>
  <si>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</si>
  <si>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</si>
  <si>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</si>
  <si>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</si>
  <si>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</si>
  <si>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</si>
  <si>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</si>
  <si>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</si>
  <si>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</si>
  <si>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</si>
  <si>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</si>
  <si>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</si>
  <si>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</si>
  <si>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</si>
  <si>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</si>
  <si>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</si>
  <si>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</si>
  <si>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</si>
  <si>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</si>
  <si>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</si>
  <si>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</si>
  <si>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</si>
  <si>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</si>
  <si>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</si>
  <si>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</si>
  <si>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</si>
  <si>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</si>
  <si>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</si>
  <si>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</si>
  <si>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</si>
  <si>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</si>
  <si>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</si>
  <si>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</si>
  <si>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</si>
  <si>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</si>
  <si>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</si>
  <si>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</si>
  <si>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</si>
  <si>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</si>
  <si>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</si>
  <si>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</si>
  <si>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</si>
  <si>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</si>
  <si>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</si>
  <si>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</si>
  <si>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</si>
  <si>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</si>
  <si>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</si>
  <si>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</si>
  <si>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</si>
  <si>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</si>
  <si>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</si>
  <si>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</si>
  <si>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</si>
  <si>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</si>
  <si>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</si>
  <si>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</si>
  <si>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</si>
  <si>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</si>
  <si>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</si>
  <si>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</si>
  <si>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</si>
  <si>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</si>
  <si>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</si>
  <si>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</si>
  <si>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</si>
  <si>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</si>
  <si>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</si>
  <si>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</si>
  <si>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</si>
  <si>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</si>
  <si>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</si>
  <si>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</si>
  <si>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</si>
  <si>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</si>
  <si>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</si>
  <si>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</si>
  <si>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</si>
  <si>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</si>
  <si>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</si>
  <si>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</si>
  <si>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</si>
  <si>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</si>
  <si>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</si>
  <si>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</si>
  <si>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</si>
  <si>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</si>
  <si>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</si>
  <si>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</si>
  <si>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</si>
  <si>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</si>
  <si>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</si>
  <si>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</si>
  <si>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</si>
  <si>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</si>
  <si>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</si>
  <si>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</si>
  <si>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</si>
  <si>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</si>
  <si>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</si>
  <si>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</si>
  <si>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</si>
  <si>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</si>
  <si>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</si>
  <si>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</si>
  <si>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</si>
  <si>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</si>
  <si>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</si>
  <si>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</si>
  <si>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</si>
  <si>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</si>
  <si>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</si>
  <si>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</si>
  <si>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</si>
  <si>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</si>
  <si>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</si>
  <si>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</si>
  <si>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</si>
  <si>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</si>
  <si>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</si>
  <si>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</si>
  <si>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</si>
  <si>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</si>
  <si>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</si>
  <si>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</si>
  <si>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</si>
  <si>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</si>
  <si>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</si>
  <si>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</si>
  <si>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</si>
  <si>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</si>
  <si>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</si>
  <si>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</si>
  <si>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</si>
  <si>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</si>
  <si>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</si>
  <si>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</si>
  <si>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</si>
  <si>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</si>
  <si>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</si>
  <si>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</si>
  <si>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</si>
  <si>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</si>
  <si>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</si>
  <si>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</si>
  <si>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</si>
  <si>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</si>
  <si>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</si>
  <si>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</si>
  <si>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</si>
  <si>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</si>
  <si>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</si>
  <si>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</si>
  <si>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</si>
  <si>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</si>
  <si>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</si>
  <si>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</si>
  <si>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</si>
  <si>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</si>
  <si>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</si>
  <si>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</si>
  <si>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</si>
  <si>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</si>
  <si>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</si>
  <si>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</si>
  <si>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</si>
  <si>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</si>
  <si>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</si>
  <si>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</si>
  <si>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</si>
  <si>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</si>
  <si>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</si>
  <si>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</si>
  <si>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</si>
  <si>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</si>
  <si>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</si>
  <si>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</si>
  <si>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</si>
  <si>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</si>
  <si>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</si>
  <si>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</si>
  <si>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</si>
  <si>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</si>
  <si>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</si>
  <si>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</si>
  <si>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</si>
  <si>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</si>
  <si>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</si>
  <si>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</si>
  <si>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</si>
  <si>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</si>
  <si>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</si>
  <si>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</si>
  <si>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</si>
  <si>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</si>
  <si>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</si>
  <si>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</si>
  <si>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</si>
  <si>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</si>
  <si>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</si>
  <si>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</si>
  <si>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</si>
  <si>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</si>
  <si>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</si>
  <si>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</si>
  <si>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</si>
  <si>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</si>
  <si>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</si>
  <si>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</si>
  <si>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</si>
  <si>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</si>
  <si>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</si>
  <si>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</si>
  <si>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</si>
  <si>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</si>
  <si>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</si>
  <si>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</si>
  <si>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</si>
  <si>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</si>
  <si>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</si>
  <si>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</si>
  <si>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</si>
  <si>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</si>
  <si>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</si>
  <si>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</si>
  <si>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</si>
  <si>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</si>
  <si>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</si>
  <si>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</si>
  <si>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</si>
  <si>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</si>
  <si>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</si>
  <si>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</si>
  <si>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</si>
  <si>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</si>
  <si>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</si>
  <si>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</si>
  <si>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</si>
  <si>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</si>
  <si>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</si>
  <si>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</si>
  <si>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</si>
  <si>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</si>
  <si>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</si>
  <si>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</si>
  <si>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</si>
  <si>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</si>
  <si>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</si>
  <si>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</si>
  <si>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</si>
  <si>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</si>
  <si>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</si>
  <si>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</si>
  <si>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</si>
  <si>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</si>
  <si>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</si>
  <si>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</si>
  <si>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</si>
  <si>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</si>
  <si>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</si>
  <si>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</si>
  <si>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</si>
  <si>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</si>
  <si>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</si>
  <si>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</si>
  <si>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</si>
  <si>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</si>
  <si>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</si>
  <si>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</si>
  <si>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</si>
  <si>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</si>
  <si>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</si>
  <si>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</si>
  <si>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</si>
  <si>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</si>
  <si>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</si>
  <si>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</si>
  <si>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</si>
  <si>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</si>
  <si>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</si>
  <si>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</si>
  <si>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</si>
  <si>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</si>
  <si>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</si>
  <si>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</si>
  <si>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</si>
  <si>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</si>
  <si>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</si>
  <si>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</si>
  <si>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</si>
  <si>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</si>
  <si>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</si>
  <si>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</si>
  <si>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</si>
  <si>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</si>
  <si>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</si>
  <si>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</si>
  <si>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</si>
  <si>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</si>
  <si>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</si>
  <si>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</si>
  <si>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</si>
  <si>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</si>
  <si>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</si>
  <si>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</si>
  <si>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</si>
  <si>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</si>
  <si>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</si>
  <si>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</si>
  <si>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</si>
  <si>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</si>
  <si>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</si>
  <si>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</si>
  <si>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</si>
  <si>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</si>
  <si>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</si>
  <si>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</si>
  <si>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</si>
  <si>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</si>
  <si>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</si>
  <si>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</si>
  <si>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</si>
  <si>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</si>
  <si>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</si>
  <si>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</si>
  <si>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</si>
  <si>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</si>
  <si>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</si>
  <si>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</si>
  <si>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</si>
  <si>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</si>
  <si>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</si>
  <si>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41011</t>
  </si>
  <si>
    <t>DENDERLEEUW</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</si>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</sst>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135210.46540900884</c:v>
                </c:pt>
                <c:pt idx="1">
                  <c:v>27438.152345544804</c:v>
                </c:pt>
                <c:pt idx="2">
                  <c:v>1222.9059999999999</c:v>
                </c:pt>
                <c:pt idx="3">
                  <c:v>346.57179657760645</c:v>
                </c:pt>
                <c:pt idx="4">
                  <c:v>150037.00637363674</c:v>
                </c:pt>
                <c:pt idx="5">
                  <c:v>53707.196218495883</c:v>
                </c:pt>
                <c:pt idx="6">
                  <c:v>878.40092189999893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135210.46540900884</c:v>
                </c:pt>
                <c:pt idx="1">
                  <c:v>27438.152345544804</c:v>
                </c:pt>
                <c:pt idx="2">
                  <c:v>1222.9059999999999</c:v>
                </c:pt>
                <c:pt idx="3">
                  <c:v>346.57179657760645</c:v>
                </c:pt>
                <c:pt idx="4">
                  <c:v>150037.00637363674</c:v>
                </c:pt>
                <c:pt idx="5">
                  <c:v>53707.196218495883</c:v>
                </c:pt>
                <c:pt idx="6">
                  <c:v>878.40092189999893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26575.359685542408</c:v>
                </c:pt>
                <c:pt idx="1">
                  <c:v>5363.4299664672817</c:v>
                </c:pt>
                <c:pt idx="2">
                  <c:v>252.64020657785497</c:v>
                </c:pt>
                <c:pt idx="3">
                  <c:v>85.947844835872843</c:v>
                </c:pt>
                <c:pt idx="4">
                  <c:v>30600.606122109835</c:v>
                </c:pt>
                <c:pt idx="5">
                  <c:v>13312.997961109393</c:v>
                </c:pt>
                <c:pt idx="6">
                  <c:v>222.18403300932846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26575.359685542408</c:v>
                </c:pt>
                <c:pt idx="1">
                  <c:v>5363.4299664672817</c:v>
                </c:pt>
                <c:pt idx="2">
                  <c:v>252.64020657785497</c:v>
                </c:pt>
                <c:pt idx="3">
                  <c:v>85.947844835872843</c:v>
                </c:pt>
                <c:pt idx="4">
                  <c:v>30600.606122109835</c:v>
                </c:pt>
                <c:pt idx="5">
                  <c:v>13312.997961109393</c:v>
                </c:pt>
                <c:pt idx="6">
                  <c:v>222.18403300932846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41011</v>
      </c>
      <c r="B6" s="415"/>
      <c r="C6" s="416"/>
    </row>
    <row r="7" spans="1:7" s="413" customFormat="1" ht="15.75" customHeight="1">
      <c r="A7" s="417" t="str">
        <f>txtMunicipality</f>
        <v>DENDERLEEUW</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13497.670363999998</v>
      </c>
      <c r="D10" s="712">
        <f ca="1">tertiair!C16</f>
        <v>0</v>
      </c>
      <c r="E10" s="712">
        <f ca="1">tertiair!D16</f>
        <v>11954.141687400002</v>
      </c>
      <c r="F10" s="712">
        <f>tertiair!E16</f>
        <v>195.29093168017994</v>
      </c>
      <c r="G10" s="712">
        <f ca="1">tertiair!F16</f>
        <v>1380.181032621243</v>
      </c>
      <c r="H10" s="712">
        <f>tertiair!G16</f>
        <v>0</v>
      </c>
      <c r="I10" s="712">
        <f>tertiair!H16</f>
        <v>0</v>
      </c>
      <c r="J10" s="712">
        <f>tertiair!I16</f>
        <v>0</v>
      </c>
      <c r="K10" s="712">
        <f>tertiair!J16</f>
        <v>2.7785253005313672E-2</v>
      </c>
      <c r="L10" s="712">
        <f>tertiair!K16</f>
        <v>0</v>
      </c>
      <c r="M10" s="712">
        <f ca="1">tertiair!L16</f>
        <v>0</v>
      </c>
      <c r="N10" s="712">
        <f>tertiair!M16</f>
        <v>0</v>
      </c>
      <c r="O10" s="712">
        <f ca="1">tertiair!N16</f>
        <v>1093.6633792279001</v>
      </c>
      <c r="P10" s="712">
        <f>tertiair!O16</f>
        <v>14.691782297523464</v>
      </c>
      <c r="Q10" s="713">
        <f>tertiair!P16</f>
        <v>525.39138306495022</v>
      </c>
      <c r="R10" s="715">
        <f ca="1">SUM(C10:Q10)</f>
        <v>28661.058345544803</v>
      </c>
      <c r="S10" s="67"/>
    </row>
    <row r="11" spans="1:19" s="474" customFormat="1">
      <c r="A11" s="834" t="s">
        <v>224</v>
      </c>
      <c r="B11" s="839"/>
      <c r="C11" s="712">
        <f>huishoudens!B8</f>
        <v>33204.460176797591</v>
      </c>
      <c r="D11" s="712">
        <f>huishoudens!C8</f>
        <v>0</v>
      </c>
      <c r="E11" s="712">
        <f>huishoudens!D8</f>
        <v>75675.280299080012</v>
      </c>
      <c r="F11" s="712">
        <f>huishoudens!E8</f>
        <v>11815.836753165924</v>
      </c>
      <c r="G11" s="712">
        <f>huishoudens!F8</f>
        <v>6543.2478377894677</v>
      </c>
      <c r="H11" s="712">
        <f>huishoudens!G8</f>
        <v>0</v>
      </c>
      <c r="I11" s="712">
        <f>huishoudens!H8</f>
        <v>0</v>
      </c>
      <c r="J11" s="712">
        <f>huishoudens!I8</f>
        <v>0</v>
      </c>
      <c r="K11" s="712">
        <f>huishoudens!J8</f>
        <v>0</v>
      </c>
      <c r="L11" s="712">
        <f>huishoudens!K8</f>
        <v>0</v>
      </c>
      <c r="M11" s="712">
        <f>huishoudens!L8</f>
        <v>0</v>
      </c>
      <c r="N11" s="712">
        <f>huishoudens!M8</f>
        <v>0</v>
      </c>
      <c r="O11" s="712">
        <f>huishoudens!N8</f>
        <v>7302.7599070686683</v>
      </c>
      <c r="P11" s="712">
        <f>huishoudens!O8</f>
        <v>289.65790003050665</v>
      </c>
      <c r="Q11" s="713">
        <f>huishoudens!P8</f>
        <v>379.22253507666085</v>
      </c>
      <c r="R11" s="715">
        <f>SUM(C11:Q11)</f>
        <v>135210.46540900884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21020.995181999999</v>
      </c>
      <c r="D13" s="712">
        <f>industrie!C18</f>
        <v>0</v>
      </c>
      <c r="E13" s="712">
        <f>industrie!D18</f>
        <v>121565.10274345799</v>
      </c>
      <c r="F13" s="712">
        <f>industrie!E18</f>
        <v>1414.9595745962806</v>
      </c>
      <c r="G13" s="712">
        <f>industrie!F18</f>
        <v>4963.7515137973933</v>
      </c>
      <c r="H13" s="712">
        <f>industrie!G18</f>
        <v>0</v>
      </c>
      <c r="I13" s="712">
        <f>industrie!H18</f>
        <v>0</v>
      </c>
      <c r="J13" s="712">
        <f>industrie!I18</f>
        <v>0</v>
      </c>
      <c r="K13" s="712">
        <f>industrie!J18</f>
        <v>155.95913109812381</v>
      </c>
      <c r="L13" s="712">
        <f>industrie!K18</f>
        <v>0</v>
      </c>
      <c r="M13" s="712">
        <f>industrie!L18</f>
        <v>0</v>
      </c>
      <c r="N13" s="712">
        <f>industrie!M18</f>
        <v>0</v>
      </c>
      <c r="O13" s="712">
        <f>industrie!N18</f>
        <v>916.23822868696959</v>
      </c>
      <c r="P13" s="712">
        <f>industrie!O18</f>
        <v>0</v>
      </c>
      <c r="Q13" s="713">
        <f>industrie!P18</f>
        <v>0</v>
      </c>
      <c r="R13" s="715">
        <f>SUM(C13:Q13)</f>
        <v>150037.00637363674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67723.125722797588</v>
      </c>
      <c r="D16" s="748">
        <f t="shared" ref="D16:R16" ca="1" si="0">SUM(D9:D15)</f>
        <v>0</v>
      </c>
      <c r="E16" s="748">
        <f t="shared" ca="1" si="0"/>
        <v>209194.52472993801</v>
      </c>
      <c r="F16" s="748">
        <f t="shared" si="0"/>
        <v>13426.087259442385</v>
      </c>
      <c r="G16" s="748">
        <f t="shared" ca="1" si="0"/>
        <v>12887.180384208104</v>
      </c>
      <c r="H16" s="748">
        <f t="shared" si="0"/>
        <v>0</v>
      </c>
      <c r="I16" s="748">
        <f t="shared" si="0"/>
        <v>0</v>
      </c>
      <c r="J16" s="748">
        <f t="shared" si="0"/>
        <v>0</v>
      </c>
      <c r="K16" s="748">
        <f t="shared" si="0"/>
        <v>155.98691635112911</v>
      </c>
      <c r="L16" s="748">
        <f t="shared" si="0"/>
        <v>0</v>
      </c>
      <c r="M16" s="748">
        <f t="shared" ca="1" si="0"/>
        <v>0</v>
      </c>
      <c r="N16" s="748">
        <f t="shared" si="0"/>
        <v>0</v>
      </c>
      <c r="O16" s="748">
        <f t="shared" ca="1" si="0"/>
        <v>9312.6615149835379</v>
      </c>
      <c r="P16" s="748">
        <f t="shared" si="0"/>
        <v>304.3496823280301</v>
      </c>
      <c r="Q16" s="748">
        <f t="shared" si="0"/>
        <v>904.61391814161107</v>
      </c>
      <c r="R16" s="748">
        <f t="shared" ca="1" si="0"/>
        <v>313908.53012819041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832.14993636452607</v>
      </c>
      <c r="I19" s="712">
        <f>transport!H54</f>
        <v>0</v>
      </c>
      <c r="J19" s="712">
        <f>transport!I54</f>
        <v>0</v>
      </c>
      <c r="K19" s="712">
        <f>transport!J54</f>
        <v>0</v>
      </c>
      <c r="L19" s="712">
        <f>transport!K54</f>
        <v>0</v>
      </c>
      <c r="M19" s="712">
        <f>transport!L54</f>
        <v>0</v>
      </c>
      <c r="N19" s="712">
        <f>transport!M54</f>
        <v>46.250985535472822</v>
      </c>
      <c r="O19" s="712">
        <f>transport!N54</f>
        <v>0</v>
      </c>
      <c r="P19" s="712">
        <f>transport!O54</f>
        <v>0</v>
      </c>
      <c r="Q19" s="713">
        <f>transport!P54</f>
        <v>0</v>
      </c>
      <c r="R19" s="715">
        <f>SUM(C19:Q19)</f>
        <v>878.40092189999893</v>
      </c>
      <c r="S19" s="67"/>
    </row>
    <row r="20" spans="1:19" s="474" customFormat="1">
      <c r="A20" s="834" t="s">
        <v>306</v>
      </c>
      <c r="B20" s="839"/>
      <c r="C20" s="712">
        <f>transport!B14</f>
        <v>33.069167125</v>
      </c>
      <c r="D20" s="712">
        <f>transport!C14</f>
        <v>0</v>
      </c>
      <c r="E20" s="712">
        <f>transport!D14</f>
        <v>156.52256915236669</v>
      </c>
      <c r="F20" s="712">
        <f>transport!E14</f>
        <v>120.30960943781248</v>
      </c>
      <c r="G20" s="712">
        <f>transport!F14</f>
        <v>0</v>
      </c>
      <c r="H20" s="712">
        <f>transport!G14</f>
        <v>38791.079154364634</v>
      </c>
      <c r="I20" s="712">
        <f>transport!H14</f>
        <v>11606.506931048894</v>
      </c>
      <c r="J20" s="712">
        <f>transport!I14</f>
        <v>0</v>
      </c>
      <c r="K20" s="712">
        <f>transport!J14</f>
        <v>0</v>
      </c>
      <c r="L20" s="712">
        <f>transport!K14</f>
        <v>0</v>
      </c>
      <c r="M20" s="712">
        <f>transport!L14</f>
        <v>0</v>
      </c>
      <c r="N20" s="712">
        <f>transport!M14</f>
        <v>2999.7087873671735</v>
      </c>
      <c r="O20" s="712">
        <f>transport!N14</f>
        <v>0</v>
      </c>
      <c r="P20" s="712">
        <f>transport!O14</f>
        <v>0</v>
      </c>
      <c r="Q20" s="713">
        <f>transport!P14</f>
        <v>0</v>
      </c>
      <c r="R20" s="715">
        <f>SUM(C20:Q20)</f>
        <v>53707.196218495883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33.069167125</v>
      </c>
      <c r="D22" s="837">
        <f t="shared" ref="D22:R22" si="1">SUM(D18:D21)</f>
        <v>0</v>
      </c>
      <c r="E22" s="837">
        <f t="shared" si="1"/>
        <v>156.52256915236669</v>
      </c>
      <c r="F22" s="837">
        <f t="shared" si="1"/>
        <v>120.30960943781248</v>
      </c>
      <c r="G22" s="837">
        <f t="shared" si="1"/>
        <v>0</v>
      </c>
      <c r="H22" s="837">
        <f t="shared" si="1"/>
        <v>39623.229090729161</v>
      </c>
      <c r="I22" s="837">
        <f t="shared" si="1"/>
        <v>11606.506931048894</v>
      </c>
      <c r="J22" s="837">
        <f t="shared" si="1"/>
        <v>0</v>
      </c>
      <c r="K22" s="837">
        <f t="shared" si="1"/>
        <v>0</v>
      </c>
      <c r="L22" s="837">
        <f t="shared" si="1"/>
        <v>0</v>
      </c>
      <c r="M22" s="837">
        <f t="shared" si="1"/>
        <v>0</v>
      </c>
      <c r="N22" s="837">
        <f t="shared" si="1"/>
        <v>3045.9597729026464</v>
      </c>
      <c r="O22" s="837">
        <f t="shared" si="1"/>
        <v>0</v>
      </c>
      <c r="P22" s="837">
        <f t="shared" si="1"/>
        <v>0</v>
      </c>
      <c r="Q22" s="837">
        <f t="shared" si="1"/>
        <v>0</v>
      </c>
      <c r="R22" s="837">
        <f t="shared" si="1"/>
        <v>54585.597140395883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57.553728</v>
      </c>
      <c r="D24" s="712">
        <f>+landbouw!C8</f>
        <v>0</v>
      </c>
      <c r="E24" s="712">
        <f>+landbouw!D8</f>
        <v>67.964134127999998</v>
      </c>
      <c r="F24" s="712">
        <f>+landbouw!E8</f>
        <v>1.7962328720018901</v>
      </c>
      <c r="G24" s="712">
        <f>+landbouw!F8</f>
        <v>203.40125038199886</v>
      </c>
      <c r="H24" s="712">
        <f>+landbouw!G8</f>
        <v>0</v>
      </c>
      <c r="I24" s="712">
        <f>+landbouw!H8</f>
        <v>0</v>
      </c>
      <c r="J24" s="712">
        <f>+landbouw!I8</f>
        <v>0</v>
      </c>
      <c r="K24" s="712">
        <f>+landbouw!J8</f>
        <v>15.856451195605716</v>
      </c>
      <c r="L24" s="712">
        <f>+landbouw!K8</f>
        <v>0</v>
      </c>
      <c r="M24" s="712">
        <f>+landbouw!L8</f>
        <v>0</v>
      </c>
      <c r="N24" s="712">
        <f>+landbouw!M8</f>
        <v>0</v>
      </c>
      <c r="O24" s="712">
        <f>+landbouw!N8</f>
        <v>0</v>
      </c>
      <c r="P24" s="712">
        <f>+landbouw!O8</f>
        <v>0</v>
      </c>
      <c r="Q24" s="713">
        <f>+landbouw!P8</f>
        <v>0</v>
      </c>
      <c r="R24" s="715">
        <f>SUM(C24:Q24)</f>
        <v>346.57179657760645</v>
      </c>
      <c r="S24" s="67"/>
    </row>
    <row r="25" spans="1:19" s="474" customFormat="1" ht="15" thickBot="1">
      <c r="A25" s="856" t="s">
        <v>734</v>
      </c>
      <c r="B25" s="982"/>
      <c r="C25" s="983">
        <f>IF(Onbekend_ele_kWh="---",0,Onbekend_ele_kWh)/1000+IF(REST_rest_ele_kWh="---",0,REST_rest_ele_kWh)/1000</f>
        <v>626.2749</v>
      </c>
      <c r="D25" s="983"/>
      <c r="E25" s="983">
        <f>IF(onbekend_gas_kWh="---",0,onbekend_gas_kWh)/1000+IF(REST_rest_gas_kWh="---",0,REST_rest_gas_kWh)/1000</f>
        <v>3025.1051320000001</v>
      </c>
      <c r="F25" s="983"/>
      <c r="G25" s="983"/>
      <c r="H25" s="983"/>
      <c r="I25" s="983"/>
      <c r="J25" s="983"/>
      <c r="K25" s="983"/>
      <c r="L25" s="983"/>
      <c r="M25" s="983"/>
      <c r="N25" s="983"/>
      <c r="O25" s="983"/>
      <c r="P25" s="983"/>
      <c r="Q25" s="984"/>
      <c r="R25" s="715">
        <f>SUM(C25:Q25)</f>
        <v>3651.380032</v>
      </c>
      <c r="S25" s="67"/>
    </row>
    <row r="26" spans="1:19" s="474" customFormat="1" ht="15.75" thickBot="1">
      <c r="A26" s="720" t="s">
        <v>735</v>
      </c>
      <c r="B26" s="842"/>
      <c r="C26" s="837">
        <f>SUM(C24:C25)</f>
        <v>683.82862799999998</v>
      </c>
      <c r="D26" s="837">
        <f t="shared" ref="D26:R26" si="2">SUM(D24:D25)</f>
        <v>0</v>
      </c>
      <c r="E26" s="837">
        <f t="shared" si="2"/>
        <v>3093.069266128</v>
      </c>
      <c r="F26" s="837">
        <f t="shared" si="2"/>
        <v>1.7962328720018901</v>
      </c>
      <c r="G26" s="837">
        <f t="shared" si="2"/>
        <v>203.40125038199886</v>
      </c>
      <c r="H26" s="837">
        <f t="shared" si="2"/>
        <v>0</v>
      </c>
      <c r="I26" s="837">
        <f t="shared" si="2"/>
        <v>0</v>
      </c>
      <c r="J26" s="837">
        <f t="shared" si="2"/>
        <v>0</v>
      </c>
      <c r="K26" s="837">
        <f t="shared" si="2"/>
        <v>15.856451195605716</v>
      </c>
      <c r="L26" s="837">
        <f t="shared" si="2"/>
        <v>0</v>
      </c>
      <c r="M26" s="837">
        <f t="shared" si="2"/>
        <v>0</v>
      </c>
      <c r="N26" s="837">
        <f t="shared" si="2"/>
        <v>0</v>
      </c>
      <c r="O26" s="837">
        <f t="shared" si="2"/>
        <v>0</v>
      </c>
      <c r="P26" s="837">
        <f t="shared" si="2"/>
        <v>0</v>
      </c>
      <c r="Q26" s="837">
        <f t="shared" si="2"/>
        <v>0</v>
      </c>
      <c r="R26" s="837">
        <f t="shared" si="2"/>
        <v>3997.9518285776066</v>
      </c>
      <c r="S26" s="67"/>
    </row>
    <row r="27" spans="1:19" s="474" customFormat="1" ht="17.25" thickTop="1" thickBot="1">
      <c r="A27" s="721" t="s">
        <v>115</v>
      </c>
      <c r="B27" s="829"/>
      <c r="C27" s="722">
        <f ca="1">C22+C16+C26</f>
        <v>68440.023517922586</v>
      </c>
      <c r="D27" s="722">
        <f t="shared" ref="D27:R27" ca="1" si="3">D22+D16+D26</f>
        <v>0</v>
      </c>
      <c r="E27" s="722">
        <f t="shared" ca="1" si="3"/>
        <v>212444.1165652184</v>
      </c>
      <c r="F27" s="722">
        <f t="shared" si="3"/>
        <v>13548.1931017522</v>
      </c>
      <c r="G27" s="722">
        <f t="shared" ca="1" si="3"/>
        <v>13090.581634590104</v>
      </c>
      <c r="H27" s="722">
        <f t="shared" si="3"/>
        <v>39623.229090729161</v>
      </c>
      <c r="I27" s="722">
        <f t="shared" si="3"/>
        <v>11606.506931048894</v>
      </c>
      <c r="J27" s="722">
        <f t="shared" si="3"/>
        <v>0</v>
      </c>
      <c r="K27" s="722">
        <f t="shared" si="3"/>
        <v>171.84336754673484</v>
      </c>
      <c r="L27" s="722">
        <f t="shared" si="3"/>
        <v>0</v>
      </c>
      <c r="M27" s="722">
        <f t="shared" ca="1" si="3"/>
        <v>0</v>
      </c>
      <c r="N27" s="722">
        <f t="shared" si="3"/>
        <v>3045.9597729026464</v>
      </c>
      <c r="O27" s="722">
        <f t="shared" ca="1" si="3"/>
        <v>9312.6615149835379</v>
      </c>
      <c r="P27" s="722">
        <f t="shared" si="3"/>
        <v>304.3496823280301</v>
      </c>
      <c r="Q27" s="722">
        <f t="shared" si="3"/>
        <v>904.61391814161107</v>
      </c>
      <c r="R27" s="722">
        <f t="shared" ca="1" si="3"/>
        <v>372492.07909716392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2788.4843390094989</v>
      </c>
      <c r="D40" s="712">
        <f ca="1">tertiair!C20</f>
        <v>0</v>
      </c>
      <c r="E40" s="712">
        <f ca="1">tertiair!D20</f>
        <v>2414.7366208548005</v>
      </c>
      <c r="F40" s="712">
        <f>tertiair!E20</f>
        <v>44.331041491400846</v>
      </c>
      <c r="G40" s="712">
        <f ca="1">tertiair!F20</f>
        <v>368.50833570987191</v>
      </c>
      <c r="H40" s="712">
        <f>tertiair!G20</f>
        <v>0</v>
      </c>
      <c r="I40" s="712">
        <f>tertiair!H20</f>
        <v>0</v>
      </c>
      <c r="J40" s="712">
        <f>tertiair!I20</f>
        <v>0</v>
      </c>
      <c r="K40" s="712">
        <f>tertiair!J20</f>
        <v>9.835979563881039E-3</v>
      </c>
      <c r="L40" s="712">
        <f>tertiair!K20</f>
        <v>0</v>
      </c>
      <c r="M40" s="712">
        <f ca="1">tertiair!L20</f>
        <v>0</v>
      </c>
      <c r="N40" s="712">
        <f>tertiair!M20</f>
        <v>0</v>
      </c>
      <c r="O40" s="712">
        <f ca="1">tertiair!N20</f>
        <v>0</v>
      </c>
      <c r="P40" s="712">
        <f>tertiair!O20</f>
        <v>0</v>
      </c>
      <c r="Q40" s="795">
        <f>tertiair!P20</f>
        <v>0</v>
      </c>
      <c r="R40" s="875">
        <f t="shared" ca="1" si="4"/>
        <v>5616.0701730451365</v>
      </c>
    </row>
    <row r="41" spans="1:18">
      <c r="A41" s="847" t="s">
        <v>224</v>
      </c>
      <c r="B41" s="854"/>
      <c r="C41" s="712">
        <f ca="1">huishoudens!B12</f>
        <v>6859.7109494697897</v>
      </c>
      <c r="D41" s="712">
        <f ca="1">huishoudens!C12</f>
        <v>0</v>
      </c>
      <c r="E41" s="712">
        <f>huishoudens!D12</f>
        <v>15286.406620414164</v>
      </c>
      <c r="F41" s="712">
        <f>huishoudens!E12</f>
        <v>2682.1949429686647</v>
      </c>
      <c r="G41" s="712">
        <f>huishoudens!F12</f>
        <v>1747.0471726897879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26575.359685542408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4342.7283579053283</v>
      </c>
      <c r="D43" s="712">
        <f ca="1">industrie!C22</f>
        <v>0</v>
      </c>
      <c r="E43" s="712">
        <f>industrie!D22</f>
        <v>24556.150754178514</v>
      </c>
      <c r="F43" s="712">
        <f>industrie!E22</f>
        <v>321.19582343335571</v>
      </c>
      <c r="G43" s="712">
        <f>industrie!F22</f>
        <v>1325.321654183904</v>
      </c>
      <c r="H43" s="712">
        <f>industrie!G22</f>
        <v>0</v>
      </c>
      <c r="I43" s="712">
        <f>industrie!H22</f>
        <v>0</v>
      </c>
      <c r="J43" s="712">
        <f>industrie!I22</f>
        <v>0</v>
      </c>
      <c r="K43" s="712">
        <f>industrie!J22</f>
        <v>55.209532408735825</v>
      </c>
      <c r="L43" s="712">
        <f>industrie!K22</f>
        <v>0</v>
      </c>
      <c r="M43" s="712">
        <f>industrie!L22</f>
        <v>0</v>
      </c>
      <c r="N43" s="712">
        <f>industrie!M22</f>
        <v>0</v>
      </c>
      <c r="O43" s="712">
        <f>industrie!N22</f>
        <v>0</v>
      </c>
      <c r="P43" s="712">
        <f>industrie!O22</f>
        <v>0</v>
      </c>
      <c r="Q43" s="795">
        <f>industrie!P22</f>
        <v>0</v>
      </c>
      <c r="R43" s="874">
        <f t="shared" ca="1" si="4"/>
        <v>30600.606122109835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13990.923646384617</v>
      </c>
      <c r="D46" s="748">
        <f t="shared" ref="D46:Q46" ca="1" si="5">SUM(D39:D45)</f>
        <v>0</v>
      </c>
      <c r="E46" s="748">
        <f t="shared" ca="1" si="5"/>
        <v>42257.293995447479</v>
      </c>
      <c r="F46" s="748">
        <f t="shared" si="5"/>
        <v>3047.7218078934211</v>
      </c>
      <c r="G46" s="748">
        <f t="shared" ca="1" si="5"/>
        <v>3440.8771625835634</v>
      </c>
      <c r="H46" s="748">
        <f t="shared" si="5"/>
        <v>0</v>
      </c>
      <c r="I46" s="748">
        <f t="shared" si="5"/>
        <v>0</v>
      </c>
      <c r="J46" s="748">
        <f t="shared" si="5"/>
        <v>0</v>
      </c>
      <c r="K46" s="748">
        <f t="shared" si="5"/>
        <v>55.219368388299706</v>
      </c>
      <c r="L46" s="748">
        <f t="shared" si="5"/>
        <v>0</v>
      </c>
      <c r="M46" s="748">
        <f t="shared" ca="1" si="5"/>
        <v>0</v>
      </c>
      <c r="N46" s="748">
        <f t="shared" si="5"/>
        <v>0</v>
      </c>
      <c r="O46" s="748">
        <f t="shared" ca="1" si="5"/>
        <v>0</v>
      </c>
      <c r="P46" s="748">
        <f t="shared" si="5"/>
        <v>0</v>
      </c>
      <c r="Q46" s="748">
        <f t="shared" si="5"/>
        <v>0</v>
      </c>
      <c r="R46" s="748">
        <f ca="1">SUM(R39:R45)</f>
        <v>62792.035980697379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222.18403300932846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222.18403300932846</v>
      </c>
    </row>
    <row r="50" spans="1:18">
      <c r="A50" s="850" t="s">
        <v>306</v>
      </c>
      <c r="B50" s="860"/>
      <c r="C50" s="718">
        <f ca="1">transport!B18</f>
        <v>6.8317607516993215</v>
      </c>
      <c r="D50" s="718">
        <f>transport!C18</f>
        <v>0</v>
      </c>
      <c r="E50" s="718">
        <f>transport!D18</f>
        <v>31.617558968778074</v>
      </c>
      <c r="F50" s="718">
        <f>transport!E18</f>
        <v>27.310281342383433</v>
      </c>
      <c r="G50" s="718">
        <f>transport!F18</f>
        <v>0</v>
      </c>
      <c r="H50" s="718">
        <f>transport!G18</f>
        <v>10357.218134215358</v>
      </c>
      <c r="I50" s="718">
        <f>transport!H18</f>
        <v>2890.0202258311747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13312.997961109393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6.8317607516993215</v>
      </c>
      <c r="D52" s="748">
        <f t="shared" ref="D52:Q52" ca="1" si="6">SUM(D48:D51)</f>
        <v>0</v>
      </c>
      <c r="E52" s="748">
        <f t="shared" si="6"/>
        <v>31.617558968778074</v>
      </c>
      <c r="F52" s="748">
        <f t="shared" si="6"/>
        <v>27.310281342383433</v>
      </c>
      <c r="G52" s="748">
        <f t="shared" si="6"/>
        <v>0</v>
      </c>
      <c r="H52" s="748">
        <f t="shared" si="6"/>
        <v>10579.402167224687</v>
      </c>
      <c r="I52" s="748">
        <f t="shared" si="6"/>
        <v>2890.0202258311747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13535.181994118722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11.890027304834284</v>
      </c>
      <c r="D54" s="718">
        <f ca="1">+landbouw!C12</f>
        <v>0</v>
      </c>
      <c r="E54" s="718">
        <f>+landbouw!D12</f>
        <v>13.728755093856</v>
      </c>
      <c r="F54" s="718">
        <f>+landbouw!E12</f>
        <v>0.40774486194442905</v>
      </c>
      <c r="G54" s="718">
        <f>+landbouw!F12</f>
        <v>54.308133851993702</v>
      </c>
      <c r="H54" s="718">
        <f>+landbouw!G12</f>
        <v>0</v>
      </c>
      <c r="I54" s="718">
        <f>+landbouw!H12</f>
        <v>0</v>
      </c>
      <c r="J54" s="718">
        <f>+landbouw!I12</f>
        <v>0</v>
      </c>
      <c r="K54" s="718">
        <f>+landbouw!J12</f>
        <v>5.6131837232444237</v>
      </c>
      <c r="L54" s="718">
        <f>+landbouw!K12</f>
        <v>0</v>
      </c>
      <c r="M54" s="718">
        <f>+landbouw!L12</f>
        <v>0</v>
      </c>
      <c r="N54" s="718">
        <f>+landbouw!M12</f>
        <v>0</v>
      </c>
      <c r="O54" s="718">
        <f>+landbouw!N12</f>
        <v>0</v>
      </c>
      <c r="P54" s="718">
        <f>+landbouw!O12</f>
        <v>0</v>
      </c>
      <c r="Q54" s="719">
        <f>+landbouw!P12</f>
        <v>0</v>
      </c>
      <c r="R54" s="747">
        <f ca="1">SUM(C54:Q54)</f>
        <v>85.947844835872843</v>
      </c>
    </row>
    <row r="55" spans="1:18" ht="15" thickBot="1">
      <c r="A55" s="850" t="s">
        <v>734</v>
      </c>
      <c r="B55" s="860"/>
      <c r="C55" s="718">
        <f ca="1">C25*'EF ele_warmte'!B12</f>
        <v>129.3821602891191</v>
      </c>
      <c r="D55" s="718"/>
      <c r="E55" s="718">
        <f>E25*EF_CO2_aardgas</f>
        <v>611.07123666400003</v>
      </c>
      <c r="F55" s="718"/>
      <c r="G55" s="718"/>
      <c r="H55" s="718"/>
      <c r="I55" s="718"/>
      <c r="J55" s="718"/>
      <c r="K55" s="718"/>
      <c r="L55" s="718"/>
      <c r="M55" s="718"/>
      <c r="N55" s="718"/>
      <c r="O55" s="718"/>
      <c r="P55" s="718"/>
      <c r="Q55" s="719"/>
      <c r="R55" s="747">
        <f ca="1">SUM(C55:Q55)</f>
        <v>740.45339695311918</v>
      </c>
    </row>
    <row r="56" spans="1:18" ht="15.75" thickBot="1">
      <c r="A56" s="848" t="s">
        <v>735</v>
      </c>
      <c r="B56" s="861"/>
      <c r="C56" s="748">
        <f ca="1">SUM(C54:C55)</f>
        <v>141.27218759395339</v>
      </c>
      <c r="D56" s="748">
        <f t="shared" ref="D56:Q56" ca="1" si="7">SUM(D54:D55)</f>
        <v>0</v>
      </c>
      <c r="E56" s="748">
        <f t="shared" si="7"/>
        <v>624.79999175785599</v>
      </c>
      <c r="F56" s="748">
        <f t="shared" si="7"/>
        <v>0.40774486194442905</v>
      </c>
      <c r="G56" s="748">
        <f t="shared" si="7"/>
        <v>54.308133851993702</v>
      </c>
      <c r="H56" s="748">
        <f t="shared" si="7"/>
        <v>0</v>
      </c>
      <c r="I56" s="748">
        <f t="shared" si="7"/>
        <v>0</v>
      </c>
      <c r="J56" s="748">
        <f t="shared" si="7"/>
        <v>0</v>
      </c>
      <c r="K56" s="748">
        <f t="shared" si="7"/>
        <v>5.6131837232444237</v>
      </c>
      <c r="L56" s="748">
        <f t="shared" si="7"/>
        <v>0</v>
      </c>
      <c r="M56" s="748">
        <f t="shared" si="7"/>
        <v>0</v>
      </c>
      <c r="N56" s="748">
        <f t="shared" si="7"/>
        <v>0</v>
      </c>
      <c r="O56" s="748">
        <f t="shared" si="7"/>
        <v>0</v>
      </c>
      <c r="P56" s="748">
        <f t="shared" si="7"/>
        <v>0</v>
      </c>
      <c r="Q56" s="749">
        <f t="shared" si="7"/>
        <v>0</v>
      </c>
      <c r="R56" s="750">
        <f ca="1">SUM(R54:R55)</f>
        <v>826.40124178899202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14139.027594730271</v>
      </c>
      <c r="D61" s="756">
        <f t="shared" ref="D61:Q61" ca="1" si="8">D46+D52+D56</f>
        <v>0</v>
      </c>
      <c r="E61" s="756">
        <f t="shared" ca="1" si="8"/>
        <v>42913.711546174112</v>
      </c>
      <c r="F61" s="756">
        <f t="shared" si="8"/>
        <v>3075.4398340977491</v>
      </c>
      <c r="G61" s="756">
        <f t="shared" ca="1" si="8"/>
        <v>3495.1852964355571</v>
      </c>
      <c r="H61" s="756">
        <f t="shared" si="8"/>
        <v>10579.402167224687</v>
      </c>
      <c r="I61" s="756">
        <f t="shared" si="8"/>
        <v>2890.0202258311747</v>
      </c>
      <c r="J61" s="756">
        <f t="shared" si="8"/>
        <v>0</v>
      </c>
      <c r="K61" s="756">
        <f t="shared" si="8"/>
        <v>60.832552111544132</v>
      </c>
      <c r="L61" s="756">
        <f t="shared" si="8"/>
        <v>0</v>
      </c>
      <c r="M61" s="756">
        <f t="shared" ca="1" si="8"/>
        <v>0</v>
      </c>
      <c r="N61" s="756">
        <f t="shared" si="8"/>
        <v>0</v>
      </c>
      <c r="O61" s="756">
        <f t="shared" ca="1" si="8"/>
        <v>0</v>
      </c>
      <c r="P61" s="756">
        <f t="shared" si="8"/>
        <v>0</v>
      </c>
      <c r="Q61" s="756">
        <f t="shared" si="8"/>
        <v>0</v>
      </c>
      <c r="R61" s="756">
        <f ca="1">R46+R52+R56</f>
        <v>77153.61921660509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0.20659004582351792</v>
      </c>
      <c r="D63" s="802">
        <f t="shared" ca="1" si="9"/>
        <v>0</v>
      </c>
      <c r="E63" s="1008">
        <f t="shared" ca="1" si="9"/>
        <v>0.20199999999999999</v>
      </c>
      <c r="F63" s="802">
        <f t="shared" si="9"/>
        <v>0.22699999999999998</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4462.5230892788404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4462.5230892788404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33204.460176797591</v>
      </c>
      <c r="C4" s="478">
        <f>huishoudens!C8</f>
        <v>0</v>
      </c>
      <c r="D4" s="478">
        <f>huishoudens!D8</f>
        <v>75675.280299080012</v>
      </c>
      <c r="E4" s="478">
        <f>huishoudens!E8</f>
        <v>11815.836753165924</v>
      </c>
      <c r="F4" s="478">
        <f>huishoudens!F8</f>
        <v>6543.2478377894677</v>
      </c>
      <c r="G4" s="478">
        <f>huishoudens!G8</f>
        <v>0</v>
      </c>
      <c r="H4" s="478">
        <f>huishoudens!H8</f>
        <v>0</v>
      </c>
      <c r="I4" s="478">
        <f>huishoudens!I8</f>
        <v>0</v>
      </c>
      <c r="J4" s="478">
        <f>huishoudens!J8</f>
        <v>0</v>
      </c>
      <c r="K4" s="478">
        <f>huishoudens!K8</f>
        <v>0</v>
      </c>
      <c r="L4" s="478">
        <f>huishoudens!L8</f>
        <v>0</v>
      </c>
      <c r="M4" s="478">
        <f>huishoudens!M8</f>
        <v>0</v>
      </c>
      <c r="N4" s="478">
        <f>huishoudens!N8</f>
        <v>7302.7599070686683</v>
      </c>
      <c r="O4" s="478">
        <f>huishoudens!O8</f>
        <v>289.65790003050665</v>
      </c>
      <c r="P4" s="479">
        <f>huishoudens!P8</f>
        <v>379.22253507666085</v>
      </c>
      <c r="Q4" s="480">
        <f>SUM(B4:P4)</f>
        <v>135210.46540900884</v>
      </c>
    </row>
    <row r="5" spans="1:17">
      <c r="A5" s="477" t="s">
        <v>155</v>
      </c>
      <c r="B5" s="478">
        <f ca="1">tertiair!B16</f>
        <v>12274.764363999999</v>
      </c>
      <c r="C5" s="478">
        <f ca="1">tertiair!C16</f>
        <v>0</v>
      </c>
      <c r="D5" s="478">
        <f ca="1">tertiair!D16</f>
        <v>11954.141687400002</v>
      </c>
      <c r="E5" s="478">
        <f>tertiair!E16</f>
        <v>195.29093168017994</v>
      </c>
      <c r="F5" s="478">
        <f ca="1">tertiair!F16</f>
        <v>1380.181032621243</v>
      </c>
      <c r="G5" s="478">
        <f>tertiair!G16</f>
        <v>0</v>
      </c>
      <c r="H5" s="478">
        <f>tertiair!H16</f>
        <v>0</v>
      </c>
      <c r="I5" s="478">
        <f>tertiair!I16</f>
        <v>0</v>
      </c>
      <c r="J5" s="478">
        <f>tertiair!J16</f>
        <v>2.7785253005313672E-2</v>
      </c>
      <c r="K5" s="478">
        <f>tertiair!K16</f>
        <v>0</v>
      </c>
      <c r="L5" s="478">
        <f ca="1">tertiair!L16</f>
        <v>0</v>
      </c>
      <c r="M5" s="478">
        <f>tertiair!M16</f>
        <v>0</v>
      </c>
      <c r="N5" s="478">
        <f ca="1">tertiair!N16</f>
        <v>1093.6633792279001</v>
      </c>
      <c r="O5" s="478">
        <f>tertiair!O16</f>
        <v>14.691782297523464</v>
      </c>
      <c r="P5" s="479">
        <f>tertiair!P16</f>
        <v>525.39138306495022</v>
      </c>
      <c r="Q5" s="477">
        <f t="shared" ref="Q5:Q14" ca="1" si="0">SUM(B5:P5)</f>
        <v>27438.152345544804</v>
      </c>
    </row>
    <row r="6" spans="1:17">
      <c r="A6" s="477" t="s">
        <v>193</v>
      </c>
      <c r="B6" s="478">
        <f>'openbare verlichting'!B8</f>
        <v>1222.9059999999999</v>
      </c>
      <c r="C6" s="478"/>
      <c r="D6" s="478"/>
      <c r="E6" s="478"/>
      <c r="F6" s="478"/>
      <c r="G6" s="478"/>
      <c r="H6" s="478"/>
      <c r="I6" s="478"/>
      <c r="J6" s="478"/>
      <c r="K6" s="478"/>
      <c r="L6" s="478"/>
      <c r="M6" s="478"/>
      <c r="N6" s="478"/>
      <c r="O6" s="478"/>
      <c r="P6" s="479"/>
      <c r="Q6" s="477">
        <f t="shared" si="0"/>
        <v>1222.9059999999999</v>
      </c>
    </row>
    <row r="7" spans="1:17">
      <c r="A7" s="477" t="s">
        <v>111</v>
      </c>
      <c r="B7" s="478">
        <f>landbouw!B8</f>
        <v>57.553728</v>
      </c>
      <c r="C7" s="478">
        <f>landbouw!C8</f>
        <v>0</v>
      </c>
      <c r="D7" s="478">
        <f>landbouw!D8</f>
        <v>67.964134127999998</v>
      </c>
      <c r="E7" s="478">
        <f>landbouw!E8</f>
        <v>1.7962328720018901</v>
      </c>
      <c r="F7" s="478">
        <f>landbouw!F8</f>
        <v>203.40125038199886</v>
      </c>
      <c r="G7" s="478">
        <f>landbouw!G8</f>
        <v>0</v>
      </c>
      <c r="H7" s="478">
        <f>landbouw!H8</f>
        <v>0</v>
      </c>
      <c r="I7" s="478">
        <f>landbouw!I8</f>
        <v>0</v>
      </c>
      <c r="J7" s="478">
        <f>landbouw!J8</f>
        <v>15.856451195605716</v>
      </c>
      <c r="K7" s="478">
        <f>landbouw!K8</f>
        <v>0</v>
      </c>
      <c r="L7" s="478">
        <f>landbouw!L8</f>
        <v>0</v>
      </c>
      <c r="M7" s="478">
        <f>landbouw!M8</f>
        <v>0</v>
      </c>
      <c r="N7" s="478">
        <f>landbouw!N8</f>
        <v>0</v>
      </c>
      <c r="O7" s="478">
        <f>landbouw!O8</f>
        <v>0</v>
      </c>
      <c r="P7" s="479">
        <f>landbouw!P8</f>
        <v>0</v>
      </c>
      <c r="Q7" s="477">
        <f t="shared" si="0"/>
        <v>346.57179657760645</v>
      </c>
    </row>
    <row r="8" spans="1:17">
      <c r="A8" s="477" t="s">
        <v>629</v>
      </c>
      <c r="B8" s="478">
        <f>industrie!B18</f>
        <v>21020.995181999999</v>
      </c>
      <c r="C8" s="478">
        <f>industrie!C18</f>
        <v>0</v>
      </c>
      <c r="D8" s="478">
        <f>industrie!D18</f>
        <v>121565.10274345799</v>
      </c>
      <c r="E8" s="478">
        <f>industrie!E18</f>
        <v>1414.9595745962806</v>
      </c>
      <c r="F8" s="478">
        <f>industrie!F18</f>
        <v>4963.7515137973933</v>
      </c>
      <c r="G8" s="478">
        <f>industrie!G18</f>
        <v>0</v>
      </c>
      <c r="H8" s="478">
        <f>industrie!H18</f>
        <v>0</v>
      </c>
      <c r="I8" s="478">
        <f>industrie!I18</f>
        <v>0</v>
      </c>
      <c r="J8" s="478">
        <f>industrie!J18</f>
        <v>155.95913109812381</v>
      </c>
      <c r="K8" s="478">
        <f>industrie!K18</f>
        <v>0</v>
      </c>
      <c r="L8" s="478">
        <f>industrie!L18</f>
        <v>0</v>
      </c>
      <c r="M8" s="478">
        <f>industrie!M18</f>
        <v>0</v>
      </c>
      <c r="N8" s="478">
        <f>industrie!N18</f>
        <v>916.23822868696959</v>
      </c>
      <c r="O8" s="478">
        <f>industrie!O18</f>
        <v>0</v>
      </c>
      <c r="P8" s="479">
        <f>industrie!P18</f>
        <v>0</v>
      </c>
      <c r="Q8" s="477">
        <f t="shared" si="0"/>
        <v>150037.00637363674</v>
      </c>
    </row>
    <row r="9" spans="1:17" s="483" customFormat="1">
      <c r="A9" s="481" t="s">
        <v>555</v>
      </c>
      <c r="B9" s="482">
        <f>transport!B14</f>
        <v>33.069167125</v>
      </c>
      <c r="C9" s="482">
        <f>transport!C14</f>
        <v>0</v>
      </c>
      <c r="D9" s="482">
        <f>transport!D14</f>
        <v>156.52256915236669</v>
      </c>
      <c r="E9" s="482">
        <f>transport!E14</f>
        <v>120.30960943781248</v>
      </c>
      <c r="F9" s="482">
        <f>transport!F14</f>
        <v>0</v>
      </c>
      <c r="G9" s="482">
        <f>transport!G14</f>
        <v>38791.079154364634</v>
      </c>
      <c r="H9" s="482">
        <f>transport!H14</f>
        <v>11606.506931048894</v>
      </c>
      <c r="I9" s="482">
        <f>transport!I14</f>
        <v>0</v>
      </c>
      <c r="J9" s="482">
        <f>transport!J14</f>
        <v>0</v>
      </c>
      <c r="K9" s="482">
        <f>transport!K14</f>
        <v>0</v>
      </c>
      <c r="L9" s="482">
        <f>transport!L14</f>
        <v>0</v>
      </c>
      <c r="M9" s="482">
        <f>transport!M14</f>
        <v>2999.7087873671735</v>
      </c>
      <c r="N9" s="482">
        <f>transport!N14</f>
        <v>0</v>
      </c>
      <c r="O9" s="482">
        <f>transport!O14</f>
        <v>0</v>
      </c>
      <c r="P9" s="482">
        <f>transport!P14</f>
        <v>0</v>
      </c>
      <c r="Q9" s="481">
        <f>SUM(B9:P9)</f>
        <v>53707.196218495883</v>
      </c>
    </row>
    <row r="10" spans="1:17">
      <c r="A10" s="477" t="s">
        <v>545</v>
      </c>
      <c r="B10" s="478">
        <f>transport!B54</f>
        <v>0</v>
      </c>
      <c r="C10" s="478">
        <f>transport!C54</f>
        <v>0</v>
      </c>
      <c r="D10" s="478">
        <f>transport!D54</f>
        <v>0</v>
      </c>
      <c r="E10" s="478">
        <f>transport!E54</f>
        <v>0</v>
      </c>
      <c r="F10" s="478">
        <f>transport!F54</f>
        <v>0</v>
      </c>
      <c r="G10" s="478">
        <f>transport!G54</f>
        <v>832.14993636452607</v>
      </c>
      <c r="H10" s="478">
        <f>transport!H54</f>
        <v>0</v>
      </c>
      <c r="I10" s="478">
        <f>transport!I54</f>
        <v>0</v>
      </c>
      <c r="J10" s="478">
        <f>transport!J54</f>
        <v>0</v>
      </c>
      <c r="K10" s="478">
        <f>transport!K54</f>
        <v>0</v>
      </c>
      <c r="L10" s="478">
        <f>transport!L54</f>
        <v>0</v>
      </c>
      <c r="M10" s="478">
        <f>transport!M54</f>
        <v>46.250985535472822</v>
      </c>
      <c r="N10" s="478">
        <f>transport!N54</f>
        <v>0</v>
      </c>
      <c r="O10" s="478">
        <f>transport!O54</f>
        <v>0</v>
      </c>
      <c r="P10" s="479">
        <f>transport!P54</f>
        <v>0</v>
      </c>
      <c r="Q10" s="477">
        <f t="shared" si="0"/>
        <v>878.40092189999893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626.2749</v>
      </c>
      <c r="C14" s="485"/>
      <c r="D14" s="485">
        <f>'SEAP template'!E25</f>
        <v>3025.1051320000001</v>
      </c>
      <c r="E14" s="485"/>
      <c r="F14" s="485"/>
      <c r="G14" s="485"/>
      <c r="H14" s="485"/>
      <c r="I14" s="485"/>
      <c r="J14" s="485"/>
      <c r="K14" s="485"/>
      <c r="L14" s="485"/>
      <c r="M14" s="485"/>
      <c r="N14" s="485"/>
      <c r="O14" s="485"/>
      <c r="P14" s="486"/>
      <c r="Q14" s="477">
        <f t="shared" si="0"/>
        <v>3651.380032</v>
      </c>
    </row>
    <row r="15" spans="1:17" s="489" customFormat="1">
      <c r="A15" s="487" t="s">
        <v>549</v>
      </c>
      <c r="B15" s="488">
        <f ca="1">SUM(B4:B14)</f>
        <v>68440.023517922586</v>
      </c>
      <c r="C15" s="488">
        <f t="shared" ref="C15:Q15" ca="1" si="1">SUM(C4:C14)</f>
        <v>0</v>
      </c>
      <c r="D15" s="488">
        <f t="shared" ca="1" si="1"/>
        <v>212444.11656521837</v>
      </c>
      <c r="E15" s="488">
        <f t="shared" si="1"/>
        <v>13548.1931017522</v>
      </c>
      <c r="F15" s="488">
        <f t="shared" ca="1" si="1"/>
        <v>13090.581634590104</v>
      </c>
      <c r="G15" s="488">
        <f t="shared" si="1"/>
        <v>39623.229090729161</v>
      </c>
      <c r="H15" s="488">
        <f t="shared" si="1"/>
        <v>11606.506931048894</v>
      </c>
      <c r="I15" s="488">
        <f t="shared" si="1"/>
        <v>0</v>
      </c>
      <c r="J15" s="488">
        <f t="shared" si="1"/>
        <v>171.84336754673484</v>
      </c>
      <c r="K15" s="488">
        <f t="shared" si="1"/>
        <v>0</v>
      </c>
      <c r="L15" s="488">
        <f t="shared" ca="1" si="1"/>
        <v>0</v>
      </c>
      <c r="M15" s="488">
        <f t="shared" si="1"/>
        <v>3045.9597729026464</v>
      </c>
      <c r="N15" s="488">
        <f t="shared" ca="1" si="1"/>
        <v>9312.6615149835379</v>
      </c>
      <c r="O15" s="488">
        <f t="shared" si="1"/>
        <v>304.3496823280301</v>
      </c>
      <c r="P15" s="488">
        <f t="shared" si="1"/>
        <v>904.61391814161107</v>
      </c>
      <c r="Q15" s="488">
        <f t="shared" ca="1" si="1"/>
        <v>372492.07909716386</v>
      </c>
    </row>
    <row r="17" spans="1:17">
      <c r="A17" s="490" t="s">
        <v>550</v>
      </c>
      <c r="B17" s="807">
        <f ca="1">huishoudens!B10</f>
        <v>0.20659004582351789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6859.7109494697897</v>
      </c>
      <c r="C22" s="478">
        <f t="shared" ref="C22:C32" ca="1" si="3">C4*$C$17</f>
        <v>0</v>
      </c>
      <c r="D22" s="478">
        <f t="shared" ref="D22:D32" si="4">D4*$D$17</f>
        <v>15286.406620414164</v>
      </c>
      <c r="E22" s="478">
        <f t="shared" ref="E22:E32" si="5">E4*$E$17</f>
        <v>2682.1949429686647</v>
      </c>
      <c r="F22" s="478">
        <f t="shared" ref="F22:F32" si="6">F4*$F$17</f>
        <v>1747.0471726897879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26575.359685542408</v>
      </c>
    </row>
    <row r="23" spans="1:17">
      <c r="A23" s="477" t="s">
        <v>155</v>
      </c>
      <c r="B23" s="478">
        <f t="shared" ca="1" si="2"/>
        <v>2535.8441324316441</v>
      </c>
      <c r="C23" s="478">
        <f t="shared" ca="1" si="3"/>
        <v>0</v>
      </c>
      <c r="D23" s="478">
        <f t="shared" ca="1" si="4"/>
        <v>2414.7366208548005</v>
      </c>
      <c r="E23" s="478">
        <f t="shared" si="5"/>
        <v>44.331041491400846</v>
      </c>
      <c r="F23" s="478">
        <f t="shared" ca="1" si="6"/>
        <v>368.50833570987191</v>
      </c>
      <c r="G23" s="478">
        <f t="shared" si="7"/>
        <v>0</v>
      </c>
      <c r="H23" s="478">
        <f t="shared" si="8"/>
        <v>0</v>
      </c>
      <c r="I23" s="478">
        <f t="shared" si="9"/>
        <v>0</v>
      </c>
      <c r="J23" s="478">
        <f t="shared" si="10"/>
        <v>9.835979563881039E-3</v>
      </c>
      <c r="K23" s="478">
        <f t="shared" si="11"/>
        <v>0</v>
      </c>
      <c r="L23" s="478">
        <f t="shared" ca="1" si="12"/>
        <v>0</v>
      </c>
      <c r="M23" s="478">
        <f t="shared" si="13"/>
        <v>0</v>
      </c>
      <c r="N23" s="478">
        <f t="shared" ca="1" si="14"/>
        <v>0</v>
      </c>
      <c r="O23" s="478">
        <f t="shared" si="15"/>
        <v>0</v>
      </c>
      <c r="P23" s="479">
        <f t="shared" si="16"/>
        <v>0</v>
      </c>
      <c r="Q23" s="477">
        <f t="shared" ref="Q23:Q31" ca="1" si="17">SUM(B23:P23)</f>
        <v>5363.4299664672817</v>
      </c>
    </row>
    <row r="24" spans="1:17">
      <c r="A24" s="477" t="s">
        <v>193</v>
      </c>
      <c r="B24" s="478">
        <f t="shared" ca="1" si="2"/>
        <v>252.64020657785497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252.64020657785497</v>
      </c>
    </row>
    <row r="25" spans="1:17">
      <c r="A25" s="477" t="s">
        <v>111</v>
      </c>
      <c r="B25" s="478">
        <f t="shared" ca="1" si="2"/>
        <v>11.890027304834284</v>
      </c>
      <c r="C25" s="478">
        <f t="shared" ca="1" si="3"/>
        <v>0</v>
      </c>
      <c r="D25" s="478">
        <f t="shared" si="4"/>
        <v>13.728755093856</v>
      </c>
      <c r="E25" s="478">
        <f t="shared" si="5"/>
        <v>0.40774486194442905</v>
      </c>
      <c r="F25" s="478">
        <f t="shared" si="6"/>
        <v>54.308133851993702</v>
      </c>
      <c r="G25" s="478">
        <f t="shared" si="7"/>
        <v>0</v>
      </c>
      <c r="H25" s="478">
        <f t="shared" si="8"/>
        <v>0</v>
      </c>
      <c r="I25" s="478">
        <f t="shared" si="9"/>
        <v>0</v>
      </c>
      <c r="J25" s="478">
        <f t="shared" si="10"/>
        <v>5.6131837232444237</v>
      </c>
      <c r="K25" s="478">
        <f t="shared" si="11"/>
        <v>0</v>
      </c>
      <c r="L25" s="478">
        <f t="shared" si="12"/>
        <v>0</v>
      </c>
      <c r="M25" s="478">
        <f t="shared" si="13"/>
        <v>0</v>
      </c>
      <c r="N25" s="478">
        <f t="shared" si="14"/>
        <v>0</v>
      </c>
      <c r="O25" s="478">
        <f t="shared" si="15"/>
        <v>0</v>
      </c>
      <c r="P25" s="479">
        <f t="shared" si="16"/>
        <v>0</v>
      </c>
      <c r="Q25" s="477">
        <f t="shared" ca="1" si="17"/>
        <v>85.947844835872843</v>
      </c>
    </row>
    <row r="26" spans="1:17">
      <c r="A26" s="477" t="s">
        <v>629</v>
      </c>
      <c r="B26" s="478">
        <f t="shared" ca="1" si="2"/>
        <v>4342.7283579053283</v>
      </c>
      <c r="C26" s="478">
        <f t="shared" ca="1" si="3"/>
        <v>0</v>
      </c>
      <c r="D26" s="478">
        <f t="shared" si="4"/>
        <v>24556.150754178514</v>
      </c>
      <c r="E26" s="478">
        <f t="shared" si="5"/>
        <v>321.19582343335571</v>
      </c>
      <c r="F26" s="478">
        <f t="shared" si="6"/>
        <v>1325.321654183904</v>
      </c>
      <c r="G26" s="478">
        <f t="shared" si="7"/>
        <v>0</v>
      </c>
      <c r="H26" s="478">
        <f t="shared" si="8"/>
        <v>0</v>
      </c>
      <c r="I26" s="478">
        <f t="shared" si="9"/>
        <v>0</v>
      </c>
      <c r="J26" s="478">
        <f t="shared" si="10"/>
        <v>55.209532408735825</v>
      </c>
      <c r="K26" s="478">
        <f t="shared" si="11"/>
        <v>0</v>
      </c>
      <c r="L26" s="478">
        <f t="shared" si="12"/>
        <v>0</v>
      </c>
      <c r="M26" s="478">
        <f t="shared" si="13"/>
        <v>0</v>
      </c>
      <c r="N26" s="478">
        <f t="shared" si="14"/>
        <v>0</v>
      </c>
      <c r="O26" s="478">
        <f t="shared" si="15"/>
        <v>0</v>
      </c>
      <c r="P26" s="479">
        <f t="shared" si="16"/>
        <v>0</v>
      </c>
      <c r="Q26" s="477">
        <f t="shared" ca="1" si="17"/>
        <v>30600.606122109835</v>
      </c>
    </row>
    <row r="27" spans="1:17" s="483" customFormat="1">
      <c r="A27" s="481" t="s">
        <v>555</v>
      </c>
      <c r="B27" s="801">
        <f t="shared" ca="1" si="2"/>
        <v>6.8317607516993215</v>
      </c>
      <c r="C27" s="482">
        <f t="shared" ca="1" si="3"/>
        <v>0</v>
      </c>
      <c r="D27" s="482">
        <f t="shared" si="4"/>
        <v>31.617558968778074</v>
      </c>
      <c r="E27" s="482">
        <f t="shared" si="5"/>
        <v>27.310281342383433</v>
      </c>
      <c r="F27" s="482">
        <f t="shared" si="6"/>
        <v>0</v>
      </c>
      <c r="G27" s="482">
        <f t="shared" si="7"/>
        <v>10357.218134215358</v>
      </c>
      <c r="H27" s="482">
        <f t="shared" si="8"/>
        <v>2890.0202258311747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13312.997961109393</v>
      </c>
    </row>
    <row r="28" spans="1:17" ht="16.5" customHeight="1">
      <c r="A28" s="477" t="s">
        <v>545</v>
      </c>
      <c r="B28" s="478">
        <f t="shared" ca="1" si="2"/>
        <v>0</v>
      </c>
      <c r="C28" s="478">
        <f t="shared" ca="1" si="3"/>
        <v>0</v>
      </c>
      <c r="D28" s="478">
        <f t="shared" si="4"/>
        <v>0</v>
      </c>
      <c r="E28" s="478">
        <f t="shared" si="5"/>
        <v>0</v>
      </c>
      <c r="F28" s="478">
        <f t="shared" si="6"/>
        <v>0</v>
      </c>
      <c r="G28" s="478">
        <f t="shared" si="7"/>
        <v>222.18403300932846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222.18403300932846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129.3821602891191</v>
      </c>
      <c r="C32" s="478">
        <f t="shared" ca="1" si="3"/>
        <v>0</v>
      </c>
      <c r="D32" s="478">
        <f t="shared" si="4"/>
        <v>611.07123666400003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740.45339695311918</v>
      </c>
    </row>
    <row r="33" spans="1:17" s="489" customFormat="1">
      <c r="A33" s="487" t="s">
        <v>549</v>
      </c>
      <c r="B33" s="488">
        <f ca="1">SUM(B22:B32)</f>
        <v>14139.027594730271</v>
      </c>
      <c r="C33" s="488">
        <f t="shared" ref="C33:Q33" ca="1" si="19">SUM(C22:C32)</f>
        <v>0</v>
      </c>
      <c r="D33" s="488">
        <f t="shared" ca="1" si="19"/>
        <v>42913.711546174112</v>
      </c>
      <c r="E33" s="488">
        <f t="shared" si="19"/>
        <v>3075.4398340977491</v>
      </c>
      <c r="F33" s="488">
        <f t="shared" ca="1" si="19"/>
        <v>3495.1852964355576</v>
      </c>
      <c r="G33" s="488">
        <f t="shared" si="19"/>
        <v>10579.402167224687</v>
      </c>
      <c r="H33" s="488">
        <f t="shared" si="19"/>
        <v>2890.0202258311747</v>
      </c>
      <c r="I33" s="488">
        <f t="shared" si="19"/>
        <v>0</v>
      </c>
      <c r="J33" s="488">
        <f t="shared" si="19"/>
        <v>60.832552111544132</v>
      </c>
      <c r="K33" s="488">
        <f t="shared" si="19"/>
        <v>0</v>
      </c>
      <c r="L33" s="488">
        <f t="shared" ca="1" si="19"/>
        <v>0</v>
      </c>
      <c r="M33" s="488">
        <f t="shared" si="19"/>
        <v>0</v>
      </c>
      <c r="N33" s="488">
        <f t="shared" ca="1" si="19"/>
        <v>0</v>
      </c>
      <c r="O33" s="488">
        <f t="shared" si="19"/>
        <v>0</v>
      </c>
      <c r="P33" s="488">
        <f t="shared" si="19"/>
        <v>0</v>
      </c>
      <c r="Q33" s="488">
        <f t="shared" ca="1" si="19"/>
        <v>77153.61921660509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4462.5230892788404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4462.5230892788404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0.20659004582351789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0.20659004582351789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0.20659004582351789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0.20659004582351789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8164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388.31</v>
      </c>
    </row>
    <row r="15" spans="1:6">
      <c r="A15" s="348" t="s">
        <v>183</v>
      </c>
      <c r="B15" s="334">
        <v>2</v>
      </c>
    </row>
    <row r="16" spans="1:6">
      <c r="A16" s="348" t="s">
        <v>6</v>
      </c>
      <c r="B16" s="334">
        <v>80</v>
      </c>
    </row>
    <row r="17" spans="1:6">
      <c r="A17" s="348" t="s">
        <v>7</v>
      </c>
      <c r="B17" s="334">
        <v>82</v>
      </c>
    </row>
    <row r="18" spans="1:6">
      <c r="A18" s="348" t="s">
        <v>8</v>
      </c>
      <c r="B18" s="334">
        <v>107</v>
      </c>
    </row>
    <row r="19" spans="1:6">
      <c r="A19" s="348" t="s">
        <v>9</v>
      </c>
      <c r="B19" s="334">
        <v>95</v>
      </c>
    </row>
    <row r="20" spans="1:6">
      <c r="A20" s="348" t="s">
        <v>10</v>
      </c>
      <c r="B20" s="334">
        <v>49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12</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377802.484</v>
      </c>
      <c r="E38" s="334">
        <v>3</v>
      </c>
      <c r="F38" s="334">
        <v>37874.296000000002</v>
      </c>
    </row>
    <row r="39" spans="1:6">
      <c r="A39" s="348" t="s">
        <v>29</v>
      </c>
      <c r="B39" s="348" t="s">
        <v>30</v>
      </c>
      <c r="C39" s="334">
        <v>5640</v>
      </c>
      <c r="D39" s="334">
        <v>83897206.540000007</v>
      </c>
      <c r="E39" s="334">
        <v>8329</v>
      </c>
      <c r="F39" s="334">
        <v>29697591.780000001</v>
      </c>
    </row>
    <row r="40" spans="1:6">
      <c r="A40" s="348" t="s">
        <v>29</v>
      </c>
      <c r="B40" s="348" t="s">
        <v>28</v>
      </c>
      <c r="C40" s="334">
        <v>0</v>
      </c>
      <c r="D40" s="334">
        <v>0</v>
      </c>
      <c r="E40" s="334">
        <v>0</v>
      </c>
      <c r="F40" s="334">
        <v>0</v>
      </c>
    </row>
    <row r="41" spans="1:6">
      <c r="A41" s="348" t="s">
        <v>31</v>
      </c>
      <c r="B41" s="348" t="s">
        <v>32</v>
      </c>
      <c r="C41" s="334">
        <v>54</v>
      </c>
      <c r="D41" s="334">
        <v>994207.91700000002</v>
      </c>
      <c r="E41" s="334">
        <v>132</v>
      </c>
      <c r="F41" s="334">
        <v>1892866.1980000001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3</v>
      </c>
      <c r="F45" s="334">
        <v>142738.397</v>
      </c>
    </row>
    <row r="46" spans="1:6">
      <c r="A46" s="348" t="s">
        <v>31</v>
      </c>
      <c r="B46" s="348" t="s">
        <v>37</v>
      </c>
      <c r="C46" s="334">
        <v>0</v>
      </c>
      <c r="D46" s="334">
        <v>0</v>
      </c>
      <c r="E46" s="334">
        <v>0</v>
      </c>
      <c r="F46" s="334">
        <v>0</v>
      </c>
    </row>
    <row r="47" spans="1:6">
      <c r="A47" s="348" t="s">
        <v>31</v>
      </c>
      <c r="B47" s="348" t="s">
        <v>38</v>
      </c>
      <c r="C47" s="334">
        <v>0</v>
      </c>
      <c r="D47" s="334">
        <v>0</v>
      </c>
      <c r="E47" s="334">
        <v>3</v>
      </c>
      <c r="F47" s="334">
        <v>13310.996999999999</v>
      </c>
    </row>
    <row r="48" spans="1:6">
      <c r="A48" s="348" t="s">
        <v>31</v>
      </c>
      <c r="B48" s="348" t="s">
        <v>28</v>
      </c>
      <c r="C48" s="334">
        <v>44</v>
      </c>
      <c r="D48" s="334">
        <v>133432577.59999999</v>
      </c>
      <c r="E48" s="334">
        <v>52</v>
      </c>
      <c r="F48" s="334">
        <v>18696949.649999999</v>
      </c>
    </row>
    <row r="49" spans="1:6">
      <c r="A49" s="348" t="s">
        <v>31</v>
      </c>
      <c r="B49" s="348" t="s">
        <v>39</v>
      </c>
      <c r="C49" s="334">
        <v>0</v>
      </c>
      <c r="D49" s="334">
        <v>0</v>
      </c>
      <c r="E49" s="334">
        <v>0</v>
      </c>
      <c r="F49" s="334">
        <v>0</v>
      </c>
    </row>
    <row r="50" spans="1:6">
      <c r="A50" s="348" t="s">
        <v>31</v>
      </c>
      <c r="B50" s="348" t="s">
        <v>40</v>
      </c>
      <c r="C50" s="334">
        <v>8</v>
      </c>
      <c r="D50" s="334">
        <v>346055.66200000001</v>
      </c>
      <c r="E50" s="334">
        <v>12</v>
      </c>
      <c r="F50" s="334">
        <v>275129.94</v>
      </c>
    </row>
    <row r="51" spans="1:6">
      <c r="A51" s="348" t="s">
        <v>41</v>
      </c>
      <c r="B51" s="348" t="s">
        <v>42</v>
      </c>
      <c r="C51" s="334">
        <v>0</v>
      </c>
      <c r="D51" s="334">
        <v>0</v>
      </c>
      <c r="E51" s="334">
        <v>0</v>
      </c>
      <c r="F51" s="334">
        <v>0</v>
      </c>
    </row>
    <row r="52" spans="1:6">
      <c r="A52" s="348" t="s">
        <v>41</v>
      </c>
      <c r="B52" s="348" t="s">
        <v>28</v>
      </c>
      <c r="C52" s="334">
        <v>2</v>
      </c>
      <c r="D52" s="334">
        <v>75348.263999999996</v>
      </c>
      <c r="E52" s="334">
        <v>9</v>
      </c>
      <c r="F52" s="334">
        <v>57553.728000000003</v>
      </c>
    </row>
    <row r="53" spans="1:6">
      <c r="A53" s="348" t="s">
        <v>43</v>
      </c>
      <c r="B53" s="348" t="s">
        <v>44</v>
      </c>
      <c r="C53" s="334">
        <v>114</v>
      </c>
      <c r="D53" s="334">
        <v>3025105.1320000002</v>
      </c>
      <c r="E53" s="334">
        <v>270</v>
      </c>
      <c r="F53" s="334">
        <v>626274.9</v>
      </c>
    </row>
    <row r="54" spans="1:6">
      <c r="A54" s="348" t="s">
        <v>45</v>
      </c>
      <c r="B54" s="348" t="s">
        <v>46</v>
      </c>
      <c r="C54" s="334">
        <v>0</v>
      </c>
      <c r="D54" s="334">
        <v>0</v>
      </c>
      <c r="E54" s="334">
        <v>1</v>
      </c>
      <c r="F54" s="334">
        <v>1222906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58</v>
      </c>
      <c r="D57" s="334">
        <v>2709977.4470000002</v>
      </c>
      <c r="E57" s="334">
        <v>138</v>
      </c>
      <c r="F57" s="334">
        <v>1366793.5970000001</v>
      </c>
    </row>
    <row r="58" spans="1:6">
      <c r="A58" s="348" t="s">
        <v>48</v>
      </c>
      <c r="B58" s="348" t="s">
        <v>50</v>
      </c>
      <c r="C58" s="334">
        <v>4</v>
      </c>
      <c r="D58" s="334">
        <v>660330.91700000002</v>
      </c>
      <c r="E58" s="334">
        <v>12</v>
      </c>
      <c r="F58" s="334">
        <v>551624.24199999997</v>
      </c>
    </row>
    <row r="59" spans="1:6">
      <c r="A59" s="348" t="s">
        <v>48</v>
      </c>
      <c r="B59" s="348" t="s">
        <v>51</v>
      </c>
      <c r="C59" s="334">
        <v>26</v>
      </c>
      <c r="D59" s="334">
        <v>1202140.666</v>
      </c>
      <c r="E59" s="334">
        <v>107</v>
      </c>
      <c r="F59" s="334">
        <v>4587837.5779999997</v>
      </c>
    </row>
    <row r="60" spans="1:6">
      <c r="A60" s="348" t="s">
        <v>48</v>
      </c>
      <c r="B60" s="348" t="s">
        <v>52</v>
      </c>
      <c r="C60" s="334">
        <v>42</v>
      </c>
      <c r="D60" s="334">
        <v>1265098.598</v>
      </c>
      <c r="E60" s="334">
        <v>56</v>
      </c>
      <c r="F60" s="334">
        <v>926360.90099999995</v>
      </c>
    </row>
    <row r="61" spans="1:6">
      <c r="A61" s="348" t="s">
        <v>48</v>
      </c>
      <c r="B61" s="348" t="s">
        <v>53</v>
      </c>
      <c r="C61" s="334">
        <v>56</v>
      </c>
      <c r="D61" s="334">
        <v>2043430.588</v>
      </c>
      <c r="E61" s="334">
        <v>196</v>
      </c>
      <c r="F61" s="334">
        <v>1964673.909</v>
      </c>
    </row>
    <row r="62" spans="1:6">
      <c r="A62" s="348" t="s">
        <v>48</v>
      </c>
      <c r="B62" s="348" t="s">
        <v>54</v>
      </c>
      <c r="C62" s="334">
        <v>7</v>
      </c>
      <c r="D62" s="334">
        <v>467889.95500000002</v>
      </c>
      <c r="E62" s="334">
        <v>10</v>
      </c>
      <c r="F62" s="334">
        <v>486335.73200000002</v>
      </c>
    </row>
    <row r="63" spans="1:6">
      <c r="A63" s="348" t="s">
        <v>48</v>
      </c>
      <c r="B63" s="348" t="s">
        <v>28</v>
      </c>
      <c r="C63" s="334">
        <v>136</v>
      </c>
      <c r="D63" s="334">
        <v>4904060.5290000001</v>
      </c>
      <c r="E63" s="334">
        <v>170</v>
      </c>
      <c r="F63" s="334">
        <v>2391138.4049999998</v>
      </c>
    </row>
    <row r="64" spans="1:6">
      <c r="A64" s="348" t="s">
        <v>55</v>
      </c>
      <c r="B64" s="348" t="s">
        <v>56</v>
      </c>
      <c r="C64" s="334">
        <v>0</v>
      </c>
      <c r="D64" s="334">
        <v>0</v>
      </c>
      <c r="E64" s="334">
        <v>0</v>
      </c>
      <c r="F64" s="334">
        <v>0</v>
      </c>
    </row>
    <row r="65" spans="1:6">
      <c r="A65" s="348" t="s">
        <v>55</v>
      </c>
      <c r="B65" s="348" t="s">
        <v>28</v>
      </c>
      <c r="C65" s="334">
        <v>5</v>
      </c>
      <c r="D65" s="334">
        <v>67452.756999999998</v>
      </c>
      <c r="E65" s="334">
        <v>4</v>
      </c>
      <c r="F65" s="334">
        <v>8671.8410000000003</v>
      </c>
    </row>
    <row r="66" spans="1:6">
      <c r="A66" s="348" t="s">
        <v>55</v>
      </c>
      <c r="B66" s="348" t="s">
        <v>57</v>
      </c>
      <c r="C66" s="334">
        <v>0</v>
      </c>
      <c r="D66" s="334">
        <v>0</v>
      </c>
      <c r="E66" s="334">
        <v>6</v>
      </c>
      <c r="F66" s="334">
        <v>139591</v>
      </c>
    </row>
    <row r="67" spans="1:6">
      <c r="A67" s="355" t="s">
        <v>55</v>
      </c>
      <c r="B67" s="355" t="s">
        <v>58</v>
      </c>
      <c r="C67" s="334">
        <v>0</v>
      </c>
      <c r="D67" s="334">
        <v>0</v>
      </c>
      <c r="E67" s="334">
        <v>0</v>
      </c>
      <c r="F67" s="334">
        <v>0</v>
      </c>
    </row>
    <row r="68" spans="1:6">
      <c r="A68" s="341" t="s">
        <v>55</v>
      </c>
      <c r="B68" s="341" t="s">
        <v>59</v>
      </c>
      <c r="C68" s="334">
        <v>4</v>
      </c>
      <c r="D68" s="334">
        <v>89192.676999999996</v>
      </c>
      <c r="E68" s="334">
        <v>7</v>
      </c>
      <c r="F68" s="334">
        <v>19778.914000000001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26348025</v>
      </c>
      <c r="E73" s="476"/>
    </row>
    <row r="74" spans="1:6">
      <c r="A74" s="348" t="s">
        <v>63</v>
      </c>
      <c r="B74" s="348" t="s">
        <v>651</v>
      </c>
      <c r="C74" s="1307" t="s">
        <v>653</v>
      </c>
      <c r="D74" s="476">
        <v>1509796.5</v>
      </c>
      <c r="E74" s="476"/>
    </row>
    <row r="75" spans="1:6">
      <c r="A75" s="348" t="s">
        <v>64</v>
      </c>
      <c r="B75" s="348" t="s">
        <v>650</v>
      </c>
      <c r="C75" s="1307" t="s">
        <v>654</v>
      </c>
      <c r="D75" s="476">
        <v>28207650</v>
      </c>
      <c r="E75" s="476"/>
    </row>
    <row r="76" spans="1:6">
      <c r="A76" s="348" t="s">
        <v>64</v>
      </c>
      <c r="B76" s="348" t="s">
        <v>651</v>
      </c>
      <c r="C76" s="1307" t="s">
        <v>655</v>
      </c>
      <c r="D76" s="476">
        <v>572234.5</v>
      </c>
      <c r="E76" s="476"/>
    </row>
    <row r="77" spans="1:6">
      <c r="A77" s="348" t="s">
        <v>65</v>
      </c>
      <c r="B77" s="348" t="s">
        <v>650</v>
      </c>
      <c r="C77" s="1307" t="s">
        <v>656</v>
      </c>
      <c r="D77" s="476">
        <v>6338955</v>
      </c>
      <c r="E77" s="476"/>
    </row>
    <row r="78" spans="1:6">
      <c r="A78" s="341" t="s">
        <v>65</v>
      </c>
      <c r="B78" s="341" t="s">
        <v>651</v>
      </c>
      <c r="C78" s="341" t="s">
        <v>657</v>
      </c>
      <c r="D78" s="1308">
        <v>750092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244031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3506.8683967975885</v>
      </c>
    </row>
    <row r="92" spans="1:6">
      <c r="A92" s="341" t="s">
        <v>68</v>
      </c>
      <c r="B92" s="342">
        <v>955.65469248125191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2673</v>
      </c>
    </row>
    <row r="98" spans="1:6">
      <c r="A98" s="348" t="s">
        <v>71</v>
      </c>
      <c r="B98" s="334">
        <v>0</v>
      </c>
    </row>
    <row r="99" spans="1:6">
      <c r="A99" s="348" t="s">
        <v>72</v>
      </c>
      <c r="B99" s="334">
        <v>112</v>
      </c>
    </row>
    <row r="100" spans="1:6">
      <c r="A100" s="348" t="s">
        <v>73</v>
      </c>
      <c r="B100" s="334">
        <v>655</v>
      </c>
    </row>
    <row r="101" spans="1:6">
      <c r="A101" s="348" t="s">
        <v>74</v>
      </c>
      <c r="B101" s="334">
        <v>40</v>
      </c>
    </row>
    <row r="102" spans="1:6">
      <c r="A102" s="348" t="s">
        <v>75</v>
      </c>
      <c r="B102" s="334">
        <v>98</v>
      </c>
    </row>
    <row r="103" spans="1:6">
      <c r="A103" s="348" t="s">
        <v>76</v>
      </c>
      <c r="B103" s="334">
        <v>226</v>
      </c>
    </row>
    <row r="104" spans="1:6">
      <c r="A104" s="348" t="s">
        <v>77</v>
      </c>
      <c r="B104" s="334">
        <v>2985</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21</v>
      </c>
      <c r="C123" s="334">
        <v>20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126</v>
      </c>
    </row>
    <row r="130" spans="1:6">
      <c r="A130" s="348" t="s">
        <v>294</v>
      </c>
      <c r="B130" s="334">
        <v>3</v>
      </c>
    </row>
    <row r="131" spans="1:6">
      <c r="A131" s="348" t="s">
        <v>295</v>
      </c>
      <c r="B131" s="334">
        <v>9</v>
      </c>
    </row>
    <row r="132" spans="1:6">
      <c r="A132" s="341" t="s">
        <v>296</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68440.023517922586</v>
      </c>
      <c r="C3" s="43" t="s">
        <v>169</v>
      </c>
      <c r="D3" s="43"/>
      <c r="E3" s="154"/>
      <c r="F3" s="43"/>
      <c r="G3" s="43"/>
      <c r="H3" s="43"/>
      <c r="I3" s="43"/>
      <c r="J3" s="43"/>
      <c r="K3" s="96"/>
    </row>
    <row r="4" spans="1:11">
      <c r="A4" s="383" t="s">
        <v>170</v>
      </c>
      <c r="B4" s="49">
        <f>IF(ISERROR('SEAP template'!B78+'SEAP template'!C78),0,'SEAP template'!B78+'SEAP template'!C78)</f>
        <v>4462.5230892788404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0.20659004582351789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1222.9059999999999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1222.9059999999999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0.20659004582351789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252.64020657785497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29697.591780000002</v>
      </c>
      <c r="C5" s="17">
        <f>IF(ISERROR('Eigen informatie GS &amp; warmtenet'!B59),0,'Eigen informatie GS &amp; warmtenet'!B59)</f>
        <v>0</v>
      </c>
      <c r="D5" s="30">
        <f>(SUM(HH_hh_gas_kWh,HH_rest_gas_kWh)/1000)*0.902</f>
        <v>75675.280299080012</v>
      </c>
      <c r="E5" s="17">
        <f>B46*B57</f>
        <v>11815.836753165924</v>
      </c>
      <c r="F5" s="17">
        <f>B51*B62</f>
        <v>6543.2478377894677</v>
      </c>
      <c r="G5" s="18"/>
      <c r="H5" s="17"/>
      <c r="I5" s="17"/>
      <c r="J5" s="17">
        <f>B50*B61+C50*C61</f>
        <v>0</v>
      </c>
      <c r="K5" s="17"/>
      <c r="L5" s="17"/>
      <c r="M5" s="17"/>
      <c r="N5" s="17">
        <f>B48*B59+C48*C59</f>
        <v>7302.7599070686683</v>
      </c>
      <c r="O5" s="17">
        <f>B69*B70*B71</f>
        <v>289.65790003050665</v>
      </c>
      <c r="P5" s="17">
        <f>B77*B78*B79/1000-B77*B78*B79/1000/B80</f>
        <v>379.22253507666085</v>
      </c>
    </row>
    <row r="6" spans="1:16">
      <c r="A6" s="16" t="s">
        <v>615</v>
      </c>
      <c r="B6" s="809">
        <f>kWh_PV_kleiner_dan_10kW</f>
        <v>3506.8683967975885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33204.460176797591</v>
      </c>
      <c r="C8" s="21">
        <f>C5</f>
        <v>0</v>
      </c>
      <c r="D8" s="21">
        <f>D5</f>
        <v>75675.280299080012</v>
      </c>
      <c r="E8" s="21">
        <f>E5</f>
        <v>11815.836753165924</v>
      </c>
      <c r="F8" s="21">
        <f>F5</f>
        <v>6543.2478377894677</v>
      </c>
      <c r="G8" s="21"/>
      <c r="H8" s="21"/>
      <c r="I8" s="21"/>
      <c r="J8" s="21">
        <f>J5</f>
        <v>0</v>
      </c>
      <c r="K8" s="21"/>
      <c r="L8" s="21">
        <f>L5</f>
        <v>0</v>
      </c>
      <c r="M8" s="21">
        <f>M5</f>
        <v>0</v>
      </c>
      <c r="N8" s="21">
        <f>N5</f>
        <v>7302.7599070686683</v>
      </c>
      <c r="O8" s="21">
        <f>O5</f>
        <v>289.65790003050665</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0.20659004582351789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6859.7109494697897</v>
      </c>
      <c r="C12" s="23">
        <f ca="1">C10*C8</f>
        <v>0</v>
      </c>
      <c r="D12" s="23">
        <f>D8*D10</f>
        <v>15286.406620414164</v>
      </c>
      <c r="E12" s="23">
        <f>E10*E8</f>
        <v>2682.1949429686647</v>
      </c>
      <c r="F12" s="23">
        <f>F10*F8</f>
        <v>1747.0471726897879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2673</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13.878562577447337</v>
      </c>
      <c r="D20" s="229"/>
      <c r="E20" s="15"/>
    </row>
    <row r="21" spans="1:7">
      <c r="A21" s="171" t="s">
        <v>73</v>
      </c>
      <c r="B21" s="37">
        <f>aantalw2001_elektriciteit</f>
        <v>655</v>
      </c>
      <c r="C21" s="167">
        <f>IF(ISERROR(B21/SUM($B$20,$B$21,$B$22)*100),0,B21/SUM($B$20,$B$21,$B$22)*100)</f>
        <v>81.164807930607182</v>
      </c>
      <c r="D21" s="229"/>
      <c r="E21" s="15"/>
    </row>
    <row r="22" spans="1:7">
      <c r="A22" s="171" t="s">
        <v>74</v>
      </c>
      <c r="B22" s="37">
        <f>aantalw2001_hout</f>
        <v>40</v>
      </c>
      <c r="C22" s="167">
        <f>IF(ISERROR(B22/SUM($B$20,$B$21,$B$22)*100),0,B22/SUM($B$20,$B$21,$B$22)*100)</f>
        <v>4.9566294919454776</v>
      </c>
      <c r="D22" s="229"/>
      <c r="E22" s="15"/>
    </row>
    <row r="23" spans="1:7">
      <c r="A23" s="171" t="s">
        <v>75</v>
      </c>
      <c r="B23" s="37">
        <f>aantalw2001_niet_gespec</f>
        <v>98</v>
      </c>
      <c r="C23" s="166" t="s">
        <v>110</v>
      </c>
      <c r="D23" s="228"/>
      <c r="E23" s="15"/>
    </row>
    <row r="24" spans="1:7">
      <c r="A24" s="171" t="s">
        <v>76</v>
      </c>
      <c r="B24" s="37">
        <f>aantalw2001_steenkool</f>
        <v>226</v>
      </c>
      <c r="C24" s="166" t="s">
        <v>110</v>
      </c>
      <c r="D24" s="229"/>
      <c r="E24" s="15"/>
    </row>
    <row r="25" spans="1:7">
      <c r="A25" s="171" t="s">
        <v>77</v>
      </c>
      <c r="B25" s="37">
        <f>aantalw2001_stookolie</f>
        <v>2985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8164</v>
      </c>
      <c r="C28" s="36"/>
      <c r="D28" s="228"/>
    </row>
    <row r="29" spans="1:7" s="15" customFormat="1">
      <c r="A29" s="230" t="s">
        <v>837</v>
      </c>
      <c r="B29" s="37">
        <f>SUM(HH_hh_gas_aantal,HH_rest_gas_aantal)</f>
        <v>5640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5640</v>
      </c>
      <c r="C32" s="167">
        <f>IF(ISERROR(B32/SUM($B$32,$B$34,$B$35,$B$36,$B$38,$B$39)*100),0,B32/SUM($B$32,$B$34,$B$35,$B$36,$B$38,$B$39)*100)</f>
        <v>69.389763779527556</v>
      </c>
      <c r="D32" s="233"/>
      <c r="G32" s="15"/>
    </row>
    <row r="33" spans="1:7">
      <c r="A33" s="171" t="s">
        <v>71</v>
      </c>
      <c r="B33" s="34" t="s">
        <v>110</v>
      </c>
      <c r="C33" s="167"/>
      <c r="D33" s="233"/>
      <c r="G33" s="15"/>
    </row>
    <row r="34" spans="1:7">
      <c r="A34" s="171" t="s">
        <v>72</v>
      </c>
      <c r="B34" s="33">
        <f>IF((($B$28-$B$32-$B$39-$B$77-$B$38)*C20/100)&lt;0,0,($B$28-$B$32-$B$39-$B$77-$B$38)*C20/100)</f>
        <v>301.622800495663</v>
      </c>
      <c r="C34" s="167">
        <f>IF(ISERROR(B34/SUM($B$32,$B$34,$B$35,$B$36,$B$38,$B$39)*100),0,B34/SUM($B$32,$B$34,$B$35,$B$36,$B$38,$B$39)*100)</f>
        <v>3.7109104391690821</v>
      </c>
      <c r="D34" s="233"/>
      <c r="G34" s="15"/>
    </row>
    <row r="35" spans="1:7">
      <c r="A35" s="171" t="s">
        <v>73</v>
      </c>
      <c r="B35" s="33">
        <f>IF((($B$28-$B$32-$B$39-$B$77-$B$38)*C21/100)&lt;0,0,($B$28-$B$32-$B$39-$B$77-$B$38)*C21/100)</f>
        <v>1763.9547707558859</v>
      </c>
      <c r="C35" s="167">
        <f>IF(ISERROR(B35/SUM($B$32,$B$34,$B$35,$B$36,$B$38,$B$39)*100),0,B35/SUM($B$32,$B$34,$B$35,$B$36,$B$38,$B$39)*100)</f>
        <v>21.702199443354893</v>
      </c>
      <c r="D35" s="233"/>
      <c r="G35" s="15"/>
    </row>
    <row r="36" spans="1:7">
      <c r="A36" s="171" t="s">
        <v>74</v>
      </c>
      <c r="B36" s="33">
        <f>IF((($B$28-$B$32-$B$39-$B$77-$B$38)*C22/100)&lt;0,0,($B$28-$B$32-$B$39-$B$77-$B$38)*C22/100)</f>
        <v>107.72242874845108</v>
      </c>
      <c r="C36" s="167">
        <f>IF(ISERROR(B36/SUM($B$32,$B$34,$B$35,$B$36,$B$38,$B$39)*100),0,B36/SUM($B$32,$B$34,$B$35,$B$36,$B$38,$B$39)*100)</f>
        <v>1.3253251568461009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314.69999999999982</v>
      </c>
      <c r="C39" s="167">
        <f>IF(ISERROR(B39/SUM($B$32,$B$34,$B$35,$B$36,$B$38,$B$39)*100),0,B39/SUM($B$32,$B$34,$B$35,$B$36,$B$38,$B$39)*100)</f>
        <v>3.8718011811023598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5640</v>
      </c>
      <c r="C44" s="34" t="s">
        <v>110</v>
      </c>
      <c r="D44" s="174"/>
    </row>
    <row r="45" spans="1:7">
      <c r="A45" s="171" t="s">
        <v>71</v>
      </c>
      <c r="B45" s="33" t="str">
        <f t="shared" si="0"/>
        <v>-</v>
      </c>
      <c r="C45" s="34" t="s">
        <v>110</v>
      </c>
      <c r="D45" s="174"/>
    </row>
    <row r="46" spans="1:7">
      <c r="A46" s="171" t="s">
        <v>72</v>
      </c>
      <c r="B46" s="33">
        <f t="shared" si="0"/>
        <v>301.622800495663</v>
      </c>
      <c r="C46" s="34" t="s">
        <v>110</v>
      </c>
      <c r="D46" s="174"/>
    </row>
    <row r="47" spans="1:7">
      <c r="A47" s="171" t="s">
        <v>73</v>
      </c>
      <c r="B47" s="33">
        <f t="shared" si="0"/>
        <v>1763.9547707558859</v>
      </c>
      <c r="C47" s="34" t="s">
        <v>110</v>
      </c>
      <c r="D47" s="174"/>
    </row>
    <row r="48" spans="1:7">
      <c r="A48" s="171" t="s">
        <v>74</v>
      </c>
      <c r="B48" s="33">
        <f t="shared" si="0"/>
        <v>107.72242874845108</v>
      </c>
      <c r="C48" s="33">
        <f>B48*10</f>
        <v>1077.2242874845108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314.69999999999982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12274.764363999999</v>
      </c>
      <c r="C5" s="17">
        <f>IF(ISERROR('Eigen informatie GS &amp; warmtenet'!B60),0,'Eigen informatie GS &amp; warmtenet'!B60)</f>
        <v>0</v>
      </c>
      <c r="D5" s="30">
        <f>SUM(D6:D12)</f>
        <v>11954.141687400002</v>
      </c>
      <c r="E5" s="17">
        <f>SUM(E6:E12)</f>
        <v>195.29093168017994</v>
      </c>
      <c r="F5" s="17">
        <f>SUM(F6:F12)</f>
        <v>1380.181032621243</v>
      </c>
      <c r="G5" s="18"/>
      <c r="H5" s="17"/>
      <c r="I5" s="17"/>
      <c r="J5" s="17">
        <f>SUM(J6:J12)</f>
        <v>2.7785253005313672E-2</v>
      </c>
      <c r="K5" s="17"/>
      <c r="L5" s="17"/>
      <c r="M5" s="17"/>
      <c r="N5" s="17">
        <f>SUM(N6:N12)</f>
        <v>1093.6633792279001</v>
      </c>
      <c r="O5" s="17">
        <f>B38*B39*B40</f>
        <v>14.691782297523464</v>
      </c>
      <c r="P5" s="17">
        <f>B46*B47*B48/1000-B46*B47*B48/1000/B49</f>
        <v>525.39138306495022</v>
      </c>
      <c r="R5" s="32"/>
    </row>
    <row r="6" spans="1:18">
      <c r="A6" s="32" t="s">
        <v>53</v>
      </c>
      <c r="B6" s="37">
        <f>B26</f>
        <v>1964.6739090000001</v>
      </c>
      <c r="C6" s="33"/>
      <c r="D6" s="37">
        <f>IF(ISERROR(TER_kantoor_gas_kWh/1000),0,TER_kantoor_gas_kWh/1000)*0.902</f>
        <v>1843.174390376</v>
      </c>
      <c r="E6" s="33">
        <f>$C$26*'E Balans VL '!I12/100/3.6*1000000</f>
        <v>15.809101021640846</v>
      </c>
      <c r="F6" s="33">
        <f>$C$26*('E Balans VL '!L12+'E Balans VL '!N12)/100/3.6*1000000</f>
        <v>240.2020530830824</v>
      </c>
      <c r="G6" s="34"/>
      <c r="H6" s="33"/>
      <c r="I6" s="33"/>
      <c r="J6" s="33">
        <f>$C$26*('E Balans VL '!D12+'E Balans VL '!E12)/100/3.6*1000000</f>
        <v>0</v>
      </c>
      <c r="K6" s="33"/>
      <c r="L6" s="33"/>
      <c r="M6" s="33"/>
      <c r="N6" s="33">
        <f>$C$26*'E Balans VL '!Y12/100/3.6*1000000</f>
        <v>1.0559154763691385</v>
      </c>
      <c r="O6" s="33"/>
      <c r="P6" s="33"/>
      <c r="R6" s="32"/>
    </row>
    <row r="7" spans="1:18">
      <c r="A7" s="32" t="s">
        <v>52</v>
      </c>
      <c r="B7" s="37">
        <f t="shared" ref="B7:B12" si="0">B27</f>
        <v>926.3609009999999</v>
      </c>
      <c r="C7" s="33"/>
      <c r="D7" s="37">
        <f>IF(ISERROR(TER_horeca_gas_kWh/1000),0,TER_horeca_gas_kWh/1000)*0.902</f>
        <v>1141.1189353960001</v>
      </c>
      <c r="E7" s="33">
        <f>$C$27*'E Balans VL '!I9/100/3.6*1000000</f>
        <v>9.946841332056815</v>
      </c>
      <c r="F7" s="33">
        <f>$C$27*('E Balans VL '!L9+'E Balans VL '!N9)/100/3.6*1000000</f>
        <v>111.41875334947731</v>
      </c>
      <c r="G7" s="34"/>
      <c r="H7" s="33"/>
      <c r="I7" s="33"/>
      <c r="J7" s="33">
        <f>$C$27*('E Balans VL '!D9+'E Balans VL '!E9)/100/3.6*1000000</f>
        <v>0</v>
      </c>
      <c r="K7" s="33"/>
      <c r="L7" s="33"/>
      <c r="M7" s="33"/>
      <c r="N7" s="33">
        <f>$C$27*'E Balans VL '!Y9/100/3.6*1000000</f>
        <v>0.13888027421559521</v>
      </c>
      <c r="O7" s="33"/>
      <c r="P7" s="33"/>
      <c r="R7" s="32"/>
    </row>
    <row r="8" spans="1:18">
      <c r="A8" s="6" t="s">
        <v>51</v>
      </c>
      <c r="B8" s="37">
        <f t="shared" si="0"/>
        <v>4587.8375779999997</v>
      </c>
      <c r="C8" s="33"/>
      <c r="D8" s="37">
        <f>IF(ISERROR(TER_handel_gas_kWh/1000),0,TER_handel_gas_kWh/1000)*0.902</f>
        <v>1084.330880732</v>
      </c>
      <c r="E8" s="33">
        <f>$C$28*'E Balans VL '!I13/100/3.6*1000000</f>
        <v>123.1235150650277</v>
      </c>
      <c r="F8" s="33">
        <f>$C$28*('E Balans VL '!L13+'E Balans VL '!N13)/100/3.6*1000000</f>
        <v>437.82110574133861</v>
      </c>
      <c r="G8" s="34"/>
      <c r="H8" s="33"/>
      <c r="I8" s="33"/>
      <c r="J8" s="33">
        <f>$C$28*('E Balans VL '!D13+'E Balans VL '!E13)/100/3.6*1000000</f>
        <v>0</v>
      </c>
      <c r="K8" s="33"/>
      <c r="L8" s="33"/>
      <c r="M8" s="33"/>
      <c r="N8" s="33">
        <f>$C$28*'E Balans VL '!Y13/100/3.6*1000000</f>
        <v>1.8186709814009845</v>
      </c>
      <c r="O8" s="33"/>
      <c r="P8" s="33"/>
      <c r="R8" s="32"/>
    </row>
    <row r="9" spans="1:18">
      <c r="A9" s="32" t="s">
        <v>50</v>
      </c>
      <c r="B9" s="37">
        <f t="shared" si="0"/>
        <v>551.62424199999998</v>
      </c>
      <c r="C9" s="33"/>
      <c r="D9" s="37">
        <f>IF(ISERROR(TER_gezond_gas_kWh/1000),0,TER_gezond_gas_kWh/1000)*0.902</f>
        <v>595.61848713400002</v>
      </c>
      <c r="E9" s="33">
        <f>$C$29*'E Balans VL '!I10/100/3.6*1000000</f>
        <v>1.0339234461608324</v>
      </c>
      <c r="F9" s="33">
        <f>$C$29*('E Balans VL '!L10+'E Balans VL '!N10)/100/3.6*1000000</f>
        <v>45.348545875784794</v>
      </c>
      <c r="G9" s="34"/>
      <c r="H9" s="33"/>
      <c r="I9" s="33"/>
      <c r="J9" s="33">
        <f>$C$29*('E Balans VL '!D10+'E Balans VL '!E10)/100/3.6*1000000</f>
        <v>0</v>
      </c>
      <c r="K9" s="33"/>
      <c r="L9" s="33"/>
      <c r="M9" s="33"/>
      <c r="N9" s="33">
        <f>$C$29*'E Balans VL '!Y10/100/3.6*1000000</f>
        <v>4.2920481735818905</v>
      </c>
      <c r="O9" s="33"/>
      <c r="P9" s="33"/>
      <c r="R9" s="32"/>
    </row>
    <row r="10" spans="1:18">
      <c r="A10" s="32" t="s">
        <v>49</v>
      </c>
      <c r="B10" s="37">
        <f t="shared" si="0"/>
        <v>1366.7935970000001</v>
      </c>
      <c r="C10" s="33"/>
      <c r="D10" s="37">
        <f>IF(ISERROR(TER_ander_gas_kWh/1000),0,TER_ander_gas_kWh/1000)*0.902</f>
        <v>2444.3996571940002</v>
      </c>
      <c r="E10" s="33">
        <f>$C$30*'E Balans VL '!I14/100/3.6*1000000</f>
        <v>2.1069261792810257</v>
      </c>
      <c r="F10" s="33">
        <f>$C$30*('E Balans VL '!L14+'E Balans VL '!N14)/100/3.6*1000000</f>
        <v>212.19508325836725</v>
      </c>
      <c r="G10" s="34"/>
      <c r="H10" s="33"/>
      <c r="I10" s="33"/>
      <c r="J10" s="33">
        <f>$C$30*('E Balans VL '!D14+'E Balans VL '!E14)/100/3.6*1000000</f>
        <v>2.3202762763498648E-2</v>
      </c>
      <c r="K10" s="33"/>
      <c r="L10" s="33"/>
      <c r="M10" s="33"/>
      <c r="N10" s="33">
        <f>$C$30*'E Balans VL '!Y14/100/3.6*1000000</f>
        <v>904.22683836923579</v>
      </c>
      <c r="O10" s="33"/>
      <c r="P10" s="33"/>
      <c r="R10" s="32"/>
    </row>
    <row r="11" spans="1:18">
      <c r="A11" s="32" t="s">
        <v>54</v>
      </c>
      <c r="B11" s="37">
        <f t="shared" si="0"/>
        <v>486.33573200000001</v>
      </c>
      <c r="C11" s="33"/>
      <c r="D11" s="37">
        <f>IF(ISERROR(TER_onderwijs_gas_kWh/1000),0,TER_onderwijs_gas_kWh/1000)*0.902</f>
        <v>422.03673941000005</v>
      </c>
      <c r="E11" s="33">
        <f>$C$31*'E Balans VL '!I11/100/3.6*1000000</f>
        <v>12.404882866495113</v>
      </c>
      <c r="F11" s="33">
        <f>$C$31*('E Balans VL '!L11+'E Balans VL '!N11)/100/3.6*1000000</f>
        <v>58.486449339229409</v>
      </c>
      <c r="G11" s="34"/>
      <c r="H11" s="33"/>
      <c r="I11" s="33"/>
      <c r="J11" s="33">
        <f>$C$31*('E Balans VL '!D11+'E Balans VL '!E11)/100/3.6*1000000</f>
        <v>0</v>
      </c>
      <c r="K11" s="33"/>
      <c r="L11" s="33"/>
      <c r="M11" s="33"/>
      <c r="N11" s="33">
        <f>$C$31*'E Balans VL '!Y11/100/3.6*1000000</f>
        <v>1.0815988012738875</v>
      </c>
      <c r="O11" s="33"/>
      <c r="P11" s="33"/>
      <c r="R11" s="32"/>
    </row>
    <row r="12" spans="1:18">
      <c r="A12" s="32" t="s">
        <v>259</v>
      </c>
      <c r="B12" s="37">
        <f t="shared" si="0"/>
        <v>2391.1384049999997</v>
      </c>
      <c r="C12" s="33"/>
      <c r="D12" s="37">
        <f>IF(ISERROR(TER_rest_gas_kWh/1000),0,TER_rest_gas_kWh/1000)*0.902</f>
        <v>4423.4625971580008</v>
      </c>
      <c r="E12" s="33">
        <f>$C$32*'E Balans VL '!I8/100/3.6*1000000</f>
        <v>30.865741769517584</v>
      </c>
      <c r="F12" s="33">
        <f>$C$32*('E Balans VL '!L8+'E Balans VL '!N8)/100/3.6*1000000</f>
        <v>274.70904197396322</v>
      </c>
      <c r="G12" s="34"/>
      <c r="H12" s="33"/>
      <c r="I12" s="33"/>
      <c r="J12" s="33">
        <f>$C$32*('E Balans VL '!D8+'E Balans VL '!E8)/100/3.6*1000000</f>
        <v>4.5824902418150244E-3</v>
      </c>
      <c r="K12" s="33"/>
      <c r="L12" s="33"/>
      <c r="M12" s="33"/>
      <c r="N12" s="33">
        <f>$C$32*'E Balans VL '!Y8/100/3.6*1000000</f>
        <v>181.04942715182278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12274.764363999999</v>
      </c>
      <c r="C16" s="21">
        <f t="shared" ca="1" si="1"/>
        <v>0</v>
      </c>
      <c r="D16" s="21">
        <f t="shared" ca="1" si="1"/>
        <v>11954.141687400002</v>
      </c>
      <c r="E16" s="21">
        <f t="shared" si="1"/>
        <v>195.29093168017994</v>
      </c>
      <c r="F16" s="21">
        <f t="shared" ca="1" si="1"/>
        <v>1380.181032621243</v>
      </c>
      <c r="G16" s="21">
        <f t="shared" si="1"/>
        <v>0</v>
      </c>
      <c r="H16" s="21">
        <f t="shared" si="1"/>
        <v>0</v>
      </c>
      <c r="I16" s="21">
        <f t="shared" si="1"/>
        <v>0</v>
      </c>
      <c r="J16" s="21">
        <f t="shared" si="1"/>
        <v>2.7785253005313672E-2</v>
      </c>
      <c r="K16" s="21">
        <f t="shared" si="1"/>
        <v>0</v>
      </c>
      <c r="L16" s="21">
        <f t="shared" ca="1" si="1"/>
        <v>0</v>
      </c>
      <c r="M16" s="21">
        <f t="shared" si="1"/>
        <v>0</v>
      </c>
      <c r="N16" s="21">
        <f t="shared" ca="1" si="1"/>
        <v>1093.6633792279001</v>
      </c>
      <c r="O16" s="21">
        <f>O5</f>
        <v>14.691782297523464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0.20659004582351789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2535.8441324316441</v>
      </c>
      <c r="C20" s="23">
        <f t="shared" ref="C20:P20" ca="1" si="2">C16*C18</f>
        <v>0</v>
      </c>
      <c r="D20" s="23">
        <f t="shared" ca="1" si="2"/>
        <v>2414.7366208548005</v>
      </c>
      <c r="E20" s="23">
        <f t="shared" si="2"/>
        <v>44.331041491400846</v>
      </c>
      <c r="F20" s="23">
        <f t="shared" ca="1" si="2"/>
        <v>368.50833570987191</v>
      </c>
      <c r="G20" s="23">
        <f t="shared" si="2"/>
        <v>0</v>
      </c>
      <c r="H20" s="23">
        <f t="shared" si="2"/>
        <v>0</v>
      </c>
      <c r="I20" s="23">
        <f t="shared" si="2"/>
        <v>0</v>
      </c>
      <c r="J20" s="23">
        <f t="shared" si="2"/>
        <v>9.835979563881039E-3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1964.6739090000001</v>
      </c>
      <c r="C26" s="39">
        <f>IF(ISERROR(B26*3.6/1000000/'E Balans VL '!Z12*100),0,B26*3.6/1000000/'E Balans VL '!Z12*100)</f>
        <v>4.1678759509218358E-2</v>
      </c>
      <c r="D26" s="237" t="s">
        <v>716</v>
      </c>
      <c r="F26" s="6"/>
    </row>
    <row r="27" spans="1:18">
      <c r="A27" s="231" t="s">
        <v>52</v>
      </c>
      <c r="B27" s="33">
        <f>IF(ISERROR(TER_horeca_ele_kWh/1000),0,TER_horeca_ele_kWh/1000)</f>
        <v>926.3609009999999</v>
      </c>
      <c r="C27" s="39">
        <f>IF(ISERROR(B27*3.6/1000000/'E Balans VL '!Z9*100),0,B27*3.6/1000000/'E Balans VL '!Z9*100)</f>
        <v>6.9763182019416198E-2</v>
      </c>
      <c r="D27" s="237" t="s">
        <v>716</v>
      </c>
      <c r="F27" s="6"/>
    </row>
    <row r="28" spans="1:18">
      <c r="A28" s="171" t="s">
        <v>51</v>
      </c>
      <c r="B28" s="33">
        <f>IF(ISERROR(TER_handel_ele_kWh/1000),0,TER_handel_ele_kWh/1000)</f>
        <v>4587.8375779999997</v>
      </c>
      <c r="C28" s="39">
        <f>IF(ISERROR(B28*3.6/1000000/'E Balans VL '!Z13*100),0,B28*3.6/1000000/'E Balans VL '!Z13*100)</f>
        <v>0.1331686689124805</v>
      </c>
      <c r="D28" s="237" t="s">
        <v>716</v>
      </c>
      <c r="F28" s="6"/>
    </row>
    <row r="29" spans="1:18">
      <c r="A29" s="231" t="s">
        <v>50</v>
      </c>
      <c r="B29" s="33">
        <f>IF(ISERROR(TER_gezond_ele_kWh/1000),0,TER_gezond_ele_kWh/1000)</f>
        <v>551.62424199999998</v>
      </c>
      <c r="C29" s="39">
        <f>IF(ISERROR(B29*3.6/1000000/'E Balans VL '!Z10*100),0,B29*3.6/1000000/'E Balans VL '!Z10*100)</f>
        <v>5.5631962644401775E-2</v>
      </c>
      <c r="D29" s="237" t="s">
        <v>716</v>
      </c>
      <c r="F29" s="6"/>
    </row>
    <row r="30" spans="1:18">
      <c r="A30" s="231" t="s">
        <v>49</v>
      </c>
      <c r="B30" s="33">
        <f>IF(ISERROR(TER_ander_ele_kWh/1000),0,TER_ander_ele_kWh/1000)</f>
        <v>1366.7935970000001</v>
      </c>
      <c r="C30" s="39">
        <f>IF(ISERROR(B30*3.6/1000000/'E Balans VL '!Z14*100),0,B30*3.6/1000000/'E Balans VL '!Z14*100)</f>
        <v>9.9179521945940638E-2</v>
      </c>
      <c r="D30" s="237" t="s">
        <v>716</v>
      </c>
      <c r="F30" s="6"/>
    </row>
    <row r="31" spans="1:18">
      <c r="A31" s="231" t="s">
        <v>54</v>
      </c>
      <c r="B31" s="33">
        <f>IF(ISERROR(TER_onderwijs_ele_kWh/1000),0,TER_onderwijs_ele_kWh/1000)</f>
        <v>486.33573200000001</v>
      </c>
      <c r="C31" s="39">
        <f>IF(ISERROR(B31*3.6/1000000/'E Balans VL '!Z11*100),0,B31*3.6/1000000/'E Balans VL '!Z11*100)</f>
        <v>0.13862548813317699</v>
      </c>
      <c r="D31" s="237" t="s">
        <v>716</v>
      </c>
    </row>
    <row r="32" spans="1:18">
      <c r="A32" s="231" t="s">
        <v>259</v>
      </c>
      <c r="B32" s="33">
        <f>IF(ISERROR(TER_rest_ele_kWh/1000),0,TER_rest_ele_kWh/1000)</f>
        <v>2391.1384049999997</v>
      </c>
      <c r="C32" s="39">
        <f>IF(ISERROR(B32*3.6/1000000/'E Balans VL '!Z8*100),0,B32*3.6/1000000/'E Balans VL '!Z8*100)</f>
        <v>1.9587718761669634E-2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21020.995181999999</v>
      </c>
      <c r="C5" s="17">
        <f>IF(ISERROR('Eigen informatie GS &amp; warmtenet'!B61),0,'Eigen informatie GS &amp; warmtenet'!B61)</f>
        <v>0</v>
      </c>
      <c r="D5" s="30">
        <f>SUM(D6:D15)</f>
        <v>121565.10274345799</v>
      </c>
      <c r="E5" s="17">
        <f>SUM(E6:E15)</f>
        <v>1414.9595745962806</v>
      </c>
      <c r="F5" s="17">
        <f>SUM(F6:F15)</f>
        <v>4963.7515137973933</v>
      </c>
      <c r="G5" s="18"/>
      <c r="H5" s="17"/>
      <c r="I5" s="17"/>
      <c r="J5" s="17">
        <f>SUM(J6:J15)</f>
        <v>155.95913109812381</v>
      </c>
      <c r="K5" s="17"/>
      <c r="L5" s="17"/>
      <c r="M5" s="17"/>
      <c r="N5" s="17">
        <f>SUM(N6:N15)</f>
        <v>916.23822868696959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1892.8661980000002</v>
      </c>
      <c r="C9" s="33"/>
      <c r="D9" s="37">
        <f>IF( ISERROR(IND_andere_gas_kWh/1000),0,IND_andere_gas_kWh/1000)*0.902</f>
        <v>896.77554113400004</v>
      </c>
      <c r="E9" s="33">
        <f>C31*'E Balans VL '!I19/100/3.6*1000000</f>
        <v>524.53853425785985</v>
      </c>
      <c r="F9" s="33">
        <f>C31*'E Balans VL '!L19/100/3.6*1000000+C31*'E Balans VL '!N19/100/3.6*1000000</f>
        <v>1568.8115954177795</v>
      </c>
      <c r="G9" s="34"/>
      <c r="H9" s="33"/>
      <c r="I9" s="33"/>
      <c r="J9" s="40">
        <f>C31*'E Balans VL '!D19/100/3.6*1000000+C31*'E Balans VL '!E19/100/3.6*1000000</f>
        <v>0</v>
      </c>
      <c r="K9" s="33"/>
      <c r="L9" s="33"/>
      <c r="M9" s="33"/>
      <c r="N9" s="33">
        <f>C31*'E Balans VL '!Y19/100/3.6*1000000</f>
        <v>137.39893371477501</v>
      </c>
      <c r="O9" s="33"/>
      <c r="P9" s="33"/>
      <c r="R9" s="32"/>
    </row>
    <row r="10" spans="1:18">
      <c r="A10" s="6" t="s">
        <v>40</v>
      </c>
      <c r="B10" s="37">
        <f t="shared" si="0"/>
        <v>275.12993999999998</v>
      </c>
      <c r="C10" s="33"/>
      <c r="D10" s="37">
        <f>IF( ISERROR(IND_voed_gas_kWh/1000),0,IND_voed_gas_kWh/1000)*0.902</f>
        <v>312.14220712399998</v>
      </c>
      <c r="E10" s="33">
        <f>C32*'E Balans VL '!I20/100/3.6*1000000</f>
        <v>0.4870731862855151</v>
      </c>
      <c r="F10" s="33">
        <f>C32*'E Balans VL '!L20/100/3.6*1000000+C32*'E Balans VL '!N20/100/3.6*1000000</f>
        <v>14.859455214784921</v>
      </c>
      <c r="G10" s="34"/>
      <c r="H10" s="33"/>
      <c r="I10" s="33"/>
      <c r="J10" s="40">
        <f>C32*'E Balans VL '!D20/100/3.6*1000000+C32*'E Balans VL '!E20/100/3.6*1000000</f>
        <v>0</v>
      </c>
      <c r="K10" s="33"/>
      <c r="L10" s="33"/>
      <c r="M10" s="33"/>
      <c r="N10" s="33">
        <f>C32*'E Balans VL '!Y20/100/3.6*1000000</f>
        <v>15.98715070753452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142.73839699999999</v>
      </c>
      <c r="C12" s="33"/>
      <c r="D12" s="37">
        <f>IF( ISERROR(IND_min_gas_kWh/1000),0,IND_min_gas_kWh/1000)*0.902</f>
        <v>0</v>
      </c>
      <c r="E12" s="33">
        <f>C34*'E Balans VL '!I22/100/3.6*1000000</f>
        <v>6.2856898511668735</v>
      </c>
      <c r="F12" s="33">
        <f>C34*'E Balans VL '!L22/100/3.6*1000000+C34*'E Balans VL '!N22/100/3.6*1000000</f>
        <v>55.816477797036598</v>
      </c>
      <c r="G12" s="34"/>
      <c r="H12" s="33"/>
      <c r="I12" s="33"/>
      <c r="J12" s="40">
        <f>C34*'E Balans VL '!D22/100/3.6*1000000+C34*'E Balans VL '!E22/100/3.6*1000000</f>
        <v>4.3340449675306501E-2</v>
      </c>
      <c r="K12" s="33"/>
      <c r="L12" s="33"/>
      <c r="M12" s="33"/>
      <c r="N12" s="33">
        <f>C34*'E Balans VL '!Y22/100/3.6*1000000</f>
        <v>35.309153719261076</v>
      </c>
      <c r="O12" s="33"/>
      <c r="P12" s="33"/>
      <c r="R12" s="32"/>
    </row>
    <row r="13" spans="1:18">
      <c r="A13" s="6" t="s">
        <v>38</v>
      </c>
      <c r="B13" s="37">
        <f t="shared" si="0"/>
        <v>13.310996999999999</v>
      </c>
      <c r="C13" s="33"/>
      <c r="D13" s="37">
        <f>IF( ISERROR(IND_papier_gas_kWh/1000),0,IND_papier_gas_kWh/1000)*0.902</f>
        <v>0</v>
      </c>
      <c r="E13" s="33">
        <f>C35*'E Balans VL '!I23/100/3.6*1000000</f>
        <v>1.9585047319493714E-2</v>
      </c>
      <c r="F13" s="33">
        <f>C35*'E Balans VL '!L23/100/3.6*1000000+C35*'E Balans VL '!N23/100/3.6*1000000</f>
        <v>0.14252492506633543</v>
      </c>
      <c r="G13" s="34"/>
      <c r="H13" s="33"/>
      <c r="I13" s="33"/>
      <c r="J13" s="40">
        <f>C35*'E Balans VL '!D23/100/3.6*1000000+C35*'E Balans VL '!E23/100/3.6*1000000</f>
        <v>1.4562977159651094</v>
      </c>
      <c r="K13" s="33"/>
      <c r="L13" s="33"/>
      <c r="M13" s="33"/>
      <c r="N13" s="33">
        <f>C35*'E Balans VL '!Y23/100/3.6*1000000</f>
        <v>-0.12058622705686142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18696.949649999999</v>
      </c>
      <c r="C15" s="33"/>
      <c r="D15" s="37">
        <f>IF( ISERROR(IND_rest_gas_kWh/1000),0,IND_rest_gas_kWh/1000)*0.902</f>
        <v>120356.18499519999</v>
      </c>
      <c r="E15" s="33">
        <f>C37*'E Balans VL '!I15/100/3.6*1000000</f>
        <v>883.62869225364875</v>
      </c>
      <c r="F15" s="33">
        <f>C37*'E Balans VL '!L15/100/3.6*1000000+C37*'E Balans VL '!N15/100/3.6*1000000</f>
        <v>3324.1214604427264</v>
      </c>
      <c r="G15" s="34"/>
      <c r="H15" s="33"/>
      <c r="I15" s="33"/>
      <c r="J15" s="40">
        <f>C37*'E Balans VL '!D15/100/3.6*1000000+C37*'E Balans VL '!E15/100/3.6*1000000</f>
        <v>154.45949293248339</v>
      </c>
      <c r="K15" s="33"/>
      <c r="L15" s="33"/>
      <c r="M15" s="33"/>
      <c r="N15" s="33">
        <f>C37*'E Balans VL '!Y15/100/3.6*1000000</f>
        <v>727.66357677245583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21020.995181999999</v>
      </c>
      <c r="C18" s="21">
        <f>C5+C16</f>
        <v>0</v>
      </c>
      <c r="D18" s="21">
        <f>MAX((D5+D16),0)</f>
        <v>121565.10274345799</v>
      </c>
      <c r="E18" s="21">
        <f>MAX((E5+E16),0)</f>
        <v>1414.9595745962806</v>
      </c>
      <c r="F18" s="21">
        <f>MAX((F5+F16),0)</f>
        <v>4963.7515137973933</v>
      </c>
      <c r="G18" s="21"/>
      <c r="H18" s="21"/>
      <c r="I18" s="21"/>
      <c r="J18" s="21">
        <f>MAX((J5+J16),0)</f>
        <v>155.95913109812381</v>
      </c>
      <c r="K18" s="21"/>
      <c r="L18" s="21">
        <f>MAX((L5+L16),0)</f>
        <v>0</v>
      </c>
      <c r="M18" s="21"/>
      <c r="N18" s="21">
        <f>MAX((N5+N16),0)</f>
        <v>916.23822868696959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0.20659004582351789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4342.7283579053283</v>
      </c>
      <c r="C22" s="23">
        <f ca="1">C18*C20</f>
        <v>0</v>
      </c>
      <c r="D22" s="23">
        <f>D18*D20</f>
        <v>24556.150754178514</v>
      </c>
      <c r="E22" s="23">
        <f>E18*E20</f>
        <v>321.19582343335571</v>
      </c>
      <c r="F22" s="23">
        <f>F18*F20</f>
        <v>1325.321654183904</v>
      </c>
      <c r="G22" s="23"/>
      <c r="H22" s="23"/>
      <c r="I22" s="23"/>
      <c r="J22" s="23">
        <f>J18*J20</f>
        <v>55.209532408735825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1892.8661980000002</v>
      </c>
      <c r="C31" s="39">
        <f>IF(ISERROR(B31*3.6/1000000/'E Balans VL '!Z19*100),0,B31*3.6/1000000/'E Balans VL '!Z19*100)</f>
        <v>9.5205034271191286E-2</v>
      </c>
      <c r="D31" s="237" t="s">
        <v>716</v>
      </c>
    </row>
    <row r="32" spans="1:18">
      <c r="A32" s="171" t="s">
        <v>40</v>
      </c>
      <c r="B32" s="37">
        <f>IF( ISERROR(IND_voed_ele_kWh/1000),0,IND_voed_ele_kWh/1000)</f>
        <v>275.12993999999998</v>
      </c>
      <c r="C32" s="39">
        <f>IF(ISERROR(B32*3.6/1000000/'E Balans VL '!Z20*100),0,B32*3.6/1000000/'E Balans VL '!Z20*100)</f>
        <v>9.1634607918394326E-3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142.73839699999999</v>
      </c>
      <c r="C34" s="39">
        <f>IF(ISERROR(B34*3.6/1000000/'E Balans VL '!Z22*100),0,B34*3.6/1000000/'E Balans VL '!Z22*100)</f>
        <v>2.662553222373638E-2</v>
      </c>
      <c r="D34" s="237" t="s">
        <v>716</v>
      </c>
    </row>
    <row r="35" spans="1:5">
      <c r="A35" s="171" t="s">
        <v>38</v>
      </c>
      <c r="B35" s="37">
        <f>IF( ISERROR(IND_papier_ele_kWh/1000),0,IND_papier_ele_kWh/1000)</f>
        <v>13.310996999999999</v>
      </c>
      <c r="C35" s="39">
        <f>IF(ISERROR(B35*3.6/1000000/'E Balans VL '!Z22*100),0,B35*3.6/1000000/'E Balans VL '!Z22*100)</f>
        <v>2.4829505375036421E-3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18696.949649999999</v>
      </c>
      <c r="C37" s="39">
        <f>IF(ISERROR(B37*3.6/1000000/'E Balans VL '!Z15*100),0,B37*3.6/1000000/'E Balans VL '!Z15*100)</f>
        <v>0.14588733653172892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57.553728</v>
      </c>
      <c r="C5" s="17">
        <f>'Eigen informatie GS &amp; warmtenet'!B62</f>
        <v>0</v>
      </c>
      <c r="D5" s="30">
        <f>IF(ISERROR(SUM(LB_lb_gas_kWh,LB_rest_gas_kWh)/1000),0,SUM(LB_lb_gas_kWh,LB_rest_gas_kWh)/1000)*0.902</f>
        <v>67.964134127999998</v>
      </c>
      <c r="E5" s="17">
        <f>B17*'E Balans VL '!I25/3.6*1000000/100</f>
        <v>1.7962328720018901</v>
      </c>
      <c r="F5" s="17">
        <f>B17*('E Balans VL '!L25/3.6*1000000+'E Balans VL '!N25/3.6*1000000)/100</f>
        <v>203.40125038199886</v>
      </c>
      <c r="G5" s="18"/>
      <c r="H5" s="17"/>
      <c r="I5" s="17"/>
      <c r="J5" s="17">
        <f>('E Balans VL '!D25+'E Balans VL '!E25)/3.6*1000000*landbouw!B17/100</f>
        <v>15.856451195605716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57.553728</v>
      </c>
      <c r="C8" s="21">
        <f>C5+C6</f>
        <v>0</v>
      </c>
      <c r="D8" s="21">
        <f>MAX((D5+D6),0)</f>
        <v>67.964134127999998</v>
      </c>
      <c r="E8" s="21">
        <f>MAX((E5+E6),0)</f>
        <v>1.7962328720018901</v>
      </c>
      <c r="F8" s="21">
        <f>MAX((F5+F6),0)</f>
        <v>203.40125038199886</v>
      </c>
      <c r="G8" s="21"/>
      <c r="H8" s="21"/>
      <c r="I8" s="21"/>
      <c r="J8" s="21">
        <f>MAX((J5+J6),0)</f>
        <v>15.856451195605716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0.20659004582351789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11.890027304834284</v>
      </c>
      <c r="C12" s="23">
        <f ca="1">C8*C10</f>
        <v>0</v>
      </c>
      <c r="D12" s="23">
        <f>D8*D10</f>
        <v>13.728755093856</v>
      </c>
      <c r="E12" s="23">
        <f>E8*E10</f>
        <v>0.40774486194442905</v>
      </c>
      <c r="F12" s="23">
        <f>F8*F10</f>
        <v>54.308133851993702</v>
      </c>
      <c r="G12" s="23"/>
      <c r="H12" s="23"/>
      <c r="I12" s="23"/>
      <c r="J12" s="23">
        <f>J8*J10</f>
        <v>5.6131837232444237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8.5557742514031782E-3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30.634481764810733</v>
      </c>
      <c r="C26" s="247">
        <f>B26*'GWP N2O_CH4'!B5</f>
        <v>643.32411706102539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4.1239624562318991</v>
      </c>
      <c r="C27" s="247">
        <f>B27*'GWP N2O_CH4'!B5</f>
        <v>86.603211580869882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0.37455337773190028</v>
      </c>
      <c r="C28" s="247">
        <f>B28*'GWP N2O_CH4'!B4</f>
        <v>116.11154709688908</v>
      </c>
      <c r="D28" s="50"/>
    </row>
    <row r="29" spans="1:4">
      <c r="A29" s="41" t="s">
        <v>276</v>
      </c>
      <c r="B29" s="247">
        <f>B34*'ha_N2O bodem landbouw'!B4</f>
        <v>2.6218142247217902</v>
      </c>
      <c r="C29" s="247">
        <f>B29*'GWP N2O_CH4'!B4</f>
        <v>812.76240966375497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5.7491665477776149E-4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1.1904900164999999E-4</v>
      </c>
      <c r="C5" s="463" t="s">
        <v>210</v>
      </c>
      <c r="D5" s="448">
        <f>SUM(D6:D11)</f>
        <v>5.6348124894852001E-4</v>
      </c>
      <c r="E5" s="448">
        <f>SUM(E6:E11)</f>
        <v>4.3311459397612497E-4</v>
      </c>
      <c r="F5" s="461" t="s">
        <v>210</v>
      </c>
      <c r="G5" s="448">
        <f>SUM(G6:G11)</f>
        <v>0.13964788495571268</v>
      </c>
      <c r="H5" s="448">
        <f>SUM(H6:H11)</f>
        <v>4.1783424951776019E-2</v>
      </c>
      <c r="I5" s="463" t="s">
        <v>210</v>
      </c>
      <c r="J5" s="463" t="s">
        <v>210</v>
      </c>
      <c r="K5" s="463" t="s">
        <v>210</v>
      </c>
      <c r="L5" s="463" t="s">
        <v>210</v>
      </c>
      <c r="M5" s="448">
        <f>SUM(M6:M11)</f>
        <v>1.0798951634521825E-2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5.1510388874999998E-5</v>
      </c>
      <c r="C6" s="449"/>
      <c r="D6" s="917">
        <f>vkm_2011_GW_PW*SUMIFS(TableVerdeelsleutelVkm[CNG],TableVerdeelsleutelVkm[Voertuigtype],"Lichte voertuigen")*SUMIFS(TableECFTransport[EnergieConsumptieFactor (PJ per km)],TableECFTransport[Index],CONCATENATE($A6,"_CNG_CNG"))</f>
        <v>1.7911039601070002E-4</v>
      </c>
      <c r="E6" s="917">
        <f>vkm_2011_GW_PW*SUMIFS(TableVerdeelsleutelVkm[LPG],TableVerdeelsleutelVkm[Voertuigtype],"Lichte voertuigen")*SUMIFS(TableECFTransport[EnergieConsumptieFactor (PJ per km)],TableECFTransport[Index],CONCATENATE($A6,"_LPG_LPG"))</f>
        <v>1.4110948269E-4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3.84116419303717E-2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1.3441523434331411E-2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3.0985525457356933E-3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1.4282903047494832E-2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3.5983235421864341E-6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8.2359681261511637E-4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5.5145955749999997E-5</v>
      </c>
      <c r="C8" s="449"/>
      <c r="D8" s="451">
        <f>vkm_2011_NGW_PW*SUMIFS(TableVerdeelsleutelVkm[CNG],TableVerdeelsleutelVkm[Voertuigtype],"Lichte voertuigen")*SUMIFS(TableECFTransport[EnergieConsumptieFactor (PJ per km)],TableECFTransport[Index],CONCATENATE($A8,"_CNG_CNG"))</f>
        <v>3.39351569172E-4</v>
      </c>
      <c r="E8" s="451">
        <f>vkm_2011_NGW_PW*SUMIFS(TableVerdeelsleutelVkm[LPG],TableVerdeelsleutelVkm[Voertuigtype],"Lichte voertuigen")*SUMIFS(TableECFTransport[EnergieConsumptieFactor (PJ per km)],TableECFTransport[Index],CONCATENATE($A8,"_LPG_LPG"))</f>
        <v>2.4785286344625E-4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6.2608647823234997E-2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2.4815233172182684E-2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5.2416487277297166E-3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6.9255818824235562E-3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1.6462928081200508E-6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3.9934420954207601E-4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1.2392657024999999E-5</v>
      </c>
      <c r="C10" s="449"/>
      <c r="D10" s="451">
        <f>vkm_2011_SW_PW*SUMIFS(TableVerdeelsleutelVkm[CNG],TableVerdeelsleutelVkm[Voertuigtype],"Lichte voertuigen")*SUMIFS(TableECFTransport[EnergieConsumptieFactor (PJ per km)],TableECFTransport[Index],CONCATENATE($A10,"_CNG_CNG"))</f>
        <v>4.5019283765820002E-5</v>
      </c>
      <c r="E10" s="451">
        <f>vkm_2011_SW_PW*SUMIFS(TableVerdeelsleutelVkm[LPG],TableVerdeelsleutelVkm[Voertuigtype],"Lichte voertuigen")*SUMIFS(TableECFTransport[EnergieConsumptieFactor (PJ per km)],TableECFTransport[Index],CONCATENATE($A10,"_LPG_LPG"))</f>
        <v>4.4152247839875E-5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1.0676249176011567E-2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3.5195838540185696E-3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8.4698561759848762E-4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6.7428610961760369E-3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1.8398748930521044E-6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3.8882372130073523E-4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33.069167125</v>
      </c>
      <c r="C14" s="21"/>
      <c r="D14" s="21">
        <f t="shared" ref="D14:M14" si="0">((D5)*10^9/3600)+D12</f>
        <v>156.52256915236669</v>
      </c>
      <c r="E14" s="21">
        <f t="shared" si="0"/>
        <v>120.30960943781248</v>
      </c>
      <c r="F14" s="21"/>
      <c r="G14" s="21">
        <f t="shared" si="0"/>
        <v>38791.079154364634</v>
      </c>
      <c r="H14" s="21">
        <f t="shared" si="0"/>
        <v>11606.506931048894</v>
      </c>
      <c r="I14" s="21"/>
      <c r="J14" s="21"/>
      <c r="K14" s="21"/>
      <c r="L14" s="21"/>
      <c r="M14" s="21">
        <f t="shared" si="0"/>
        <v>2999.7087873671735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0.20659004582351789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6.8317607516993215</v>
      </c>
      <c r="C18" s="23"/>
      <c r="D18" s="23">
        <f t="shared" ref="D18:M18" si="1">D14*D16</f>
        <v>31.617558968778074</v>
      </c>
      <c r="E18" s="23">
        <f t="shared" si="1"/>
        <v>27.310281342383433</v>
      </c>
      <c r="F18" s="23"/>
      <c r="G18" s="23">
        <f t="shared" si="1"/>
        <v>10357.218134215358</v>
      </c>
      <c r="H18" s="23">
        <f t="shared" si="1"/>
        <v>2890.0202258311747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2.9957397709122939E-3</v>
      </c>
      <c r="H50" s="321">
        <f t="shared" si="2"/>
        <v>0</v>
      </c>
      <c r="I50" s="321">
        <f t="shared" si="2"/>
        <v>0</v>
      </c>
      <c r="J50" s="321">
        <f t="shared" si="2"/>
        <v>0</v>
      </c>
      <c r="K50" s="321">
        <f t="shared" si="2"/>
        <v>0</v>
      </c>
      <c r="L50" s="321">
        <f t="shared" si="2"/>
        <v>0</v>
      </c>
      <c r="M50" s="321">
        <f t="shared" si="2"/>
        <v>1.6650354792770215E-4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2.9957397709122939E-3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1.6650354792770215E-4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832.14993636452607</v>
      </c>
      <c r="H54" s="21">
        <f t="shared" si="3"/>
        <v>0</v>
      </c>
      <c r="I54" s="21">
        <f t="shared" si="3"/>
        <v>0</v>
      </c>
      <c r="J54" s="21">
        <f t="shared" si="3"/>
        <v>0</v>
      </c>
      <c r="K54" s="21">
        <f t="shared" si="3"/>
        <v>0</v>
      </c>
      <c r="L54" s="21">
        <f t="shared" si="3"/>
        <v>0</v>
      </c>
      <c r="M54" s="21">
        <f t="shared" si="3"/>
        <v>46.250985535472822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0.20659004582351789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222.18403300932846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4462.5230892788404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4462.5230892788404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2019-08-12T08:40:23Z</dcterms:modified>
</cp:coreProperties>
</file>