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<sst xmlns="http://schemas.openxmlformats.org/spreadsheetml/2006/main" count="2391" uniqueCount="891">
  <si>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</si>
  <si>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</si>
  <si>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</si>
  <si>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</si>
  <si>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</si>
  <si>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</si>
  <si>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</si>
  <si>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</si>
  <si>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</si>
  <si>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</si>
  <si>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</si>
  <si>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</si>
  <si>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</si>
  <si>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</si>
  <si>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</si>
  <si>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</si>
  <si>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</si>
  <si>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</si>
  <si>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</si>
  <si>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</si>
  <si>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</si>
  <si>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</si>
  <si>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</si>
  <si>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</si>
  <si>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</si>
  <si>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</si>
  <si>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</si>
  <si>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</si>
  <si>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</si>
  <si>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</si>
  <si>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</si>
  <si>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</si>
  <si>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</si>
  <si>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</si>
  <si>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</si>
  <si>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</si>
  <si>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</si>
  <si>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</si>
  <si>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</si>
  <si>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</si>
  <si>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</si>
  <si>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</si>
  <si>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</si>
  <si>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</si>
  <si>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</si>
  <si>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</si>
  <si>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</si>
  <si>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</si>
  <si>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</si>
  <si>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</si>
  <si>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</si>
  <si>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</si>
  <si>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</si>
  <si>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</si>
  <si>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</si>
  <si>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</si>
  <si>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</si>
  <si>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</si>
  <si>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</si>
  <si>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</si>
  <si>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</si>
  <si>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</si>
  <si>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</si>
  <si>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</si>
  <si>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</si>
  <si>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</si>
  <si>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</si>
  <si>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</si>
  <si>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</si>
  <si>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</si>
  <si>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</si>
  <si>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</si>
  <si>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</si>
  <si>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</si>
  <si>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</si>
  <si>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</si>
  <si>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</si>
  <si>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</si>
  <si>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</si>
  <si>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</si>
  <si>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</si>
  <si>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</si>
  <si>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</si>
  <si>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</si>
  <si>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</si>
  <si>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</si>
  <si>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</si>
  <si>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</si>
  <si>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</si>
  <si>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</si>
  <si>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</si>
  <si>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</si>
  <si>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</si>
  <si>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</si>
  <si>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</si>
  <si>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</si>
  <si>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</si>
  <si>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</si>
  <si>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</si>
  <si>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</si>
  <si>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</si>
  <si>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</si>
  <si>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</si>
  <si>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</si>
  <si>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</si>
  <si>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</si>
  <si>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</si>
  <si>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</si>
  <si>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</si>
  <si>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</si>
  <si>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</si>
  <si>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</si>
  <si>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</si>
  <si>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</si>
  <si>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</si>
  <si>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</si>
  <si>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</si>
  <si>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</si>
  <si>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</si>
  <si>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</si>
  <si>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</si>
  <si>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</si>
  <si>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</si>
  <si>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</si>
  <si>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</si>
  <si>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</si>
  <si>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</si>
  <si>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</si>
  <si>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</si>
  <si>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</si>
  <si>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</si>
  <si>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</si>
  <si>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</si>
  <si>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</si>
  <si>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</si>
  <si>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</si>
  <si>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</si>
  <si>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</si>
  <si>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</si>
  <si>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</si>
  <si>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</si>
  <si>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</si>
  <si>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</si>
  <si>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</si>
  <si>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</si>
  <si>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</si>
  <si>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</si>
  <si>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</si>
  <si>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</si>
  <si>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</si>
  <si>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</si>
  <si>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</si>
  <si>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</si>
  <si>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</si>
  <si>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</si>
  <si>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</si>
  <si>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</si>
  <si>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</si>
  <si>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</si>
  <si>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</si>
  <si>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</si>
  <si>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</si>
  <si>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</si>
  <si>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</si>
  <si>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</si>
  <si>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</si>
  <si>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</si>
  <si>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</si>
  <si>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</si>
  <si>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</si>
  <si>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</si>
  <si>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</si>
  <si>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</si>
  <si>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</si>
  <si>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</si>
  <si>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</si>
  <si>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</si>
  <si>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</si>
  <si>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</si>
  <si>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</si>
  <si>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</si>
  <si>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</si>
  <si>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</si>
  <si>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</si>
  <si>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</si>
  <si>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</si>
  <si>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</si>
  <si>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</si>
  <si>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</si>
  <si>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</si>
  <si>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</si>
  <si>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</si>
  <si>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</si>
  <si>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</si>
  <si>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</si>
  <si>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</si>
  <si>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</si>
  <si>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</si>
  <si>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</si>
  <si>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</si>
  <si>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</si>
  <si>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</si>
  <si>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</si>
  <si>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</si>
  <si>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</si>
  <si>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</si>
  <si>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</si>
  <si>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</si>
  <si>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</si>
  <si>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</si>
  <si>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</si>
  <si>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</si>
  <si>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</si>
  <si>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</si>
  <si>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</si>
  <si>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</si>
  <si>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</si>
  <si>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</si>
  <si>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</si>
  <si>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</si>
  <si>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</si>
  <si>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</si>
  <si>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</si>
  <si>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</si>
  <si>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</si>
  <si>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</si>
  <si>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</si>
  <si>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</si>
  <si>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</si>
  <si>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</si>
  <si>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</si>
  <si>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</si>
  <si>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</si>
  <si>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</si>
  <si>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</si>
  <si>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</si>
  <si>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</si>
  <si>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</si>
  <si>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</si>
  <si>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</si>
  <si>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</si>
  <si>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</si>
  <si>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</si>
  <si>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</si>
  <si>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</si>
  <si>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</si>
  <si>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</si>
  <si>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</si>
  <si>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</si>
  <si>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</si>
  <si>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</si>
  <si>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</si>
  <si>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</si>
  <si>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</si>
  <si>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</si>
  <si>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</si>
  <si>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</si>
  <si>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</si>
  <si>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</si>
  <si>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</si>
  <si>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</si>
  <si>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</si>
  <si>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</si>
  <si>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</si>
  <si>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</si>
  <si>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</si>
  <si>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</si>
  <si>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</si>
  <si>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</si>
  <si>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</si>
  <si>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</si>
  <si>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</si>
  <si>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</si>
  <si>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</si>
  <si>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</si>
  <si>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</si>
  <si>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</si>
  <si>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</si>
  <si>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</si>
  <si>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</si>
  <si>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</si>
  <si>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</si>
  <si>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</si>
  <si>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</si>
  <si>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</si>
  <si>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</si>
  <si>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</si>
  <si>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</si>
  <si>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</si>
  <si>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</si>
  <si>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</si>
  <si>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</si>
  <si>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</si>
  <si>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</si>
  <si>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</si>
  <si>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</si>
  <si>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</si>
  <si>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</si>
  <si>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</si>
  <si>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</si>
  <si>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</si>
  <si>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</si>
  <si>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</si>
  <si>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</si>
  <si>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</si>
  <si>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</si>
  <si>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</si>
  <si>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</si>
  <si>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</si>
  <si>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</si>
  <si>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</si>
  <si>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</si>
  <si>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</si>
  <si>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</si>
  <si>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</si>
  <si>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</si>
  <si>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</si>
  <si>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</si>
  <si>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</si>
  <si>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</si>
  <si>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</si>
  <si>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</si>
  <si>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</si>
  <si>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</si>
  <si>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</si>
  <si>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</si>
  <si>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</si>
  <si>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</si>
  <si>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</si>
  <si>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</si>
  <si>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</si>
  <si>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</si>
  <si>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</si>
  <si>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</si>
  <si>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</si>
  <si>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</si>
  <si>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</si>
  <si>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</si>
  <si>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</si>
  <si>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</si>
  <si>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</si>
  <si>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</si>
  <si>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</si>
  <si>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</si>
  <si>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</si>
  <si>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</si>
  <si>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</si>
  <si>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</si>
  <si>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</si>
  <si>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</si>
  <si>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</si>
  <si>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</si>
  <si>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</si>
  <si>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</si>
  <si>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</si>
  <si>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</si>
  <si>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</si>
  <si>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</si>
  <si>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</si>
  <si>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</si>
  <si>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</si>
  <si>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</si>
  <si>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</si>
  <si>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</si>
  <si>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</si>
  <si>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</si>
  <si>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</si>
  <si>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</si>
  <si>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</si>
  <si>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</si>
  <si>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</si>
  <si>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</si>
  <si>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</si>
  <si>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</si>
  <si>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</si>
  <si>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</si>
  <si>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</si>
  <si>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</si>
  <si>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</si>
  <si>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</si>
  <si>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</si>
  <si>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</si>
  <si>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</si>
  <si>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</si>
  <si>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</si>
  <si>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</si>
  <si>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</si>
  <si>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</si>
  <si>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</si>
  <si>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</si>
  <si>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</si>
  <si>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</si>
  <si>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</si>
  <si>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</si>
  <si>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</si>
  <si>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</si>
  <si>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</si>
  <si>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</si>
  <si>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</si>
  <si>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</si>
  <si>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</si>
  <si>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</si>
  <si>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</si>
  <si>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</si>
  <si>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</si>
  <si>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</si>
  <si>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</si>
  <si>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</si>
  <si>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</si>
  <si>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</si>
  <si>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</si>
  <si>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</si>
  <si>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</si>
  <si>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</si>
  <si>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</si>
  <si>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</si>
  <si>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</si>
  <si>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</si>
  <si>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</si>
  <si>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</si>
  <si>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</si>
  <si>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</si>
  <si>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</si>
  <si>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</si>
  <si>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</si>
  <si>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</si>
  <si>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</si>
  <si>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</si>
  <si>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</si>
  <si>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</si>
  <si>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</si>
  <si>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</si>
  <si>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</si>
  <si>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</si>
  <si>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</si>
  <si>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</si>
  <si>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</si>
  <si>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</si>
  <si>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</si>
  <si>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</si>
  <si>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</si>
  <si>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</si>
  <si>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</si>
  <si>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</si>
  <si>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</si>
  <si>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</si>
  <si>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</si>
  <si>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</si>
  <si>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</si>
  <si>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</si>
  <si>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</si>
  <si>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</si>
  <si>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</si>
  <si>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</si>
  <si>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</si>
  <si>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</si>
  <si>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</si>
  <si>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</si>
  <si>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</si>
  <si>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</si>
  <si>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</si>
  <si>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</si>
  <si>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</si>
  <si>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</si>
  <si>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</si>
  <si>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</si>
  <si>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</si>
  <si>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</si>
  <si>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</si>
  <si>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</si>
  <si>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</si>
  <si>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</si>
  <si>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</si>
  <si>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</si>
  <si>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</si>
  <si>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</si>
  <si>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</si>
  <si>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</si>
  <si>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</si>
  <si>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</si>
  <si>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</si>
  <si>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</si>
  <si>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</si>
  <si>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</si>
  <si>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</si>
  <si>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</si>
  <si>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</si>
  <si>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</si>
  <si>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</si>
  <si>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</si>
  <si>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</si>
  <si>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</si>
  <si>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</si>
  <si>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</si>
  <si>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</si>
  <si>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</si>
  <si>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</si>
  <si>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</si>
  <si>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</si>
  <si>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</si>
  <si>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</si>
  <si>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</si>
  <si>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</si>
  <si>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</si>
  <si>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</si>
  <si>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</si>
  <si>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</si>
  <si>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</si>
  <si>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</si>
  <si>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</si>
  <si>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</si>
  <si>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</si>
  <si>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</si>
  <si>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</si>
  <si>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</si>
  <si>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</si>
  <si>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</si>
  <si>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</si>
  <si>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</si>
  <si>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</si>
  <si>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</si>
  <si>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</si>
  <si>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</si>
  <si>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</si>
  <si>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</si>
  <si>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</si>
  <si>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</si>
  <si>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</si>
  <si>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</si>
  <si>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</si>
  <si>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</si>
  <si>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</si>
  <si>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</si>
  <si>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</si>
  <si>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</si>
  <si>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</si>
  <si>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</si>
  <si>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</si>
  <si>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</si>
  <si>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</si>
  <si>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</si>
  <si>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</si>
  <si>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</si>
  <si>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</si>
  <si>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</si>
  <si>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</si>
  <si>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</si>
  <si>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</si>
  <si>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</si>
  <si>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</si>
  <si>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</si>
  <si>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</si>
  <si>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</si>
  <si>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</si>
  <si>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</si>
  <si>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</si>
  <si>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</si>
  <si>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</si>
  <si>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</si>
  <si>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</si>
  <si>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</si>
  <si>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</si>
  <si>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</si>
  <si>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</si>
  <si>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</si>
  <si>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</si>
  <si>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</si>
  <si>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</si>
  <si>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</si>
  <si>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</si>
  <si>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</si>
  <si>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</si>
  <si>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</si>
  <si>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</si>
  <si>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</si>
  <si>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</si>
  <si>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</si>
  <si>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</si>
  <si>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</si>
  <si>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</si>
  <si>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</si>
  <si>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</si>
  <si>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</si>
  <si>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</si>
  <si>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</si>
  <si>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</si>
  <si>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</si>
  <si>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</si>
  <si>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</si>
  <si>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</si>
  <si>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</si>
  <si>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</si>
  <si>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</si>
  <si>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</si>
  <si>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</si>
  <si>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</si>
  <si>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</si>
  <si>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</si>
  <si>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</si>
  <si>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</si>
  <si>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</si>
  <si>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</si>
  <si>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</si>
  <si>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</si>
  <si>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</si>
  <si>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</si>
  <si>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</si>
  <si>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</si>
  <si>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</si>
  <si>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</si>
  <si>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</si>
  <si>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</si>
  <si>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</si>
  <si>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</si>
  <si>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</si>
  <si>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</si>
  <si>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</si>
  <si>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</si>
  <si>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</si>
  <si>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</si>
  <si>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</si>
  <si>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</si>
  <si>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</si>
  <si>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</si>
  <si>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</si>
  <si>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</si>
  <si>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</si>
  <si>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</si>
  <si>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</si>
  <si>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</si>
  <si>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</si>
  <si>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</si>
  <si>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</si>
  <si>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</si>
  <si>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</si>
  <si>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</si>
  <si>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</si>
  <si>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</si>
  <si>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</si>
  <si>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</si>
  <si>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</si>
  <si>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</si>
  <si>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</si>
  <si>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</si>
  <si>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</si>
  <si>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</si>
  <si>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</si>
  <si>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</si>
  <si>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</si>
  <si>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</si>
  <si>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</si>
  <si>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</si>
  <si>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</si>
  <si>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</si>
  <si>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</si>
  <si>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</si>
  <si>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</si>
  <si>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</si>
  <si>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</si>
  <si>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</si>
  <si>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</si>
  <si>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</si>
  <si>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</si>
  <si>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</si>
  <si>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</si>
  <si>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</si>
  <si>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</si>
  <si>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</si>
  <si>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</si>
  <si>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</si>
  <si>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</si>
  <si>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</si>
  <si>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</si>
  <si>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</si>
  <si>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</si>
  <si>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</si>
  <si>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</si>
  <si>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</si>
  <si>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</si>
  <si>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</si>
  <si>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</si>
  <si>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</si>
  <si>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</si>
  <si>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</si>
  <si>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</si>
  <si>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</si>
  <si>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</si>
  <si>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</si>
  <si>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</si>
  <si>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</si>
  <si>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</si>
  <si>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</si>
  <si>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</si>
  <si>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</si>
  <si>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</si>
  <si>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</si>
  <si>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</si>
  <si>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</si>
  <si>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</si>
  <si>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</si>
  <si>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</si>
  <si>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</si>
  <si>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</si>
  <si>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</si>
  <si>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</si>
  <si>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</si>
  <si>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</si>
  <si>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</si>
  <si>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</si>
  <si>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</si>
  <si>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</si>
  <si>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</si>
  <si>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</si>
  <si>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</si>
  <si>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</si>
  <si>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</si>
  <si>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</si>
  <si>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</si>
  <si>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</si>
  <si>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</si>
  <si>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</si>
  <si>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</si>
  <si>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</si>
  <si>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</si>
  <si>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</si>
  <si>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</si>
  <si>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</si>
  <si>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</si>
  <si>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</si>
  <si>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</si>
  <si>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</si>
  <si>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</si>
  <si>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</si>
  <si>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</si>
  <si>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</si>
  <si>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</si>
  <si>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</si>
  <si>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</si>
  <si>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</si>
  <si>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</si>
  <si>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</si>
  <si>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</si>
  <si>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</si>
  <si>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</si>
  <si>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</si>
  <si>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</si>
  <si>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</si>
  <si>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</si>
  <si>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</si>
  <si>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</si>
  <si>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</si>
  <si>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</si>
  <si>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</si>
  <si>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</si>
  <si>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</si>
  <si>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</si>
  <si>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</si>
  <si>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</si>
  <si>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</si>
  <si>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</si>
  <si>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</si>
  <si>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</si>
  <si>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</si>
  <si>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</si>
  <si>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</si>
  <si>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</si>
  <si>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</si>
  <si>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</si>
  <si>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</si>
  <si>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</si>
  <si>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</si>
  <si>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</si>
  <si>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</si>
  <si>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</si>
  <si>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</si>
  <si>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</si>
  <si>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</si>
  <si>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</si>
  <si>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</si>
  <si>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</si>
  <si>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</si>
  <si>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</si>
  <si>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</si>
  <si>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</si>
  <si>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</si>
  <si>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</si>
  <si>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</si>
  <si>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</si>
  <si>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</si>
  <si>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</si>
  <si>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</si>
  <si>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</si>
  <si>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</si>
  <si>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</si>
  <si>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</si>
  <si>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</si>
  <si>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</si>
  <si>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</si>
  <si>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</si>
  <si>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</si>
  <si>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</si>
  <si>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</si>
  <si>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</si>
  <si>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</si>
  <si>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</si>
  <si>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</si>
  <si>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</si>
  <si>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</si>
  <si>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</si>
  <si>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</si>
  <si>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</si>
  <si>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</si>
  <si>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</si>
  <si>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</si>
  <si>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</si>
  <si>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</si>
  <si>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</si>
  <si>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</si>
  <si>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</si>
  <si>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</si>
  <si>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</si>
  <si>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</si>
  <si>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</si>
  <si>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</si>
  <si>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</si>
  <si>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</si>
  <si>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</si>
  <si>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</si>
  <si>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</si>
  <si>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</si>
  <si>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</si>
  <si>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</si>
  <si>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</si>
  <si>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</si>
  <si>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</si>
  <si>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</si>
  <si>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</si>
  <si>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</si>
  <si>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</si>
  <si>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</si>
  <si>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</si>
  <si>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</si>
  <si>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</si>
  <si>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</si>
  <si>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</si>
  <si>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</si>
  <si>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</si>
  <si>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</si>
  <si>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</si>
  <si>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</si>
  <si>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</si>
  <si>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</si>
  <si>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</si>
  <si>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</si>
  <si>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</si>
  <si>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</si>
  <si>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</si>
  <si>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</si>
  <si>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</si>
  <si>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</si>
  <si>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</si>
  <si>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</si>
  <si>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</si>
  <si>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</si>
  <si>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</si>
  <si>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</si>
  <si>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</si>
  <si>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</si>
  <si>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</si>
  <si>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</si>
  <si>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</si>
  <si>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</si>
  <si>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</si>
  <si>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</si>
  <si>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</si>
  <si>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</si>
  <si>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</si>
  <si>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</si>
  <si>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41002</t>
  </si>
  <si>
    <t>AALST</t>
  </si>
  <si>
    <t>Mestbank (maart 2019)</t>
  </si>
  <si>
    <t>Fluvius (februari 2019)</t>
  </si>
  <si>
    <t>referentietaak LNE (2017); Jaarverslag De Lijn (2018)</t>
  </si>
  <si>
    <t>VEA (30 april 2019)</t>
  </si>
  <si>
    <t>VEA (mei 2018)</t>
  </si>
  <si>
    <t>VEA (mei 2019)</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</si>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</sst>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590167.24707759754</c:v>
                </c:pt>
                <c:pt idx="1">
                  <c:v>327966.88400201238</c:v>
                </c:pt>
                <c:pt idx="2">
                  <c:v>3982.2939999999999</c:v>
                </c:pt>
                <c:pt idx="3">
                  <c:v>8807.3654202576927</c:v>
                </c:pt>
                <c:pt idx="4">
                  <c:v>276268.79000550148</c:v>
                </c:pt>
                <c:pt idx="5">
                  <c:v>619521.74340955191</c:v>
                </c:pt>
                <c:pt idx="6">
                  <c:v>10794.58268769548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590167.24707759754</c:v>
                </c:pt>
                <c:pt idx="1">
                  <c:v>327966.88400201238</c:v>
                </c:pt>
                <c:pt idx="2">
                  <c:v>3982.2939999999999</c:v>
                </c:pt>
                <c:pt idx="3">
                  <c:v>8807.3654202576927</c:v>
                </c:pt>
                <c:pt idx="4">
                  <c:v>276268.79000550148</c:v>
                </c:pt>
                <c:pt idx="5">
                  <c:v>619521.74340955191</c:v>
                </c:pt>
                <c:pt idx="6">
                  <c:v>10794.58268769548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109428.6392922877</c:v>
                </c:pt>
                <c:pt idx="1">
                  <c:v>66102.762626896816</c:v>
                </c:pt>
                <c:pt idx="2">
                  <c:v>825.24301814879175</c:v>
                </c:pt>
                <c:pt idx="3">
                  <c:v>2245.8300567543833</c:v>
                </c:pt>
                <c:pt idx="4">
                  <c:v>57759.537159302439</c:v>
                </c:pt>
                <c:pt idx="5">
                  <c:v>154120.42333874686</c:v>
                </c:pt>
                <c:pt idx="6">
                  <c:v>2730.3977675901174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109428.6392922877</c:v>
                </c:pt>
                <c:pt idx="1">
                  <c:v>66102.762626896816</c:v>
                </c:pt>
                <c:pt idx="2">
                  <c:v>825.24301814879175</c:v>
                </c:pt>
                <c:pt idx="3">
                  <c:v>2245.8300567543833</c:v>
                </c:pt>
                <c:pt idx="4">
                  <c:v>57759.537159302439</c:v>
                </c:pt>
                <c:pt idx="5">
                  <c:v>154120.42333874686</c:v>
                </c:pt>
                <c:pt idx="6">
                  <c:v>2730.3977675901174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132361.40641899998</v>
      </c>
      <c r="D10" s="712">
        <f ca="1">tertiair!C16</f>
        <v>4095</v>
      </c>
      <c r="E10" s="712">
        <f ca="1">tertiair!D16</f>
        <v>170809.43851145401</v>
      </c>
      <c r="F10" s="712">
        <f>tertiair!E16</f>
        <v>1788.1260882018123</v>
      </c>
      <c r="G10" s="712">
        <f ca="1">tertiair!F16</f>
        <v>13544.405684155437</v>
      </c>
      <c r="H10" s="712">
        <f>tertiair!G16</f>
        <v>0</v>
      </c>
      <c r="I10" s="712">
        <f>tertiair!H16</f>
        <v>0</v>
      </c>
      <c r="J10" s="712">
        <f>tertiair!I16</f>
        <v>0</v>
      </c>
      <c r="K10" s="712">
        <f>tertiair!J16</f>
        <v>0.21847202490894047</v>
      </c>
      <c r="L10" s="712">
        <f>tertiair!K16</f>
        <v>0</v>
      </c>
      <c r="M10" s="712">
        <f ca="1">tertiair!L16</f>
        <v>0</v>
      </c>
      <c r="N10" s="712">
        <f>tertiair!M16</f>
        <v>0</v>
      </c>
      <c r="O10" s="712">
        <f ca="1">tertiair!N16</f>
        <v>8733.4742196780735</v>
      </c>
      <c r="P10" s="712">
        <f>tertiair!O16</f>
        <v>39.178086126729234</v>
      </c>
      <c r="Q10" s="713">
        <f>tertiair!P16</f>
        <v>577.93052137144514</v>
      </c>
      <c r="R10" s="715">
        <f ca="1">SUM(C10:Q10)</f>
        <v>331949.17800201237</v>
      </c>
      <c r="S10" s="67"/>
    </row>
    <row r="11" spans="1:19" s="474" customFormat="1">
      <c r="A11" s="834" t="s">
        <v>224</v>
      </c>
      <c r="B11" s="839"/>
      <c r="C11" s="712">
        <f>huishoudens!B8</f>
        <v>142536.12594866595</v>
      </c>
      <c r="D11" s="712">
        <f>huishoudens!C8</f>
        <v>0</v>
      </c>
      <c r="E11" s="712">
        <f>huishoudens!D8</f>
        <v>346101.87272394798</v>
      </c>
      <c r="F11" s="712">
        <f>huishoudens!E8</f>
        <v>43958.49180028111</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54404.248146838559</v>
      </c>
      <c r="P11" s="712">
        <f>huishoudens!O8</f>
        <v>1122.9203521730601</v>
      </c>
      <c r="Q11" s="713">
        <f>huishoudens!P8</f>
        <v>2043.5881056908947</v>
      </c>
      <c r="R11" s="715">
        <f>SUM(C11:Q11)</f>
        <v>590167.24707759754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99245.844660999996</v>
      </c>
      <c r="D13" s="712">
        <f>industrie!C18</f>
        <v>0</v>
      </c>
      <c r="E13" s="712">
        <f>industrie!D18</f>
        <v>130754.06898153601</v>
      </c>
      <c r="F13" s="712">
        <f>industrie!E18</f>
        <v>9519.959336818627</v>
      </c>
      <c r="G13" s="712">
        <f>industrie!F18</f>
        <v>31656.012410128493</v>
      </c>
      <c r="H13" s="712">
        <f>industrie!G18</f>
        <v>0</v>
      </c>
      <c r="I13" s="712">
        <f>industrie!H18</f>
        <v>0</v>
      </c>
      <c r="J13" s="712">
        <f>industrie!I18</f>
        <v>0</v>
      </c>
      <c r="K13" s="712">
        <f>industrie!J18</f>
        <v>473.1817292641453</v>
      </c>
      <c r="L13" s="712">
        <f>industrie!K18</f>
        <v>0</v>
      </c>
      <c r="M13" s="712">
        <f>industrie!L18</f>
        <v>0</v>
      </c>
      <c r="N13" s="712">
        <f>industrie!M18</f>
        <v>0</v>
      </c>
      <c r="O13" s="712">
        <f>industrie!N18</f>
        <v>4619.7228867542144</v>
      </c>
      <c r="P13" s="712">
        <f>industrie!O18</f>
        <v>0</v>
      </c>
      <c r="Q13" s="713">
        <f>industrie!P18</f>
        <v>0</v>
      </c>
      <c r="R13" s="715">
        <f>SUM(C13:Q13)</f>
        <v>276268.79000550148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374143.37702866591</v>
      </c>
      <c r="D16" s="748">
        <f t="shared" ref="D16:R16" ca="1" si="0">SUM(D9:D15)</f>
        <v>4095</v>
      </c>
      <c r="E16" s="748">
        <f t="shared" ca="1" si="0"/>
        <v>647665.38021693798</v>
      </c>
      <c r="F16" s="748">
        <f t="shared" si="0"/>
        <v>55266.577225301546</v>
      </c>
      <c r="G16" s="748">
        <f t="shared" ca="1" si="0"/>
        <v>45200.41809428393</v>
      </c>
      <c r="H16" s="748">
        <f t="shared" si="0"/>
        <v>0</v>
      </c>
      <c r="I16" s="748">
        <f t="shared" si="0"/>
        <v>0</v>
      </c>
      <c r="J16" s="748">
        <f t="shared" si="0"/>
        <v>0</v>
      </c>
      <c r="K16" s="748">
        <f t="shared" si="0"/>
        <v>473.40020128905422</v>
      </c>
      <c r="L16" s="748">
        <f t="shared" si="0"/>
        <v>0</v>
      </c>
      <c r="M16" s="748">
        <f t="shared" ca="1" si="0"/>
        <v>0</v>
      </c>
      <c r="N16" s="748">
        <f t="shared" si="0"/>
        <v>0</v>
      </c>
      <c r="O16" s="748">
        <f t="shared" ca="1" si="0"/>
        <v>67757.445253270853</v>
      </c>
      <c r="P16" s="748">
        <f t="shared" si="0"/>
        <v>1162.0984382997894</v>
      </c>
      <c r="Q16" s="748">
        <f t="shared" si="0"/>
        <v>2621.5186270623399</v>
      </c>
      <c r="R16" s="748">
        <f t="shared" ca="1" si="0"/>
        <v>1198385.2150851116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10226.208867378717</v>
      </c>
      <c r="I19" s="712">
        <f>transport!H54</f>
        <v>0</v>
      </c>
      <c r="J19" s="712">
        <f>transport!I54</f>
        <v>0</v>
      </c>
      <c r="K19" s="712">
        <f>transport!J54</f>
        <v>0</v>
      </c>
      <c r="L19" s="712">
        <f>transport!K54</f>
        <v>0</v>
      </c>
      <c r="M19" s="712">
        <f>transport!L54</f>
        <v>0</v>
      </c>
      <c r="N19" s="712">
        <f>transport!M54</f>
        <v>568.37382031676304</v>
      </c>
      <c r="O19" s="712">
        <f>transport!N54</f>
        <v>0</v>
      </c>
      <c r="P19" s="712">
        <f>transport!O54</f>
        <v>0</v>
      </c>
      <c r="Q19" s="713">
        <f>transport!P54</f>
        <v>0</v>
      </c>
      <c r="R19" s="715">
        <f>SUM(C19:Q19)</f>
        <v>10794.58268769548</v>
      </c>
      <c r="S19" s="67"/>
    </row>
    <row r="20" spans="1:19" s="474" customFormat="1">
      <c r="A20" s="834" t="s">
        <v>306</v>
      </c>
      <c r="B20" s="839"/>
      <c r="C20" s="712">
        <f>transport!B14</f>
        <v>342.40447974027774</v>
      </c>
      <c r="D20" s="712">
        <f>transport!C14</f>
        <v>0</v>
      </c>
      <c r="E20" s="712">
        <f>transport!D14</f>
        <v>1422.2447558416145</v>
      </c>
      <c r="F20" s="712">
        <f>transport!E14</f>
        <v>1201.5498672479996</v>
      </c>
      <c r="G20" s="712">
        <f>transport!F14</f>
        <v>0</v>
      </c>
      <c r="H20" s="712">
        <f>transport!G14</f>
        <v>474498.50766470213</v>
      </c>
      <c r="I20" s="712">
        <f>transport!H14</f>
        <v>107623.77798895598</v>
      </c>
      <c r="J20" s="712">
        <f>transport!I14</f>
        <v>0</v>
      </c>
      <c r="K20" s="712">
        <f>transport!J14</f>
        <v>0</v>
      </c>
      <c r="L20" s="712">
        <f>transport!K14</f>
        <v>0</v>
      </c>
      <c r="M20" s="712">
        <f>transport!L14</f>
        <v>0</v>
      </c>
      <c r="N20" s="712">
        <f>transport!M14</f>
        <v>34433.258653063953</v>
      </c>
      <c r="O20" s="712">
        <f>transport!N14</f>
        <v>0</v>
      </c>
      <c r="P20" s="712">
        <f>transport!O14</f>
        <v>0</v>
      </c>
      <c r="Q20" s="713">
        <f>transport!P14</f>
        <v>0</v>
      </c>
      <c r="R20" s="715">
        <f>SUM(C20:Q20)</f>
        <v>619521.74340955191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342.40447974027774</v>
      </c>
      <c r="D22" s="837">
        <f t="shared" ref="D22:R22" si="1">SUM(D18:D21)</f>
        <v>0</v>
      </c>
      <c r="E22" s="837">
        <f t="shared" si="1"/>
        <v>1422.2447558416145</v>
      </c>
      <c r="F22" s="837">
        <f t="shared" si="1"/>
        <v>1201.5498672479996</v>
      </c>
      <c r="G22" s="837">
        <f t="shared" si="1"/>
        <v>0</v>
      </c>
      <c r="H22" s="837">
        <f t="shared" si="1"/>
        <v>484724.71653208084</v>
      </c>
      <c r="I22" s="837">
        <f t="shared" si="1"/>
        <v>107623.77798895598</v>
      </c>
      <c r="J22" s="837">
        <f t="shared" si="1"/>
        <v>0</v>
      </c>
      <c r="K22" s="837">
        <f t="shared" si="1"/>
        <v>0</v>
      </c>
      <c r="L22" s="837">
        <f t="shared" si="1"/>
        <v>0</v>
      </c>
      <c r="M22" s="837">
        <f t="shared" si="1"/>
        <v>0</v>
      </c>
      <c r="N22" s="837">
        <f t="shared" si="1"/>
        <v>35001.632473380712</v>
      </c>
      <c r="O22" s="837">
        <f t="shared" si="1"/>
        <v>0</v>
      </c>
      <c r="P22" s="837">
        <f t="shared" si="1"/>
        <v>0</v>
      </c>
      <c r="Q22" s="837">
        <f t="shared" si="1"/>
        <v>0</v>
      </c>
      <c r="R22" s="837">
        <f t="shared" si="1"/>
        <v>630316.32609724742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1681.3327140000001</v>
      </c>
      <c r="D24" s="712">
        <f>+landbouw!C8</f>
        <v>0</v>
      </c>
      <c r="E24" s="712">
        <f>+landbouw!D8</f>
        <v>668.32397975200001</v>
      </c>
      <c r="F24" s="712">
        <f>+landbouw!E8</f>
        <v>52.473839568810419</v>
      </c>
      <c r="G24" s="712">
        <f>+landbouw!F8</f>
        <v>5942.0160642896981</v>
      </c>
      <c r="H24" s="712">
        <f>+landbouw!G8</f>
        <v>0</v>
      </c>
      <c r="I24" s="712">
        <f>+landbouw!H8</f>
        <v>0</v>
      </c>
      <c r="J24" s="712">
        <f>+landbouw!I8</f>
        <v>0</v>
      </c>
      <c r="K24" s="712">
        <f>+landbouw!J8</f>
        <v>463.21882264718471</v>
      </c>
      <c r="L24" s="712">
        <f>+landbouw!K8</f>
        <v>0</v>
      </c>
      <c r="M24" s="712">
        <f>+landbouw!L8</f>
        <v>0</v>
      </c>
      <c r="N24" s="712">
        <f>+landbouw!M8</f>
        <v>0</v>
      </c>
      <c r="O24" s="712">
        <f>+landbouw!N8</f>
        <v>0</v>
      </c>
      <c r="P24" s="712">
        <f>+landbouw!O8</f>
        <v>0</v>
      </c>
      <c r="Q24" s="713">
        <f>+landbouw!P8</f>
        <v>0</v>
      </c>
      <c r="R24" s="715">
        <f>SUM(C24:Q24)</f>
        <v>8807.3654202576927</v>
      </c>
      <c r="S24" s="67"/>
    </row>
    <row r="25" spans="1:19" s="474" customFormat="1" ht="15" thickBot="1">
      <c r="A25" s="856" t="s">
        <v>734</v>
      </c>
      <c r="B25" s="982"/>
      <c r="C25" s="983">
        <f>IF(Onbekend_ele_kWh="---",0,Onbekend_ele_kWh)/1000+IF(REST_rest_ele_kWh="---",0,REST_rest_ele_kWh)/1000</f>
        <v>7331.1376780000001</v>
      </c>
      <c r="D25" s="983"/>
      <c r="E25" s="983">
        <f>IF(onbekend_gas_kWh="---",0,onbekend_gas_kWh)/1000+IF(REST_rest_gas_kWh="---",0,REST_rest_gas_kWh)/1000</f>
        <v>22330.20866</v>
      </c>
      <c r="F25" s="983"/>
      <c r="G25" s="983"/>
      <c r="H25" s="983"/>
      <c r="I25" s="983"/>
      <c r="J25" s="983"/>
      <c r="K25" s="983"/>
      <c r="L25" s="983"/>
      <c r="M25" s="983"/>
      <c r="N25" s="983"/>
      <c r="O25" s="983"/>
      <c r="P25" s="983"/>
      <c r="Q25" s="984"/>
      <c r="R25" s="715">
        <f>SUM(C25:Q25)</f>
        <v>29661.346337999999</v>
      </c>
      <c r="S25" s="67"/>
    </row>
    <row r="26" spans="1:19" s="474" customFormat="1" ht="15.75" thickBot="1">
      <c r="A26" s="720" t="s">
        <v>735</v>
      </c>
      <c r="B26" s="842"/>
      <c r="C26" s="837">
        <f>SUM(C24:C25)</f>
        <v>9012.4703919999993</v>
      </c>
      <c r="D26" s="837">
        <f t="shared" ref="D26:R26" si="2">SUM(D24:D25)</f>
        <v>0</v>
      </c>
      <c r="E26" s="837">
        <f t="shared" si="2"/>
        <v>22998.532639752</v>
      </c>
      <c r="F26" s="837">
        <f t="shared" si="2"/>
        <v>52.473839568810419</v>
      </c>
      <c r="G26" s="837">
        <f t="shared" si="2"/>
        <v>5942.0160642896981</v>
      </c>
      <c r="H26" s="837">
        <f t="shared" si="2"/>
        <v>0</v>
      </c>
      <c r="I26" s="837">
        <f t="shared" si="2"/>
        <v>0</v>
      </c>
      <c r="J26" s="837">
        <f t="shared" si="2"/>
        <v>0</v>
      </c>
      <c r="K26" s="837">
        <f t="shared" si="2"/>
        <v>463.21882264718471</v>
      </c>
      <c r="L26" s="837">
        <f t="shared" si="2"/>
        <v>0</v>
      </c>
      <c r="M26" s="837">
        <f t="shared" si="2"/>
        <v>0</v>
      </c>
      <c r="N26" s="837">
        <f t="shared" si="2"/>
        <v>0</v>
      </c>
      <c r="O26" s="837">
        <f t="shared" si="2"/>
        <v>0</v>
      </c>
      <c r="P26" s="837">
        <f t="shared" si="2"/>
        <v>0</v>
      </c>
      <c r="Q26" s="837">
        <f t="shared" si="2"/>
        <v>0</v>
      </c>
      <c r="R26" s="837">
        <f t="shared" si="2"/>
        <v>38468.71175825769</v>
      </c>
      <c r="S26" s="67"/>
    </row>
    <row r="27" spans="1:19" s="474" customFormat="1" ht="17.25" thickTop="1" thickBot="1">
      <c r="A27" s="721" t="s">
        <v>115</v>
      </c>
      <c r="B27" s="829"/>
      <c r="C27" s="722">
        <f ca="1">C22+C16+C26</f>
        <v>383498.25190040621</v>
      </c>
      <c r="D27" s="722">
        <f t="shared" ref="D27:R27" ca="1" si="3">D22+D16+D26</f>
        <v>4095</v>
      </c>
      <c r="E27" s="722">
        <f t="shared" ca="1" si="3"/>
        <v>672086.15761253156</v>
      </c>
      <c r="F27" s="722">
        <f t="shared" si="3"/>
        <v>56520.600932118359</v>
      </c>
      <c r="G27" s="722">
        <f t="shared" ca="1" si="3"/>
        <v>51142.434158573626</v>
      </c>
      <c r="H27" s="722">
        <f t="shared" si="3"/>
        <v>484724.71653208084</v>
      </c>
      <c r="I27" s="722">
        <f t="shared" si="3"/>
        <v>107623.77798895598</v>
      </c>
      <c r="J27" s="722">
        <f t="shared" si="3"/>
        <v>0</v>
      </c>
      <c r="K27" s="722">
        <f t="shared" si="3"/>
        <v>936.61902393623893</v>
      </c>
      <c r="L27" s="722">
        <f t="shared" si="3"/>
        <v>0</v>
      </c>
      <c r="M27" s="722">
        <f t="shared" ca="1" si="3"/>
        <v>0</v>
      </c>
      <c r="N27" s="722">
        <f t="shared" si="3"/>
        <v>35001.632473380712</v>
      </c>
      <c r="O27" s="722">
        <f t="shared" ca="1" si="3"/>
        <v>67757.445253270853</v>
      </c>
      <c r="P27" s="722">
        <f t="shared" si="3"/>
        <v>1162.0984382997894</v>
      </c>
      <c r="Q27" s="722">
        <f t="shared" si="3"/>
        <v>2621.5186270623399</v>
      </c>
      <c r="R27" s="722">
        <f t="shared" ca="1" si="3"/>
        <v>1867170.2529406166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27428.996081061417</v>
      </c>
      <c r="D40" s="712">
        <f ca="1">tertiair!C20</f>
        <v>973.16470588235302</v>
      </c>
      <c r="E40" s="712">
        <f ca="1">tertiair!D20</f>
        <v>34503.506579313711</v>
      </c>
      <c r="F40" s="712">
        <f>tertiair!E20</f>
        <v>405.90462202181141</v>
      </c>
      <c r="G40" s="712">
        <f ca="1">tertiair!F20</f>
        <v>3616.356317669502</v>
      </c>
      <c r="H40" s="712">
        <f>tertiair!G20</f>
        <v>0</v>
      </c>
      <c r="I40" s="712">
        <f>tertiair!H20</f>
        <v>0</v>
      </c>
      <c r="J40" s="712">
        <f>tertiair!I20</f>
        <v>0</v>
      </c>
      <c r="K40" s="712">
        <f>tertiair!J20</f>
        <v>7.7339096817764921E-2</v>
      </c>
      <c r="L40" s="712">
        <f>tertiair!K20</f>
        <v>0</v>
      </c>
      <c r="M40" s="712">
        <f ca="1">tertiair!L20</f>
        <v>0</v>
      </c>
      <c r="N40" s="712">
        <f>tertiair!M20</f>
        <v>0</v>
      </c>
      <c r="O40" s="712">
        <f ca="1">tertiair!N20</f>
        <v>0</v>
      </c>
      <c r="P40" s="712">
        <f>tertiair!O20</f>
        <v>0</v>
      </c>
      <c r="Q40" s="795">
        <f>tertiair!P20</f>
        <v>0</v>
      </c>
      <c r="R40" s="875">
        <f t="shared" ca="1" si="4"/>
        <v>66928.005645045618</v>
      </c>
    </row>
    <row r="41" spans="1:18">
      <c r="A41" s="847" t="s">
        <v>224</v>
      </c>
      <c r="B41" s="854"/>
      <c r="C41" s="712">
        <f ca="1">huishoudens!B12</f>
        <v>29537.483363386382</v>
      </c>
      <c r="D41" s="712">
        <f ca="1">huishoudens!C12</f>
        <v>0</v>
      </c>
      <c r="E41" s="712">
        <f>huishoudens!D12</f>
        <v>69912.578290237492</v>
      </c>
      <c r="F41" s="712">
        <f>huishoudens!E12</f>
        <v>9978.5776386638117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109428.6392922877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20566.522809910515</v>
      </c>
      <c r="D43" s="712">
        <f ca="1">industrie!C22</f>
        <v>0</v>
      </c>
      <c r="E43" s="712">
        <f>industrie!D22</f>
        <v>26412.321934270276</v>
      </c>
      <c r="F43" s="712">
        <f>industrie!E22</f>
        <v>2161.0307694578282</v>
      </c>
      <c r="G43" s="712">
        <f>industrie!F22</f>
        <v>8452.1553135043087</v>
      </c>
      <c r="H43" s="712">
        <f>industrie!G22</f>
        <v>0</v>
      </c>
      <c r="I43" s="712">
        <f>industrie!H22</f>
        <v>0</v>
      </c>
      <c r="J43" s="712">
        <f>industrie!I22</f>
        <v>0</v>
      </c>
      <c r="K43" s="712">
        <f>industrie!J22</f>
        <v>167.50633215950742</v>
      </c>
      <c r="L43" s="712">
        <f>industrie!K22</f>
        <v>0</v>
      </c>
      <c r="M43" s="712">
        <f>industrie!L22</f>
        <v>0</v>
      </c>
      <c r="N43" s="712">
        <f>industrie!M22</f>
        <v>0</v>
      </c>
      <c r="O43" s="712">
        <f>industrie!N22</f>
        <v>0</v>
      </c>
      <c r="P43" s="712">
        <f>industrie!O22</f>
        <v>0</v>
      </c>
      <c r="Q43" s="795">
        <f>industrie!P22</f>
        <v>0</v>
      </c>
      <c r="R43" s="874">
        <f t="shared" ca="1" si="4"/>
        <v>57759.537159302439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77533.002254358318</v>
      </c>
      <c r="D46" s="748">
        <f t="shared" ref="D46:Q46" ca="1" si="5">SUM(D39:D45)</f>
        <v>973.16470588235302</v>
      </c>
      <c r="E46" s="748">
        <f t="shared" ca="1" si="5"/>
        <v>130828.40680382149</v>
      </c>
      <c r="F46" s="748">
        <f t="shared" si="5"/>
        <v>12545.513030143451</v>
      </c>
      <c r="G46" s="748">
        <f t="shared" ca="1" si="5"/>
        <v>12068.511631173811</v>
      </c>
      <c r="H46" s="748">
        <f t="shared" si="5"/>
        <v>0</v>
      </c>
      <c r="I46" s="748">
        <f t="shared" si="5"/>
        <v>0</v>
      </c>
      <c r="J46" s="748">
        <f t="shared" si="5"/>
        <v>0</v>
      </c>
      <c r="K46" s="748">
        <f t="shared" si="5"/>
        <v>167.58367125632518</v>
      </c>
      <c r="L46" s="748">
        <f t="shared" si="5"/>
        <v>0</v>
      </c>
      <c r="M46" s="748">
        <f t="shared" ca="1" si="5"/>
        <v>0</v>
      </c>
      <c r="N46" s="748">
        <f t="shared" si="5"/>
        <v>0</v>
      </c>
      <c r="O46" s="748">
        <f t="shared" ca="1" si="5"/>
        <v>0</v>
      </c>
      <c r="P46" s="748">
        <f t="shared" si="5"/>
        <v>0</v>
      </c>
      <c r="Q46" s="748">
        <f t="shared" si="5"/>
        <v>0</v>
      </c>
      <c r="R46" s="748">
        <f ca="1">SUM(R39:R45)</f>
        <v>234116.18209663575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2730.3977675901174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2730.3977675901174</v>
      </c>
    </row>
    <row r="50" spans="1:18">
      <c r="A50" s="850" t="s">
        <v>306</v>
      </c>
      <c r="B50" s="860"/>
      <c r="C50" s="718">
        <f ca="1">transport!B18</f>
        <v>70.955812476058682</v>
      </c>
      <c r="D50" s="718">
        <f>transport!C18</f>
        <v>0</v>
      </c>
      <c r="E50" s="718">
        <f>transport!D18</f>
        <v>287.29344068000614</v>
      </c>
      <c r="F50" s="718">
        <f>transport!E18</f>
        <v>272.75181986529594</v>
      </c>
      <c r="G50" s="718">
        <f>transport!F18</f>
        <v>0</v>
      </c>
      <c r="H50" s="718">
        <f>transport!G18</f>
        <v>126691.10154647547</v>
      </c>
      <c r="I50" s="718">
        <f>transport!H18</f>
        <v>26798.320719250038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154120.42333874686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70.955812476058682</v>
      </c>
      <c r="D52" s="748">
        <f t="shared" ref="D52:Q52" ca="1" si="6">SUM(D48:D51)</f>
        <v>0</v>
      </c>
      <c r="E52" s="748">
        <f t="shared" si="6"/>
        <v>287.29344068000614</v>
      </c>
      <c r="F52" s="748">
        <f t="shared" si="6"/>
        <v>272.75181986529594</v>
      </c>
      <c r="G52" s="748">
        <f t="shared" si="6"/>
        <v>0</v>
      </c>
      <c r="H52" s="748">
        <f t="shared" si="6"/>
        <v>129421.49931406559</v>
      </c>
      <c r="I52" s="748">
        <f t="shared" si="6"/>
        <v>26798.320719250038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156850.82110633698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348.41929887990676</v>
      </c>
      <c r="D54" s="718">
        <f ca="1">+landbouw!C12</f>
        <v>0</v>
      </c>
      <c r="E54" s="718">
        <f>+landbouw!D12</f>
        <v>135.001443909904</v>
      </c>
      <c r="F54" s="718">
        <f>+landbouw!E12</f>
        <v>11.911561582119965</v>
      </c>
      <c r="G54" s="718">
        <f>+landbouw!F12</f>
        <v>1586.5182891653494</v>
      </c>
      <c r="H54" s="718">
        <f>+landbouw!G12</f>
        <v>0</v>
      </c>
      <c r="I54" s="718">
        <f>+landbouw!H12</f>
        <v>0</v>
      </c>
      <c r="J54" s="718">
        <f>+landbouw!I12</f>
        <v>0</v>
      </c>
      <c r="K54" s="718">
        <f>+landbouw!J12</f>
        <v>163.97946321710339</v>
      </c>
      <c r="L54" s="718">
        <f>+landbouw!K12</f>
        <v>0</v>
      </c>
      <c r="M54" s="718">
        <f>+landbouw!L12</f>
        <v>0</v>
      </c>
      <c r="N54" s="718">
        <f>+landbouw!M12</f>
        <v>0</v>
      </c>
      <c r="O54" s="718">
        <f>+landbouw!N12</f>
        <v>0</v>
      </c>
      <c r="P54" s="718">
        <f>+landbouw!O12</f>
        <v>0</v>
      </c>
      <c r="Q54" s="719">
        <f>+landbouw!P12</f>
        <v>0</v>
      </c>
      <c r="R54" s="747">
        <f ca="1">SUM(C54:Q54)</f>
        <v>2245.8300567543833</v>
      </c>
    </row>
    <row r="55" spans="1:18" ht="15" thickBot="1">
      <c r="A55" s="850" t="s">
        <v>734</v>
      </c>
      <c r="B55" s="860"/>
      <c r="C55" s="718">
        <f ca="1">C25*'EF ele_warmte'!B12</f>
        <v>1519.2173616154521</v>
      </c>
      <c r="D55" s="718"/>
      <c r="E55" s="718">
        <f>E25*EF_CO2_aardgas</f>
        <v>4510.70214932</v>
      </c>
      <c r="F55" s="718"/>
      <c r="G55" s="718"/>
      <c r="H55" s="718"/>
      <c r="I55" s="718"/>
      <c r="J55" s="718"/>
      <c r="K55" s="718"/>
      <c r="L55" s="718"/>
      <c r="M55" s="718"/>
      <c r="N55" s="718"/>
      <c r="O55" s="718"/>
      <c r="P55" s="718"/>
      <c r="Q55" s="719"/>
      <c r="R55" s="747">
        <f ca="1">SUM(C55:Q55)</f>
        <v>6029.9195109354523</v>
      </c>
    </row>
    <row r="56" spans="1:18" ht="15.75" thickBot="1">
      <c r="A56" s="848" t="s">
        <v>735</v>
      </c>
      <c r="B56" s="861"/>
      <c r="C56" s="748">
        <f ca="1">SUM(C54:C55)</f>
        <v>1867.6366604953589</v>
      </c>
      <c r="D56" s="748">
        <f t="shared" ref="D56:Q56" ca="1" si="7">SUM(D54:D55)</f>
        <v>0</v>
      </c>
      <c r="E56" s="748">
        <f t="shared" si="7"/>
        <v>4645.7035932299041</v>
      </c>
      <c r="F56" s="748">
        <f t="shared" si="7"/>
        <v>11.911561582119965</v>
      </c>
      <c r="G56" s="748">
        <f t="shared" si="7"/>
        <v>1586.5182891653494</v>
      </c>
      <c r="H56" s="748">
        <f t="shared" si="7"/>
        <v>0</v>
      </c>
      <c r="I56" s="748">
        <f t="shared" si="7"/>
        <v>0</v>
      </c>
      <c r="J56" s="748">
        <f t="shared" si="7"/>
        <v>0</v>
      </c>
      <c r="K56" s="748">
        <f t="shared" si="7"/>
        <v>163.97946321710339</v>
      </c>
      <c r="L56" s="748">
        <f t="shared" si="7"/>
        <v>0</v>
      </c>
      <c r="M56" s="748">
        <f t="shared" si="7"/>
        <v>0</v>
      </c>
      <c r="N56" s="748">
        <f t="shared" si="7"/>
        <v>0</v>
      </c>
      <c r="O56" s="748">
        <f t="shared" si="7"/>
        <v>0</v>
      </c>
      <c r="P56" s="748">
        <f t="shared" si="7"/>
        <v>0</v>
      </c>
      <c r="Q56" s="749">
        <f t="shared" si="7"/>
        <v>0</v>
      </c>
      <c r="R56" s="750">
        <f ca="1">SUM(R54:R55)</f>
        <v>8275.7495676898361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79471.594727329735</v>
      </c>
      <c r="D61" s="756">
        <f t="shared" ref="D61:Q61" ca="1" si="8">D46+D52+D56</f>
        <v>973.16470588235302</v>
      </c>
      <c r="E61" s="756">
        <f t="shared" ca="1" si="8"/>
        <v>135761.4038377314</v>
      </c>
      <c r="F61" s="756">
        <f t="shared" si="8"/>
        <v>12830.176411590866</v>
      </c>
      <c r="G61" s="756">
        <f t="shared" ca="1" si="8"/>
        <v>13655.029920339161</v>
      </c>
      <c r="H61" s="756">
        <f t="shared" si="8"/>
        <v>129421.49931406559</v>
      </c>
      <c r="I61" s="756">
        <f t="shared" si="8"/>
        <v>26798.320719250038</v>
      </c>
      <c r="J61" s="756">
        <f t="shared" si="8"/>
        <v>0</v>
      </c>
      <c r="K61" s="756">
        <f t="shared" si="8"/>
        <v>331.56313447342859</v>
      </c>
      <c r="L61" s="756">
        <f t="shared" si="8"/>
        <v>0</v>
      </c>
      <c r="M61" s="756">
        <f t="shared" ca="1" si="8"/>
        <v>0</v>
      </c>
      <c r="N61" s="756">
        <f t="shared" si="8"/>
        <v>0</v>
      </c>
      <c r="O61" s="756">
        <f t="shared" ca="1" si="8"/>
        <v>0</v>
      </c>
      <c r="P61" s="756">
        <f t="shared" si="8"/>
        <v>0</v>
      </c>
      <c r="Q61" s="756">
        <f t="shared" si="8"/>
        <v>0</v>
      </c>
      <c r="R61" s="756">
        <f ca="1">R46+R52+R56</f>
        <v>399242.75277066254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0.20722804949830217</v>
      </c>
      <c r="D63" s="802">
        <f t="shared" ca="1" si="9"/>
        <v>0.23764705882352943</v>
      </c>
      <c r="E63" s="1008">
        <f t="shared" ca="1" si="9"/>
        <v>0.20200000000000004</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24114.197903971421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2866.5</v>
      </c>
      <c r="D76" s="991">
        <f>'lokale energieproductie'!C8</f>
        <v>3372.3529411764707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681.21529411764709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24114.197903971421</v>
      </c>
      <c r="C78" s="774">
        <f>SUM(C72:C77)</f>
        <v>2866.5</v>
      </c>
      <c r="D78" s="775">
        <f t="shared" ref="D78:H78" si="10">SUM(D76:D77)</f>
        <v>3372.3529411764707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681.21529411764709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4095</v>
      </c>
      <c r="D87" s="798">
        <f>'lokale energieproductie'!C17</f>
        <v>4817.6470588235297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973.16470588235302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4095</v>
      </c>
      <c r="D90" s="774">
        <f t="shared" ref="D90:H90" si="12">SUM(D87:D89)</f>
        <v>4817.6470588235297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973.16470588235302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142536.12594866595</v>
      </c>
      <c r="C4" s="478">
        <f>huishoudens!C8</f>
        <v>0</v>
      </c>
      <c r="D4" s="478">
        <f>huishoudens!D8</f>
        <v>346101.87272394798</v>
      </c>
      <c r="E4" s="478">
        <f>huishoudens!E8</f>
        <v>43958.49180028111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54404.248146838559</v>
      </c>
      <c r="O4" s="478">
        <f>huishoudens!O8</f>
        <v>1122.9203521730601</v>
      </c>
      <c r="P4" s="479">
        <f>huishoudens!P8</f>
        <v>2043.5881056908947</v>
      </c>
      <c r="Q4" s="480">
        <f>SUM(B4:P4)</f>
        <v>590167.24707759754</v>
      </c>
    </row>
    <row r="5" spans="1:17">
      <c r="A5" s="477" t="s">
        <v>155</v>
      </c>
      <c r="B5" s="478">
        <f ca="1">tertiair!B16</f>
        <v>128379.11241899998</v>
      </c>
      <c r="C5" s="478">
        <f ca="1">tertiair!C16</f>
        <v>4095</v>
      </c>
      <c r="D5" s="478">
        <f ca="1">tertiair!D16</f>
        <v>170809.43851145401</v>
      </c>
      <c r="E5" s="478">
        <f>tertiair!E16</f>
        <v>1788.1260882018123</v>
      </c>
      <c r="F5" s="478">
        <f ca="1">tertiair!F16</f>
        <v>13544.405684155437</v>
      </c>
      <c r="G5" s="478">
        <f>tertiair!G16</f>
        <v>0</v>
      </c>
      <c r="H5" s="478">
        <f>tertiair!H16</f>
        <v>0</v>
      </c>
      <c r="I5" s="478">
        <f>tertiair!I16</f>
        <v>0</v>
      </c>
      <c r="J5" s="478">
        <f>tertiair!J16</f>
        <v>0.21847202490894047</v>
      </c>
      <c r="K5" s="478">
        <f>tertiair!K16</f>
        <v>0</v>
      </c>
      <c r="L5" s="478">
        <f ca="1">tertiair!L16</f>
        <v>0</v>
      </c>
      <c r="M5" s="478">
        <f>tertiair!M16</f>
        <v>0</v>
      </c>
      <c r="N5" s="478">
        <f ca="1">tertiair!N16</f>
        <v>8733.4742196780735</v>
      </c>
      <c r="O5" s="478">
        <f>tertiair!O16</f>
        <v>39.178086126729234</v>
      </c>
      <c r="P5" s="479">
        <f>tertiair!P16</f>
        <v>577.93052137144514</v>
      </c>
      <c r="Q5" s="477">
        <f t="shared" ref="Q5:Q14" ca="1" si="0">SUM(B5:P5)</f>
        <v>327966.88400201238</v>
      </c>
    </row>
    <row r="6" spans="1:17">
      <c r="A6" s="477" t="s">
        <v>193</v>
      </c>
      <c r="B6" s="478">
        <f>'openbare verlichting'!B8</f>
        <v>3982.2939999999999</v>
      </c>
      <c r="C6" s="478"/>
      <c r="D6" s="478"/>
      <c r="E6" s="478"/>
      <c r="F6" s="478"/>
      <c r="G6" s="478"/>
      <c r="H6" s="478"/>
      <c r="I6" s="478"/>
      <c r="J6" s="478"/>
      <c r="K6" s="478"/>
      <c r="L6" s="478"/>
      <c r="M6" s="478"/>
      <c r="N6" s="478"/>
      <c r="O6" s="478"/>
      <c r="P6" s="479"/>
      <c r="Q6" s="477">
        <f t="shared" si="0"/>
        <v>3982.2939999999999</v>
      </c>
    </row>
    <row r="7" spans="1:17">
      <c r="A7" s="477" t="s">
        <v>111</v>
      </c>
      <c r="B7" s="478">
        <f>landbouw!B8</f>
        <v>1681.3327140000001</v>
      </c>
      <c r="C7" s="478">
        <f>landbouw!C8</f>
        <v>0</v>
      </c>
      <c r="D7" s="478">
        <f>landbouw!D8</f>
        <v>668.32397975200001</v>
      </c>
      <c r="E7" s="478">
        <f>landbouw!E8</f>
        <v>52.473839568810419</v>
      </c>
      <c r="F7" s="478">
        <f>landbouw!F8</f>
        <v>5942.0160642896981</v>
      </c>
      <c r="G7" s="478">
        <f>landbouw!G8</f>
        <v>0</v>
      </c>
      <c r="H7" s="478">
        <f>landbouw!H8</f>
        <v>0</v>
      </c>
      <c r="I7" s="478">
        <f>landbouw!I8</f>
        <v>0</v>
      </c>
      <c r="J7" s="478">
        <f>landbouw!J8</f>
        <v>463.21882264718471</v>
      </c>
      <c r="K7" s="478">
        <f>landbouw!K8</f>
        <v>0</v>
      </c>
      <c r="L7" s="478">
        <f>landbouw!L8</f>
        <v>0</v>
      </c>
      <c r="M7" s="478">
        <f>landbouw!M8</f>
        <v>0</v>
      </c>
      <c r="N7" s="478">
        <f>landbouw!N8</f>
        <v>0</v>
      </c>
      <c r="O7" s="478">
        <f>landbouw!O8</f>
        <v>0</v>
      </c>
      <c r="P7" s="479">
        <f>landbouw!P8</f>
        <v>0</v>
      </c>
      <c r="Q7" s="477">
        <f t="shared" si="0"/>
        <v>8807.3654202576927</v>
      </c>
    </row>
    <row r="8" spans="1:17">
      <c r="A8" s="477" t="s">
        <v>629</v>
      </c>
      <c r="B8" s="478">
        <f>industrie!B18</f>
        <v>99245.844660999996</v>
      </c>
      <c r="C8" s="478">
        <f>industrie!C18</f>
        <v>0</v>
      </c>
      <c r="D8" s="478">
        <f>industrie!D18</f>
        <v>130754.06898153601</v>
      </c>
      <c r="E8" s="478">
        <f>industrie!E18</f>
        <v>9519.959336818627</v>
      </c>
      <c r="F8" s="478">
        <f>industrie!F18</f>
        <v>31656.012410128493</v>
      </c>
      <c r="G8" s="478">
        <f>industrie!G18</f>
        <v>0</v>
      </c>
      <c r="H8" s="478">
        <f>industrie!H18</f>
        <v>0</v>
      </c>
      <c r="I8" s="478">
        <f>industrie!I18</f>
        <v>0</v>
      </c>
      <c r="J8" s="478">
        <f>industrie!J18</f>
        <v>473.1817292641453</v>
      </c>
      <c r="K8" s="478">
        <f>industrie!K18</f>
        <v>0</v>
      </c>
      <c r="L8" s="478">
        <f>industrie!L18</f>
        <v>0</v>
      </c>
      <c r="M8" s="478">
        <f>industrie!M18</f>
        <v>0</v>
      </c>
      <c r="N8" s="478">
        <f>industrie!N18</f>
        <v>4619.7228867542144</v>
      </c>
      <c r="O8" s="478">
        <f>industrie!O18</f>
        <v>0</v>
      </c>
      <c r="P8" s="479">
        <f>industrie!P18</f>
        <v>0</v>
      </c>
      <c r="Q8" s="477">
        <f t="shared" si="0"/>
        <v>276268.79000550148</v>
      </c>
    </row>
    <row r="9" spans="1:17" s="483" customFormat="1">
      <c r="A9" s="481" t="s">
        <v>555</v>
      </c>
      <c r="B9" s="482">
        <f>transport!B14</f>
        <v>342.40447974027774</v>
      </c>
      <c r="C9" s="482">
        <f>transport!C14</f>
        <v>0</v>
      </c>
      <c r="D9" s="482">
        <f>transport!D14</f>
        <v>1422.2447558416145</v>
      </c>
      <c r="E9" s="482">
        <f>transport!E14</f>
        <v>1201.5498672479996</v>
      </c>
      <c r="F9" s="482">
        <f>transport!F14</f>
        <v>0</v>
      </c>
      <c r="G9" s="482">
        <f>transport!G14</f>
        <v>474498.50766470213</v>
      </c>
      <c r="H9" s="482">
        <f>transport!H14</f>
        <v>107623.77798895598</v>
      </c>
      <c r="I9" s="482">
        <f>transport!I14</f>
        <v>0</v>
      </c>
      <c r="J9" s="482">
        <f>transport!J14</f>
        <v>0</v>
      </c>
      <c r="K9" s="482">
        <f>transport!K14</f>
        <v>0</v>
      </c>
      <c r="L9" s="482">
        <f>transport!L14</f>
        <v>0</v>
      </c>
      <c r="M9" s="482">
        <f>transport!M14</f>
        <v>34433.258653063953</v>
      </c>
      <c r="N9" s="482">
        <f>transport!N14</f>
        <v>0</v>
      </c>
      <c r="O9" s="482">
        <f>transport!O14</f>
        <v>0</v>
      </c>
      <c r="P9" s="482">
        <f>transport!P14</f>
        <v>0</v>
      </c>
      <c r="Q9" s="481">
        <f>SUM(B9:P9)</f>
        <v>619521.74340955191</v>
      </c>
    </row>
    <row r="10" spans="1:17">
      <c r="A10" s="477" t="s">
        <v>545</v>
      </c>
      <c r="B10" s="478">
        <f>transport!B54</f>
        <v>0</v>
      </c>
      <c r="C10" s="478">
        <f>transport!C54</f>
        <v>0</v>
      </c>
      <c r="D10" s="478">
        <f>transport!D54</f>
        <v>0</v>
      </c>
      <c r="E10" s="478">
        <f>transport!E54</f>
        <v>0</v>
      </c>
      <c r="F10" s="478">
        <f>transport!F54</f>
        <v>0</v>
      </c>
      <c r="G10" s="478">
        <f>transport!G54</f>
        <v>10226.208867378717</v>
      </c>
      <c r="H10" s="478">
        <f>transport!H54</f>
        <v>0</v>
      </c>
      <c r="I10" s="478">
        <f>transport!I54</f>
        <v>0</v>
      </c>
      <c r="J10" s="478">
        <f>transport!J54</f>
        <v>0</v>
      </c>
      <c r="K10" s="478">
        <f>transport!K54</f>
        <v>0</v>
      </c>
      <c r="L10" s="478">
        <f>transport!L54</f>
        <v>0</v>
      </c>
      <c r="M10" s="478">
        <f>transport!M54</f>
        <v>568.37382031676304</v>
      </c>
      <c r="N10" s="478">
        <f>transport!N54</f>
        <v>0</v>
      </c>
      <c r="O10" s="478">
        <f>transport!O54</f>
        <v>0</v>
      </c>
      <c r="P10" s="479">
        <f>transport!P54</f>
        <v>0</v>
      </c>
      <c r="Q10" s="477">
        <f t="shared" si="0"/>
        <v>10794.58268769548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7331.1376780000001</v>
      </c>
      <c r="C14" s="485"/>
      <c r="D14" s="485">
        <f>'SEAP template'!E25</f>
        <v>22330.20866</v>
      </c>
      <c r="E14" s="485"/>
      <c r="F14" s="485"/>
      <c r="G14" s="485"/>
      <c r="H14" s="485"/>
      <c r="I14" s="485"/>
      <c r="J14" s="485"/>
      <c r="K14" s="485"/>
      <c r="L14" s="485"/>
      <c r="M14" s="485"/>
      <c r="N14" s="485"/>
      <c r="O14" s="485"/>
      <c r="P14" s="486"/>
      <c r="Q14" s="477">
        <f t="shared" si="0"/>
        <v>29661.346337999999</v>
      </c>
    </row>
    <row r="15" spans="1:17" s="489" customFormat="1">
      <c r="A15" s="487" t="s">
        <v>549</v>
      </c>
      <c r="B15" s="488">
        <f ca="1">SUM(B4:B14)</f>
        <v>383498.25190040626</v>
      </c>
      <c r="C15" s="488">
        <f t="shared" ref="C15:Q15" ca="1" si="1">SUM(C4:C14)</f>
        <v>4095</v>
      </c>
      <c r="D15" s="488">
        <f t="shared" ca="1" si="1"/>
        <v>672086.15761253156</v>
      </c>
      <c r="E15" s="488">
        <f t="shared" si="1"/>
        <v>56520.600932118359</v>
      </c>
      <c r="F15" s="488">
        <f t="shared" ca="1" si="1"/>
        <v>51142.434158573626</v>
      </c>
      <c r="G15" s="488">
        <f t="shared" si="1"/>
        <v>484724.71653208084</v>
      </c>
      <c r="H15" s="488">
        <f t="shared" si="1"/>
        <v>107623.77798895598</v>
      </c>
      <c r="I15" s="488">
        <f t="shared" si="1"/>
        <v>0</v>
      </c>
      <c r="J15" s="488">
        <f t="shared" si="1"/>
        <v>936.61902393623893</v>
      </c>
      <c r="K15" s="488">
        <f t="shared" si="1"/>
        <v>0</v>
      </c>
      <c r="L15" s="488">
        <f t="shared" ca="1" si="1"/>
        <v>0</v>
      </c>
      <c r="M15" s="488">
        <f t="shared" si="1"/>
        <v>35001.632473380712</v>
      </c>
      <c r="N15" s="488">
        <f t="shared" ca="1" si="1"/>
        <v>67757.445253270853</v>
      </c>
      <c r="O15" s="488">
        <f t="shared" si="1"/>
        <v>1162.0984382997894</v>
      </c>
      <c r="P15" s="488">
        <f t="shared" si="1"/>
        <v>2621.5186270623399</v>
      </c>
      <c r="Q15" s="488">
        <f t="shared" ca="1" si="1"/>
        <v>1867170.2529406166</v>
      </c>
    </row>
    <row r="17" spans="1:17">
      <c r="A17" s="490" t="s">
        <v>550</v>
      </c>
      <c r="B17" s="807">
        <f ca="1">huishoudens!B10</f>
        <v>0.20722804949830217</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29537.483363386382</v>
      </c>
      <c r="C22" s="478">
        <f t="shared" ref="C22:C32" ca="1" si="3">C4*$C$17</f>
        <v>0</v>
      </c>
      <c r="D22" s="478">
        <f t="shared" ref="D22:D32" si="4">D4*$D$17</f>
        <v>69912.578290237492</v>
      </c>
      <c r="E22" s="478">
        <f t="shared" ref="E22:E32" si="5">E4*$E$17</f>
        <v>9978.5776386638117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109428.6392922877</v>
      </c>
    </row>
    <row r="23" spans="1:17">
      <c r="A23" s="477" t="s">
        <v>155</v>
      </c>
      <c r="B23" s="478">
        <f t="shared" ca="1" si="2"/>
        <v>26603.753062912627</v>
      </c>
      <c r="C23" s="478">
        <f t="shared" ca="1" si="3"/>
        <v>973.16470588235302</v>
      </c>
      <c r="D23" s="478">
        <f t="shared" ca="1" si="4"/>
        <v>34503.506579313711</v>
      </c>
      <c r="E23" s="478">
        <f t="shared" si="5"/>
        <v>405.90462202181141</v>
      </c>
      <c r="F23" s="478">
        <f t="shared" ca="1" si="6"/>
        <v>3616.356317669502</v>
      </c>
      <c r="G23" s="478">
        <f t="shared" si="7"/>
        <v>0</v>
      </c>
      <c r="H23" s="478">
        <f t="shared" si="8"/>
        <v>0</v>
      </c>
      <c r="I23" s="478">
        <f t="shared" si="9"/>
        <v>0</v>
      </c>
      <c r="J23" s="478">
        <f t="shared" si="10"/>
        <v>7.7339096817764921E-2</v>
      </c>
      <c r="K23" s="478">
        <f t="shared" si="11"/>
        <v>0</v>
      </c>
      <c r="L23" s="478">
        <f t="shared" ca="1" si="12"/>
        <v>0</v>
      </c>
      <c r="M23" s="478">
        <f t="shared" si="13"/>
        <v>0</v>
      </c>
      <c r="N23" s="478">
        <f t="shared" ca="1" si="14"/>
        <v>0</v>
      </c>
      <c r="O23" s="478">
        <f t="shared" si="15"/>
        <v>0</v>
      </c>
      <c r="P23" s="479">
        <f t="shared" si="16"/>
        <v>0</v>
      </c>
      <c r="Q23" s="477">
        <f t="shared" ref="Q23:Q31" ca="1" si="17">SUM(B23:P23)</f>
        <v>66102.762626896816</v>
      </c>
    </row>
    <row r="24" spans="1:17">
      <c r="A24" s="477" t="s">
        <v>193</v>
      </c>
      <c r="B24" s="478">
        <f t="shared" ca="1" si="2"/>
        <v>825.24301814879175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825.24301814879175</v>
      </c>
    </row>
    <row r="25" spans="1:17">
      <c r="A25" s="477" t="s">
        <v>111</v>
      </c>
      <c r="B25" s="478">
        <f t="shared" ca="1" si="2"/>
        <v>348.41929887990676</v>
      </c>
      <c r="C25" s="478">
        <f t="shared" ca="1" si="3"/>
        <v>0</v>
      </c>
      <c r="D25" s="478">
        <f t="shared" si="4"/>
        <v>135.001443909904</v>
      </c>
      <c r="E25" s="478">
        <f t="shared" si="5"/>
        <v>11.911561582119965</v>
      </c>
      <c r="F25" s="478">
        <f t="shared" si="6"/>
        <v>1586.5182891653494</v>
      </c>
      <c r="G25" s="478">
        <f t="shared" si="7"/>
        <v>0</v>
      </c>
      <c r="H25" s="478">
        <f t="shared" si="8"/>
        <v>0</v>
      </c>
      <c r="I25" s="478">
        <f t="shared" si="9"/>
        <v>0</v>
      </c>
      <c r="J25" s="478">
        <f t="shared" si="10"/>
        <v>163.97946321710339</v>
      </c>
      <c r="K25" s="478">
        <f t="shared" si="11"/>
        <v>0</v>
      </c>
      <c r="L25" s="478">
        <f t="shared" si="12"/>
        <v>0</v>
      </c>
      <c r="M25" s="478">
        <f t="shared" si="13"/>
        <v>0</v>
      </c>
      <c r="N25" s="478">
        <f t="shared" si="14"/>
        <v>0</v>
      </c>
      <c r="O25" s="478">
        <f t="shared" si="15"/>
        <v>0</v>
      </c>
      <c r="P25" s="479">
        <f t="shared" si="16"/>
        <v>0</v>
      </c>
      <c r="Q25" s="477">
        <f t="shared" ca="1" si="17"/>
        <v>2245.8300567543833</v>
      </c>
    </row>
    <row r="26" spans="1:17">
      <c r="A26" s="477" t="s">
        <v>629</v>
      </c>
      <c r="B26" s="478">
        <f t="shared" ca="1" si="2"/>
        <v>20566.522809910515</v>
      </c>
      <c r="C26" s="478">
        <f t="shared" ca="1" si="3"/>
        <v>0</v>
      </c>
      <c r="D26" s="478">
        <f t="shared" si="4"/>
        <v>26412.321934270276</v>
      </c>
      <c r="E26" s="478">
        <f t="shared" si="5"/>
        <v>2161.0307694578282</v>
      </c>
      <c r="F26" s="478">
        <f t="shared" si="6"/>
        <v>8452.1553135043087</v>
      </c>
      <c r="G26" s="478">
        <f t="shared" si="7"/>
        <v>0</v>
      </c>
      <c r="H26" s="478">
        <f t="shared" si="8"/>
        <v>0</v>
      </c>
      <c r="I26" s="478">
        <f t="shared" si="9"/>
        <v>0</v>
      </c>
      <c r="J26" s="478">
        <f t="shared" si="10"/>
        <v>167.50633215950742</v>
      </c>
      <c r="K26" s="478">
        <f t="shared" si="11"/>
        <v>0</v>
      </c>
      <c r="L26" s="478">
        <f t="shared" si="12"/>
        <v>0</v>
      </c>
      <c r="M26" s="478">
        <f t="shared" si="13"/>
        <v>0</v>
      </c>
      <c r="N26" s="478">
        <f t="shared" si="14"/>
        <v>0</v>
      </c>
      <c r="O26" s="478">
        <f t="shared" si="15"/>
        <v>0</v>
      </c>
      <c r="P26" s="479">
        <f t="shared" si="16"/>
        <v>0</v>
      </c>
      <c r="Q26" s="477">
        <f t="shared" ca="1" si="17"/>
        <v>57759.537159302439</v>
      </c>
    </row>
    <row r="27" spans="1:17" s="483" customFormat="1">
      <c r="A27" s="481" t="s">
        <v>555</v>
      </c>
      <c r="B27" s="801">
        <f t="shared" ca="1" si="2"/>
        <v>70.955812476058682</v>
      </c>
      <c r="C27" s="482">
        <f t="shared" ca="1" si="3"/>
        <v>0</v>
      </c>
      <c r="D27" s="482">
        <f t="shared" si="4"/>
        <v>287.29344068000614</v>
      </c>
      <c r="E27" s="482">
        <f t="shared" si="5"/>
        <v>272.75181986529594</v>
      </c>
      <c r="F27" s="482">
        <f t="shared" si="6"/>
        <v>0</v>
      </c>
      <c r="G27" s="482">
        <f t="shared" si="7"/>
        <v>126691.10154647547</v>
      </c>
      <c r="H27" s="482">
        <f t="shared" si="8"/>
        <v>26798.320719250038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154120.42333874686</v>
      </c>
    </row>
    <row r="28" spans="1:17" ht="16.5" customHeight="1">
      <c r="A28" s="477" t="s">
        <v>545</v>
      </c>
      <c r="B28" s="478">
        <f t="shared" ca="1" si="2"/>
        <v>0</v>
      </c>
      <c r="C28" s="478">
        <f t="shared" ca="1" si="3"/>
        <v>0</v>
      </c>
      <c r="D28" s="478">
        <f t="shared" si="4"/>
        <v>0</v>
      </c>
      <c r="E28" s="478">
        <f t="shared" si="5"/>
        <v>0</v>
      </c>
      <c r="F28" s="478">
        <f t="shared" si="6"/>
        <v>0</v>
      </c>
      <c r="G28" s="478">
        <f t="shared" si="7"/>
        <v>2730.3977675901174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2730.3977675901174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1519.2173616154521</v>
      </c>
      <c r="C32" s="478">
        <f t="shared" ca="1" si="3"/>
        <v>0</v>
      </c>
      <c r="D32" s="478">
        <f t="shared" si="4"/>
        <v>4510.70214932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6029.9195109354523</v>
      </c>
    </row>
    <row r="33" spans="1:17" s="489" customFormat="1">
      <c r="A33" s="487" t="s">
        <v>549</v>
      </c>
      <c r="B33" s="488">
        <f ca="1">SUM(B22:B32)</f>
        <v>79471.594727329721</v>
      </c>
      <c r="C33" s="488">
        <f t="shared" ref="C33:Q33" ca="1" si="19">SUM(C22:C32)</f>
        <v>973.16470588235302</v>
      </c>
      <c r="D33" s="488">
        <f t="shared" ca="1" si="19"/>
        <v>135761.4038377314</v>
      </c>
      <c r="E33" s="488">
        <f t="shared" si="19"/>
        <v>12830.176411590866</v>
      </c>
      <c r="F33" s="488">
        <f t="shared" ca="1" si="19"/>
        <v>13655.029920339161</v>
      </c>
      <c r="G33" s="488">
        <f t="shared" si="19"/>
        <v>129421.49931406559</v>
      </c>
      <c r="H33" s="488">
        <f t="shared" si="19"/>
        <v>26798.320719250038</v>
      </c>
      <c r="I33" s="488">
        <f t="shared" si="19"/>
        <v>0</v>
      </c>
      <c r="J33" s="488">
        <f t="shared" si="19"/>
        <v>331.56313447342859</v>
      </c>
      <c r="K33" s="488">
        <f t="shared" si="19"/>
        <v>0</v>
      </c>
      <c r="L33" s="488">
        <f t="shared" ca="1" si="19"/>
        <v>0</v>
      </c>
      <c r="M33" s="488">
        <f t="shared" si="19"/>
        <v>0</v>
      </c>
      <c r="N33" s="488">
        <f t="shared" ca="1" si="19"/>
        <v>0</v>
      </c>
      <c r="O33" s="488">
        <f t="shared" si="19"/>
        <v>0</v>
      </c>
      <c r="P33" s="488">
        <f t="shared" si="19"/>
        <v>0</v>
      </c>
      <c r="Q33" s="488">
        <f t="shared" ca="1" si="19"/>
        <v>399242.75277066254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24114.197903971421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2866.5</v>
      </c>
      <c r="D8" s="1062">
        <f>'SEAP template'!D76</f>
        <v>3372.3529411764707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681.21529411764709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24114.197903971421</v>
      </c>
      <c r="C10" s="1064">
        <f>SUM(C4:C9)</f>
        <v>2866.5</v>
      </c>
      <c r="D10" s="1064">
        <f t="shared" ref="D10:H10" si="0">SUM(D8:D9)</f>
        <v>3372.3529411764707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681.21529411764709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0.20722804949830217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4095</v>
      </c>
      <c r="D17" s="1063">
        <f>'SEAP template'!D87</f>
        <v>4817.6470588235297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973.16470588235302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4095</v>
      </c>
      <c r="D20" s="1064">
        <f t="shared" ref="D20:H20" si="2">SUM(D17:D19)</f>
        <v>4817.6470588235297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973.16470588235302</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0.20722804949830217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0.20722804949830217</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0.20722804949830217</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37556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2575.19</v>
      </c>
    </row>
    <row r="15" spans="1:6">
      <c r="A15" s="348" t="s">
        <v>183</v>
      </c>
      <c r="B15" s="334">
        <v>13</v>
      </c>
    </row>
    <row r="16" spans="1:6">
      <c r="A16" s="348" t="s">
        <v>6</v>
      </c>
      <c r="B16" s="334">
        <v>522</v>
      </c>
    </row>
    <row r="17" spans="1:6">
      <c r="A17" s="348" t="s">
        <v>7</v>
      </c>
      <c r="B17" s="334">
        <v>291</v>
      </c>
    </row>
    <row r="18" spans="1:6">
      <c r="A18" s="348" t="s">
        <v>8</v>
      </c>
      <c r="B18" s="334">
        <v>453</v>
      </c>
    </row>
    <row r="19" spans="1:6">
      <c r="A19" s="348" t="s">
        <v>9</v>
      </c>
      <c r="B19" s="334">
        <v>407</v>
      </c>
    </row>
    <row r="20" spans="1:6">
      <c r="A20" s="348" t="s">
        <v>10</v>
      </c>
      <c r="B20" s="334">
        <v>229</v>
      </c>
    </row>
    <row r="21" spans="1:6">
      <c r="A21" s="348" t="s">
        <v>11</v>
      </c>
      <c r="B21" s="334">
        <v>1253</v>
      </c>
    </row>
    <row r="22" spans="1:6">
      <c r="A22" s="348" t="s">
        <v>12</v>
      </c>
      <c r="B22" s="334">
        <v>2599</v>
      </c>
    </row>
    <row r="23" spans="1:6">
      <c r="A23" s="348" t="s">
        <v>13</v>
      </c>
      <c r="B23" s="334">
        <v>35</v>
      </c>
    </row>
    <row r="24" spans="1:6">
      <c r="A24" s="348" t="s">
        <v>14</v>
      </c>
      <c r="B24" s="334">
        <v>1</v>
      </c>
    </row>
    <row r="25" spans="1:6">
      <c r="A25" s="348" t="s">
        <v>15</v>
      </c>
      <c r="B25" s="334">
        <v>210</v>
      </c>
    </row>
    <row r="26" spans="1:6">
      <c r="A26" s="348" t="s">
        <v>16</v>
      </c>
      <c r="B26" s="334">
        <v>159</v>
      </c>
    </row>
    <row r="27" spans="1:6">
      <c r="A27" s="348" t="s">
        <v>17</v>
      </c>
      <c r="B27" s="334">
        <v>43</v>
      </c>
    </row>
    <row r="28" spans="1:6" s="356" customFormat="1">
      <c r="A28" s="355" t="s">
        <v>18</v>
      </c>
      <c r="B28" s="355">
        <v>87473</v>
      </c>
    </row>
    <row r="29" spans="1:6">
      <c r="A29" s="355" t="s">
        <v>713</v>
      </c>
      <c r="B29" s="355">
        <v>234</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12</v>
      </c>
      <c r="D36" s="334">
        <v>3166095.0060000001</v>
      </c>
      <c r="E36" s="334">
        <v>8</v>
      </c>
      <c r="F36" s="334">
        <v>378619.505</v>
      </c>
    </row>
    <row r="37" spans="1:6">
      <c r="A37" s="348" t="s">
        <v>24</v>
      </c>
      <c r="B37" s="348" t="s">
        <v>27</v>
      </c>
      <c r="C37" s="334">
        <v>0</v>
      </c>
      <c r="D37" s="334">
        <v>0</v>
      </c>
      <c r="E37" s="334">
        <v>0</v>
      </c>
      <c r="F37" s="334">
        <v>0</v>
      </c>
    </row>
    <row r="38" spans="1:6">
      <c r="A38" s="348" t="s">
        <v>24</v>
      </c>
      <c r="B38" s="348" t="s">
        <v>28</v>
      </c>
      <c r="C38" s="334">
        <v>3</v>
      </c>
      <c r="D38" s="334">
        <v>481159.55</v>
      </c>
      <c r="E38" s="334">
        <v>5</v>
      </c>
      <c r="F38" s="334">
        <v>29776.795999999998</v>
      </c>
    </row>
    <row r="39" spans="1:6">
      <c r="A39" s="348" t="s">
        <v>29</v>
      </c>
      <c r="B39" s="348" t="s">
        <v>30</v>
      </c>
      <c r="C39" s="334">
        <v>26303</v>
      </c>
      <c r="D39" s="334">
        <v>383667402.69999999</v>
      </c>
      <c r="E39" s="334">
        <v>37639</v>
      </c>
      <c r="F39" s="334">
        <v>128159077.2</v>
      </c>
    </row>
    <row r="40" spans="1:6">
      <c r="A40" s="348" t="s">
        <v>29</v>
      </c>
      <c r="B40" s="348" t="s">
        <v>28</v>
      </c>
      <c r="C40" s="334">
        <v>1</v>
      </c>
      <c r="D40" s="334">
        <v>37555.974000000002</v>
      </c>
      <c r="E40" s="334">
        <v>1</v>
      </c>
      <c r="F40" s="334">
        <v>2849.7579999999998</v>
      </c>
    </row>
    <row r="41" spans="1:6">
      <c r="A41" s="348" t="s">
        <v>31</v>
      </c>
      <c r="B41" s="348" t="s">
        <v>32</v>
      </c>
      <c r="C41" s="334">
        <v>401</v>
      </c>
      <c r="D41" s="334">
        <v>14616453.130000001</v>
      </c>
      <c r="E41" s="334">
        <v>783</v>
      </c>
      <c r="F41" s="334">
        <v>24578591.43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20</v>
      </c>
      <c r="D44" s="334">
        <v>4523635.6830000002</v>
      </c>
      <c r="E44" s="334">
        <v>54</v>
      </c>
      <c r="F44" s="334">
        <v>9541309.6600000001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68969.445000000007</v>
      </c>
      <c r="E47" s="334">
        <v>15</v>
      </c>
      <c r="F47" s="334">
        <v>46628.98</v>
      </c>
    </row>
    <row r="48" spans="1:6">
      <c r="A48" s="348" t="s">
        <v>31</v>
      </c>
      <c r="B48" s="348" t="s">
        <v>28</v>
      </c>
      <c r="C48" s="334">
        <v>120</v>
      </c>
      <c r="D48" s="334">
        <v>123390690</v>
      </c>
      <c r="E48" s="334">
        <v>134</v>
      </c>
      <c r="F48" s="334">
        <v>55498329.93</v>
      </c>
    </row>
    <row r="49" spans="1:6">
      <c r="A49" s="348" t="s">
        <v>31</v>
      </c>
      <c r="B49" s="348" t="s">
        <v>39</v>
      </c>
      <c r="C49" s="334">
        <v>0</v>
      </c>
      <c r="D49" s="334">
        <v>0</v>
      </c>
      <c r="E49" s="334">
        <v>6</v>
      </c>
      <c r="F49" s="334">
        <v>88708.620999999999</v>
      </c>
    </row>
    <row r="50" spans="1:6">
      <c r="A50" s="348" t="s">
        <v>31</v>
      </c>
      <c r="B50" s="348" t="s">
        <v>40</v>
      </c>
      <c r="C50" s="334">
        <v>33</v>
      </c>
      <c r="D50" s="334">
        <v>2360416.91</v>
      </c>
      <c r="E50" s="334">
        <v>62</v>
      </c>
      <c r="F50" s="334">
        <v>9492276.0399999991</v>
      </c>
    </row>
    <row r="51" spans="1:6">
      <c r="A51" s="348" t="s">
        <v>41</v>
      </c>
      <c r="B51" s="348" t="s">
        <v>42</v>
      </c>
      <c r="C51" s="334">
        <v>12</v>
      </c>
      <c r="D51" s="334">
        <v>289671.989</v>
      </c>
      <c r="E51" s="334">
        <v>109</v>
      </c>
      <c r="F51" s="334">
        <v>1102093.084</v>
      </c>
    </row>
    <row r="52" spans="1:6">
      <c r="A52" s="348" t="s">
        <v>41</v>
      </c>
      <c r="B52" s="348" t="s">
        <v>28</v>
      </c>
      <c r="C52" s="334">
        <v>18</v>
      </c>
      <c r="D52" s="334">
        <v>451263.68699999998</v>
      </c>
      <c r="E52" s="334">
        <v>22</v>
      </c>
      <c r="F52" s="334">
        <v>579239.63</v>
      </c>
    </row>
    <row r="53" spans="1:6">
      <c r="A53" s="348" t="s">
        <v>43</v>
      </c>
      <c r="B53" s="348" t="s">
        <v>44</v>
      </c>
      <c r="C53" s="334">
        <v>762</v>
      </c>
      <c r="D53" s="334">
        <v>22330208.66</v>
      </c>
      <c r="E53" s="334">
        <v>1540</v>
      </c>
      <c r="F53" s="334">
        <v>7331137.6780000003</v>
      </c>
    </row>
    <row r="54" spans="1:6">
      <c r="A54" s="348" t="s">
        <v>45</v>
      </c>
      <c r="B54" s="348" t="s">
        <v>46</v>
      </c>
      <c r="C54" s="334">
        <v>0</v>
      </c>
      <c r="D54" s="334">
        <v>0</v>
      </c>
      <c r="E54" s="334">
        <v>1</v>
      </c>
      <c r="F54" s="334">
        <v>3982294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257</v>
      </c>
      <c r="D57" s="334">
        <v>10629132</v>
      </c>
      <c r="E57" s="334">
        <v>398</v>
      </c>
      <c r="F57" s="334">
        <v>11383108.300000001</v>
      </c>
    </row>
    <row r="58" spans="1:6">
      <c r="A58" s="348" t="s">
        <v>48</v>
      </c>
      <c r="B58" s="348" t="s">
        <v>50</v>
      </c>
      <c r="C58" s="334">
        <v>162</v>
      </c>
      <c r="D58" s="334">
        <v>39441625.640000001</v>
      </c>
      <c r="E58" s="334">
        <v>252</v>
      </c>
      <c r="F58" s="334">
        <v>21641763.219999999</v>
      </c>
    </row>
    <row r="59" spans="1:6">
      <c r="A59" s="348" t="s">
        <v>48</v>
      </c>
      <c r="B59" s="348" t="s">
        <v>51</v>
      </c>
      <c r="C59" s="334">
        <v>742</v>
      </c>
      <c r="D59" s="334">
        <v>45564475.869999997</v>
      </c>
      <c r="E59" s="334">
        <v>1551</v>
      </c>
      <c r="F59" s="334">
        <v>44006168.07</v>
      </c>
    </row>
    <row r="60" spans="1:6">
      <c r="A60" s="348" t="s">
        <v>48</v>
      </c>
      <c r="B60" s="348" t="s">
        <v>52</v>
      </c>
      <c r="C60" s="334">
        <v>365</v>
      </c>
      <c r="D60" s="334">
        <v>22510091.379999999</v>
      </c>
      <c r="E60" s="334">
        <v>457</v>
      </c>
      <c r="F60" s="334">
        <v>12489916.800000001</v>
      </c>
    </row>
    <row r="61" spans="1:6">
      <c r="A61" s="348" t="s">
        <v>48</v>
      </c>
      <c r="B61" s="348" t="s">
        <v>53</v>
      </c>
      <c r="C61" s="334">
        <v>876</v>
      </c>
      <c r="D61" s="334">
        <v>38576392.530000001</v>
      </c>
      <c r="E61" s="334">
        <v>1912</v>
      </c>
      <c r="F61" s="334">
        <v>19315403.059999999</v>
      </c>
    </row>
    <row r="62" spans="1:6">
      <c r="A62" s="348" t="s">
        <v>48</v>
      </c>
      <c r="B62" s="348" t="s">
        <v>54</v>
      </c>
      <c r="C62" s="334">
        <v>59</v>
      </c>
      <c r="D62" s="334">
        <v>9496911.2970000003</v>
      </c>
      <c r="E62" s="334">
        <v>78</v>
      </c>
      <c r="F62" s="334">
        <v>3510349.9190000002</v>
      </c>
    </row>
    <row r="63" spans="1:6">
      <c r="A63" s="348" t="s">
        <v>48</v>
      </c>
      <c r="B63" s="348" t="s">
        <v>28</v>
      </c>
      <c r="C63" s="334">
        <v>351</v>
      </c>
      <c r="D63" s="334">
        <v>32228642.359999999</v>
      </c>
      <c r="E63" s="334">
        <v>375</v>
      </c>
      <c r="F63" s="334">
        <v>13165903.050000001</v>
      </c>
    </row>
    <row r="64" spans="1:6">
      <c r="A64" s="348" t="s">
        <v>55</v>
      </c>
      <c r="B64" s="348" t="s">
        <v>56</v>
      </c>
      <c r="C64" s="334">
        <v>0</v>
      </c>
      <c r="D64" s="334">
        <v>0</v>
      </c>
      <c r="E64" s="334">
        <v>0</v>
      </c>
      <c r="F64" s="334">
        <v>0</v>
      </c>
    </row>
    <row r="65" spans="1:6">
      <c r="A65" s="348" t="s">
        <v>55</v>
      </c>
      <c r="B65" s="348" t="s">
        <v>28</v>
      </c>
      <c r="C65" s="334">
        <v>6</v>
      </c>
      <c r="D65" s="334">
        <v>151064.35999999999</v>
      </c>
      <c r="E65" s="334">
        <v>7</v>
      </c>
      <c r="F65" s="334">
        <v>211344.73300000001</v>
      </c>
    </row>
    <row r="66" spans="1:6">
      <c r="A66" s="348" t="s">
        <v>55</v>
      </c>
      <c r="B66" s="348" t="s">
        <v>57</v>
      </c>
      <c r="C66" s="334">
        <v>0</v>
      </c>
      <c r="D66" s="334">
        <v>0</v>
      </c>
      <c r="E66" s="334">
        <v>33</v>
      </c>
      <c r="F66" s="334">
        <v>1197597.899</v>
      </c>
    </row>
    <row r="67" spans="1:6">
      <c r="A67" s="355" t="s">
        <v>55</v>
      </c>
      <c r="B67" s="355" t="s">
        <v>58</v>
      </c>
      <c r="C67" s="334">
        <v>0</v>
      </c>
      <c r="D67" s="334">
        <v>0</v>
      </c>
      <c r="E67" s="334">
        <v>0</v>
      </c>
      <c r="F67" s="334">
        <v>0</v>
      </c>
    </row>
    <row r="68" spans="1:6">
      <c r="A68" s="341" t="s">
        <v>55</v>
      </c>
      <c r="B68" s="341" t="s">
        <v>59</v>
      </c>
      <c r="C68" s="334">
        <v>13</v>
      </c>
      <c r="D68" s="334">
        <v>378875.16100000002</v>
      </c>
      <c r="E68" s="334">
        <v>30</v>
      </c>
      <c r="F68" s="334">
        <v>332802.17800000001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202663603</v>
      </c>
      <c r="E73" s="476"/>
    </row>
    <row r="74" spans="1:6">
      <c r="A74" s="348" t="s">
        <v>63</v>
      </c>
      <c r="B74" s="348" t="s">
        <v>651</v>
      </c>
      <c r="C74" s="1307" t="s">
        <v>653</v>
      </c>
      <c r="D74" s="476">
        <v>19596320.5</v>
      </c>
      <c r="E74" s="476"/>
    </row>
    <row r="75" spans="1:6">
      <c r="A75" s="348" t="s">
        <v>64</v>
      </c>
      <c r="B75" s="348" t="s">
        <v>650</v>
      </c>
      <c r="C75" s="1307" t="s">
        <v>654</v>
      </c>
      <c r="D75" s="476">
        <v>142802948</v>
      </c>
      <c r="E75" s="476"/>
    </row>
    <row r="76" spans="1:6">
      <c r="A76" s="348" t="s">
        <v>64</v>
      </c>
      <c r="B76" s="348" t="s">
        <v>651</v>
      </c>
      <c r="C76" s="1307" t="s">
        <v>655</v>
      </c>
      <c r="D76" s="476">
        <v>9653265.5</v>
      </c>
      <c r="E76" s="476"/>
    </row>
    <row r="77" spans="1:6">
      <c r="A77" s="348" t="s">
        <v>65</v>
      </c>
      <c r="B77" s="348" t="s">
        <v>650</v>
      </c>
      <c r="C77" s="1307" t="s">
        <v>656</v>
      </c>
      <c r="D77" s="476">
        <v>285048092</v>
      </c>
      <c r="E77" s="476"/>
    </row>
    <row r="78" spans="1:6">
      <c r="A78" s="341" t="s">
        <v>65</v>
      </c>
      <c r="B78" s="341" t="s">
        <v>651</v>
      </c>
      <c r="C78" s="341" t="s">
        <v>657</v>
      </c>
      <c r="D78" s="1308">
        <v>34872176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2998873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14374.198990665929</v>
      </c>
    </row>
    <row r="92" spans="1:6">
      <c r="A92" s="341" t="s">
        <v>68</v>
      </c>
      <c r="B92" s="342">
        <v>9739.9989133054914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15443</v>
      </c>
    </row>
    <row r="98" spans="1:6">
      <c r="A98" s="348" t="s">
        <v>71</v>
      </c>
      <c r="B98" s="334">
        <v>386</v>
      </c>
    </row>
    <row r="99" spans="1:6">
      <c r="A99" s="348" t="s">
        <v>72</v>
      </c>
      <c r="B99" s="334">
        <v>323</v>
      </c>
    </row>
    <row r="100" spans="1:6">
      <c r="A100" s="348" t="s">
        <v>73</v>
      </c>
      <c r="B100" s="334">
        <v>2629</v>
      </c>
    </row>
    <row r="101" spans="1:6">
      <c r="A101" s="348" t="s">
        <v>74</v>
      </c>
      <c r="B101" s="334">
        <v>231</v>
      </c>
    </row>
    <row r="102" spans="1:6">
      <c r="A102" s="348" t="s">
        <v>75</v>
      </c>
      <c r="B102" s="334">
        <v>1339</v>
      </c>
    </row>
    <row r="103" spans="1:6">
      <c r="A103" s="348" t="s">
        <v>76</v>
      </c>
      <c r="B103" s="334">
        <v>1079</v>
      </c>
    </row>
    <row r="104" spans="1:6">
      <c r="A104" s="348" t="s">
        <v>77</v>
      </c>
      <c r="B104" s="334">
        <v>10625</v>
      </c>
    </row>
    <row r="105" spans="1:6">
      <c r="A105" s="341" t="s">
        <v>78</v>
      </c>
      <c r="B105" s="341">
        <v>174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103</v>
      </c>
      <c r="C123" s="334">
        <v>106</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460</v>
      </c>
    </row>
    <row r="130" spans="1:6">
      <c r="A130" s="348" t="s">
        <v>294</v>
      </c>
      <c r="B130" s="334">
        <v>8</v>
      </c>
    </row>
    <row r="131" spans="1:6">
      <c r="A131" s="348" t="s">
        <v>295</v>
      </c>
      <c r="B131" s="334">
        <v>8</v>
      </c>
    </row>
    <row r="132" spans="1:6">
      <c r="A132" s="341" t="s">
        <v>296</v>
      </c>
      <c r="B132" s="342">
        <v>88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383498.25190040621</v>
      </c>
      <c r="C3" s="43" t="s">
        <v>169</v>
      </c>
      <c r="D3" s="43"/>
      <c r="E3" s="154"/>
      <c r="F3" s="43"/>
      <c r="G3" s="43"/>
      <c r="H3" s="43"/>
      <c r="I3" s="43"/>
      <c r="J3" s="43"/>
      <c r="K3" s="96"/>
    </row>
    <row r="4" spans="1:11">
      <c r="A4" s="383" t="s">
        <v>170</v>
      </c>
      <c r="B4" s="49">
        <f>IF(ISERROR('SEAP template'!B78+'SEAP template'!C78),0,'SEAP template'!B78+'SEAP template'!C78)</f>
        <v>26980.697903971421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681.21529411764709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0.20722804949830217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973.16470588235302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4095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3982.2939999999999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3982.2939999999999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0.20722804949830217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825.24301814879175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128161.92695800001</v>
      </c>
      <c r="C5" s="17">
        <f>IF(ISERROR('Eigen informatie GS &amp; warmtenet'!B59),0,'Eigen informatie GS &amp; warmtenet'!B59)</f>
        <v>0</v>
      </c>
      <c r="D5" s="30">
        <f>(SUM(HH_hh_gas_kWh,HH_rest_gas_kWh)/1000)*0.902</f>
        <v>346101.87272394798</v>
      </c>
      <c r="E5" s="17">
        <f>B46*B57</f>
        <v>43958.49180028111</v>
      </c>
      <c r="F5" s="17">
        <f>B51*B62</f>
        <v>0</v>
      </c>
      <c r="G5" s="18"/>
      <c r="H5" s="17"/>
      <c r="I5" s="17"/>
      <c r="J5" s="17">
        <f>B50*B61+C50*C61</f>
        <v>0</v>
      </c>
      <c r="K5" s="17"/>
      <c r="L5" s="17"/>
      <c r="M5" s="17"/>
      <c r="N5" s="17">
        <f>B48*B59+C48*C59</f>
        <v>54404.248146838559</v>
      </c>
      <c r="O5" s="17">
        <f>B69*B70*B71</f>
        <v>1122.9203521730601</v>
      </c>
      <c r="P5" s="17">
        <f>B77*B78*B79/1000-B77*B78*B79/1000/B80</f>
        <v>2043.5881056908947</v>
      </c>
    </row>
    <row r="6" spans="1:16">
      <c r="A6" s="16" t="s">
        <v>615</v>
      </c>
      <c r="B6" s="809">
        <f>kWh_PV_kleiner_dan_10kW</f>
        <v>14374.198990665929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142536.12594866595</v>
      </c>
      <c r="C8" s="21">
        <f>C5</f>
        <v>0</v>
      </c>
      <c r="D8" s="21">
        <f>D5</f>
        <v>346101.87272394798</v>
      </c>
      <c r="E8" s="21">
        <f>E5</f>
        <v>43958.49180028111</v>
      </c>
      <c r="F8" s="21">
        <f>F5</f>
        <v>0</v>
      </c>
      <c r="G8" s="21"/>
      <c r="H8" s="21"/>
      <c r="I8" s="21"/>
      <c r="J8" s="21">
        <f>J5</f>
        <v>0</v>
      </c>
      <c r="K8" s="21"/>
      <c r="L8" s="21">
        <f>L5</f>
        <v>0</v>
      </c>
      <c r="M8" s="21">
        <f>M5</f>
        <v>0</v>
      </c>
      <c r="N8" s="21">
        <f>N5</f>
        <v>54404.248146838559</v>
      </c>
      <c r="O8" s="21">
        <f>O5</f>
        <v>1122.9203521730601</v>
      </c>
      <c r="P8" s="21">
        <f>P5</f>
        <v>2043.5881056908947</v>
      </c>
    </row>
    <row r="9" spans="1:16">
      <c r="B9" s="19"/>
      <c r="C9" s="19"/>
      <c r="D9" s="258"/>
      <c r="E9" s="19"/>
      <c r="F9" s="19"/>
      <c r="G9" s="19"/>
      <c r="H9" s="19"/>
      <c r="I9" s="19"/>
      <c r="J9" s="19"/>
      <c r="K9" s="19"/>
      <c r="L9" s="19"/>
      <c r="M9" s="19"/>
      <c r="N9" s="19"/>
      <c r="O9" s="19"/>
      <c r="P9" s="19"/>
    </row>
    <row r="10" spans="1:16">
      <c r="A10" s="24" t="s">
        <v>213</v>
      </c>
      <c r="B10" s="25">
        <f ca="1">'EF ele_warmte'!B12</f>
        <v>0.20722804949830217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29537.483363386382</v>
      </c>
      <c r="C12" s="23">
        <f ca="1">C10*C8</f>
        <v>0</v>
      </c>
      <c r="D12" s="23">
        <f>D8*D10</f>
        <v>69912.578290237492</v>
      </c>
      <c r="E12" s="23">
        <f>E10*E8</f>
        <v>9978.5776386638117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836</v>
      </c>
      <c r="B28" s="37">
        <f>aantalHuishoudens2011</f>
        <v>37556</v>
      </c>
      <c r="C28" s="36"/>
      <c r="D28" s="228"/>
    </row>
    <row r="29" spans="1:7" s="15" customFormat="1">
      <c r="A29" s="230" t="s">
        <v>837</v>
      </c>
      <c r="B29" s="37">
        <f>SUM(HH_hh_gas_aantal,HH_rest_gas_aantal)</f>
        <v>26304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26304</v>
      </c>
      <c r="C32" s="167">
        <f>IF(ISERROR(B32/SUM($B$32,$B$34,$B$35,$B$36,$B$38,$B$39)*100),0,B32/SUM($B$32,$B$34,$B$35,$B$36,$B$38,$B$39)*100)</f>
        <v>70.403083346715917</v>
      </c>
      <c r="D32" s="233"/>
      <c r="G32" s="15"/>
    </row>
    <row r="33" spans="1:7">
      <c r="A33" s="171" t="s">
        <v>71</v>
      </c>
      <c r="B33" s="34" t="s">
        <v>110</v>
      </c>
      <c r="C33" s="167"/>
      <c r="D33" s="233"/>
      <c r="G33" s="15"/>
    </row>
    <row r="34" spans="1:7">
      <c r="A34" s="171" t="s">
        <v>72</v>
      </c>
      <c r="B34" s="33">
        <f>IF((($B$28-$B$32-$B$39-$B$77-$B$38)*C20/100)&lt;0,0,($B$28-$B$32-$B$39-$B$77-$B$38)*C20/100)</f>
        <v>1122.1281809613572</v>
      </c>
      <c r="C34" s="167">
        <f>IF(ISERROR(B34/SUM($B$32,$B$34,$B$35,$B$36,$B$38,$B$39)*100),0,B34/SUM($B$32,$B$34,$B$35,$B$36,$B$38,$B$39)*100)</f>
        <v>3.0033943069465154</v>
      </c>
      <c r="D34" s="233"/>
      <c r="G34" s="15"/>
    </row>
    <row r="35" spans="1:7">
      <c r="A35" s="171" t="s">
        <v>73</v>
      </c>
      <c r="B35" s="33">
        <f>IF((($B$28-$B$32-$B$39-$B$77-$B$38)*C21/100)&lt;0,0,($B$28-$B$32-$B$39-$B$77-$B$38)*C21/100)</f>
        <v>9133.3590951932129</v>
      </c>
      <c r="C35" s="167">
        <f>IF(ISERROR(B35/SUM($B$32,$B$34,$B$35,$B$36,$B$38,$B$39)*100),0,B35/SUM($B$32,$B$34,$B$35,$B$36,$B$38,$B$39)*100)</f>
        <v>24.44558400297953</v>
      </c>
      <c r="D35" s="233"/>
      <c r="G35" s="15"/>
    </row>
    <row r="36" spans="1:7">
      <c r="A36" s="171" t="s">
        <v>74</v>
      </c>
      <c r="B36" s="33">
        <f>IF((($B$28-$B$32-$B$39-$B$77-$B$38)*C22/100)&lt;0,0,($B$28-$B$32-$B$39-$B$77-$B$38)*C22/100)</f>
        <v>802.51272384542881</v>
      </c>
      <c r="C36" s="167">
        <f>IF(ISERROR(B36/SUM($B$32,$B$34,$B$35,$B$36,$B$38,$B$39)*100),0,B36/SUM($B$32,$B$34,$B$35,$B$36,$B$38,$B$39)*100)</f>
        <v>2.1479383433580344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26304</v>
      </c>
      <c r="C44" s="34" t="s">
        <v>110</v>
      </c>
      <c r="D44" s="174"/>
    </row>
    <row r="45" spans="1:7">
      <c r="A45" s="171" t="s">
        <v>71</v>
      </c>
      <c r="B45" s="33" t="str">
        <f t="shared" si="0"/>
        <v>-</v>
      </c>
      <c r="C45" s="34" t="s">
        <v>110</v>
      </c>
      <c r="D45" s="174"/>
    </row>
    <row r="46" spans="1:7">
      <c r="A46" s="171" t="s">
        <v>72</v>
      </c>
      <c r="B46" s="33">
        <f t="shared" si="0"/>
        <v>1122.1281809613572</v>
      </c>
      <c r="C46" s="34" t="s">
        <v>110</v>
      </c>
      <c r="D46" s="174"/>
    </row>
    <row r="47" spans="1:7">
      <c r="A47" s="171" t="s">
        <v>73</v>
      </c>
      <c r="B47" s="33">
        <f t="shared" si="0"/>
        <v>9133.3590951932129</v>
      </c>
      <c r="C47" s="34" t="s">
        <v>110</v>
      </c>
      <c r="D47" s="174"/>
    </row>
    <row r="48" spans="1:7">
      <c r="A48" s="171" t="s">
        <v>74</v>
      </c>
      <c r="B48" s="33">
        <f t="shared" si="0"/>
        <v>802.51272384542881</v>
      </c>
      <c r="C48" s="33">
        <f>B48*10</f>
        <v>8025.1272384542881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194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125512.61241899998</v>
      </c>
      <c r="C5" s="17">
        <f>IF(ISERROR('Eigen informatie GS &amp; warmtenet'!B60),0,'Eigen informatie GS &amp; warmtenet'!B60)</f>
        <v>0</v>
      </c>
      <c r="D5" s="30">
        <f>SUM(D6:D12)</f>
        <v>178999.43851145401</v>
      </c>
      <c r="E5" s="17">
        <f>SUM(E6:E12)</f>
        <v>1788.1260882018123</v>
      </c>
      <c r="F5" s="17">
        <f>SUM(F6:F12)</f>
        <v>13544.405684155437</v>
      </c>
      <c r="G5" s="18"/>
      <c r="H5" s="17"/>
      <c r="I5" s="17"/>
      <c r="J5" s="17">
        <f>SUM(J6:J12)</f>
        <v>0.21847202490894047</v>
      </c>
      <c r="K5" s="17"/>
      <c r="L5" s="17"/>
      <c r="M5" s="17"/>
      <c r="N5" s="17">
        <f>SUM(N6:N12)</f>
        <v>8733.4742196780735</v>
      </c>
      <c r="O5" s="17">
        <f>B38*B39*B40</f>
        <v>39.178086126729234</v>
      </c>
      <c r="P5" s="17">
        <f>B46*B47*B48/1000-B46*B47*B48/1000/B49</f>
        <v>577.93052137144514</v>
      </c>
      <c r="R5" s="32"/>
    </row>
    <row r="6" spans="1:18">
      <c r="A6" s="32" t="s">
        <v>53</v>
      </c>
      <c r="B6" s="37">
        <f>B26</f>
        <v>19315.403059999997</v>
      </c>
      <c r="C6" s="33"/>
      <c r="D6" s="37">
        <f>IF(ISERROR(TER_kantoor_gas_kWh/1000),0,TER_kantoor_gas_kWh/1000)*0.902</f>
        <v>34795.906062060007</v>
      </c>
      <c r="E6" s="33">
        <f>$C$26*'E Balans VL '!I12/100/3.6*1000000</f>
        <v>155.42485541769912</v>
      </c>
      <c r="F6" s="33">
        <f>$C$26*('E Balans VL '!L12+'E Balans VL '!N12)/100/3.6*1000000</f>
        <v>2361.5112156198802</v>
      </c>
      <c r="G6" s="34"/>
      <c r="H6" s="33"/>
      <c r="I6" s="33"/>
      <c r="J6" s="33">
        <f>$C$26*('E Balans VL '!D12+'E Balans VL '!E12)/100/3.6*1000000</f>
        <v>0</v>
      </c>
      <c r="K6" s="33"/>
      <c r="L6" s="33"/>
      <c r="M6" s="33"/>
      <c r="N6" s="33">
        <f>$C$26*'E Balans VL '!Y12/100/3.6*1000000</f>
        <v>10.381077964099854</v>
      </c>
      <c r="O6" s="33"/>
      <c r="P6" s="33"/>
      <c r="R6" s="32"/>
    </row>
    <row r="7" spans="1:18">
      <c r="A7" s="32" t="s">
        <v>52</v>
      </c>
      <c r="B7" s="37">
        <f t="shared" ref="B7:B12" si="0">B27</f>
        <v>12489.916800000001</v>
      </c>
      <c r="C7" s="33"/>
      <c r="D7" s="37">
        <f>IF(ISERROR(TER_horeca_gas_kWh/1000),0,TER_horeca_gas_kWh/1000)*0.902</f>
        <v>20304.10242476</v>
      </c>
      <c r="E7" s="33">
        <f>$C$27*'E Balans VL '!I9/100/3.6*1000000</f>
        <v>134.1110365583001</v>
      </c>
      <c r="F7" s="33">
        <f>$C$27*('E Balans VL '!L9+'E Balans VL '!N9)/100/3.6*1000000</f>
        <v>1502.2341268856005</v>
      </c>
      <c r="G7" s="34"/>
      <c r="H7" s="33"/>
      <c r="I7" s="33"/>
      <c r="J7" s="33">
        <f>$C$27*('E Balans VL '!D9+'E Balans VL '!E9)/100/3.6*1000000</f>
        <v>0</v>
      </c>
      <c r="K7" s="33"/>
      <c r="L7" s="33"/>
      <c r="M7" s="33"/>
      <c r="N7" s="33">
        <f>$C$27*'E Balans VL '!Y9/100/3.6*1000000</f>
        <v>1.8724916695442111</v>
      </c>
      <c r="O7" s="33"/>
      <c r="P7" s="33"/>
      <c r="R7" s="32"/>
    </row>
    <row r="8" spans="1:18">
      <c r="A8" s="6" t="s">
        <v>51</v>
      </c>
      <c r="B8" s="37">
        <f t="shared" si="0"/>
        <v>44006.16807</v>
      </c>
      <c r="C8" s="33"/>
      <c r="D8" s="37">
        <f>IF(ISERROR(TER_handel_gas_kWh/1000),0,TER_handel_gas_kWh/1000)*0.902</f>
        <v>41099.15723474</v>
      </c>
      <c r="E8" s="33">
        <f>$C$28*'E Balans VL '!I13/100/3.6*1000000</f>
        <v>1180.9908274221796</v>
      </c>
      <c r="F8" s="33">
        <f>$C$28*('E Balans VL '!L13+'E Balans VL '!N13)/100/3.6*1000000</f>
        <v>4199.5447389499104</v>
      </c>
      <c r="G8" s="34"/>
      <c r="H8" s="33"/>
      <c r="I8" s="33"/>
      <c r="J8" s="33">
        <f>$C$28*('E Balans VL '!D13+'E Balans VL '!E13)/100/3.6*1000000</f>
        <v>0</v>
      </c>
      <c r="K8" s="33"/>
      <c r="L8" s="33"/>
      <c r="M8" s="33"/>
      <c r="N8" s="33">
        <f>$C$28*'E Balans VL '!Y13/100/3.6*1000000</f>
        <v>17.444545390042489</v>
      </c>
      <c r="O8" s="33"/>
      <c r="P8" s="33"/>
      <c r="R8" s="32"/>
    </row>
    <row r="9" spans="1:18">
      <c r="A9" s="32" t="s">
        <v>50</v>
      </c>
      <c r="B9" s="37">
        <f t="shared" si="0"/>
        <v>21641.763219999997</v>
      </c>
      <c r="C9" s="33"/>
      <c r="D9" s="37">
        <f>IF(ISERROR(TER_gezond_gas_kWh/1000),0,TER_gezond_gas_kWh/1000)*0.902</f>
        <v>35576.34632728</v>
      </c>
      <c r="E9" s="33">
        <f>$C$29*'E Balans VL '!I10/100/3.6*1000000</f>
        <v>40.563711138386033</v>
      </c>
      <c r="F9" s="33">
        <f>$C$29*('E Balans VL '!L10+'E Balans VL '!N10)/100/3.6*1000000</f>
        <v>1779.150402557982</v>
      </c>
      <c r="G9" s="34"/>
      <c r="H9" s="33"/>
      <c r="I9" s="33"/>
      <c r="J9" s="33">
        <f>$C$29*('E Balans VL '!D10+'E Balans VL '!E10)/100/3.6*1000000</f>
        <v>0</v>
      </c>
      <c r="K9" s="33"/>
      <c r="L9" s="33"/>
      <c r="M9" s="33"/>
      <c r="N9" s="33">
        <f>$C$29*'E Balans VL '!Y10/100/3.6*1000000</f>
        <v>168.3890649270862</v>
      </c>
      <c r="O9" s="33"/>
      <c r="P9" s="33"/>
      <c r="R9" s="32"/>
    </row>
    <row r="10" spans="1:18">
      <c r="A10" s="32" t="s">
        <v>49</v>
      </c>
      <c r="B10" s="37">
        <f t="shared" si="0"/>
        <v>11383.1083</v>
      </c>
      <c r="C10" s="33"/>
      <c r="D10" s="37">
        <f>IF(ISERROR(TER_ander_gas_kWh/1000),0,TER_ander_gas_kWh/1000)*0.902</f>
        <v>9587.4770640000006</v>
      </c>
      <c r="E10" s="33">
        <f>$C$30*'E Balans VL '!I14/100/3.6*1000000</f>
        <v>17.547176787704199</v>
      </c>
      <c r="F10" s="33">
        <f>$C$30*('E Balans VL '!L14+'E Balans VL '!N14)/100/3.6*1000000</f>
        <v>1767.2307060548155</v>
      </c>
      <c r="G10" s="34"/>
      <c r="H10" s="33"/>
      <c r="I10" s="33"/>
      <c r="J10" s="33">
        <f>$C$30*('E Balans VL '!D14+'E Balans VL '!E14)/100/3.6*1000000</f>
        <v>0.19324026830081234</v>
      </c>
      <c r="K10" s="33"/>
      <c r="L10" s="33"/>
      <c r="M10" s="33"/>
      <c r="N10" s="33">
        <f>$C$30*'E Balans VL '!Y14/100/3.6*1000000</f>
        <v>7530.6996253975012</v>
      </c>
      <c r="O10" s="33"/>
      <c r="P10" s="33"/>
      <c r="R10" s="32"/>
    </row>
    <row r="11" spans="1:18">
      <c r="A11" s="32" t="s">
        <v>54</v>
      </c>
      <c r="B11" s="37">
        <f t="shared" si="0"/>
        <v>3510.3499190000002</v>
      </c>
      <c r="C11" s="33"/>
      <c r="D11" s="37">
        <f>IF(ISERROR(TER_onderwijs_gas_kWh/1000),0,TER_onderwijs_gas_kWh/1000)*0.902</f>
        <v>8566.2139898940004</v>
      </c>
      <c r="E11" s="33">
        <f>$C$31*'E Balans VL '!I11/100/3.6*1000000</f>
        <v>89.537898822547589</v>
      </c>
      <c r="F11" s="33">
        <f>$C$31*('E Balans VL '!L11+'E Balans VL '!N11)/100/3.6*1000000</f>
        <v>422.15261843142054</v>
      </c>
      <c r="G11" s="34"/>
      <c r="H11" s="33"/>
      <c r="I11" s="33"/>
      <c r="J11" s="33">
        <f>$C$31*('E Balans VL '!D11+'E Balans VL '!E11)/100/3.6*1000000</f>
        <v>0</v>
      </c>
      <c r="K11" s="33"/>
      <c r="L11" s="33"/>
      <c r="M11" s="33"/>
      <c r="N11" s="33">
        <f>$C$31*'E Balans VL '!Y11/100/3.6*1000000</f>
        <v>7.8069325665799312</v>
      </c>
      <c r="O11" s="33"/>
      <c r="P11" s="33"/>
      <c r="R11" s="32"/>
    </row>
    <row r="12" spans="1:18">
      <c r="A12" s="32" t="s">
        <v>259</v>
      </c>
      <c r="B12" s="37">
        <f t="shared" si="0"/>
        <v>13165.903050000001</v>
      </c>
      <c r="C12" s="33"/>
      <c r="D12" s="37">
        <f>IF(ISERROR(TER_rest_gas_kWh/1000),0,TER_rest_gas_kWh/1000)*0.902</f>
        <v>29070.23540872</v>
      </c>
      <c r="E12" s="33">
        <f>$C$32*'E Balans VL '!I8/100/3.6*1000000</f>
        <v>169.95058205499572</v>
      </c>
      <c r="F12" s="33">
        <f>$C$32*('E Balans VL '!L8+'E Balans VL '!N8)/100/3.6*1000000</f>
        <v>1512.5818756558269</v>
      </c>
      <c r="G12" s="34"/>
      <c r="H12" s="33"/>
      <c r="I12" s="33"/>
      <c r="J12" s="33">
        <f>$C$32*('E Balans VL '!D8+'E Balans VL '!E8)/100/3.6*1000000</f>
        <v>2.5231756608128118E-2</v>
      </c>
      <c r="K12" s="33"/>
      <c r="L12" s="33"/>
      <c r="M12" s="33"/>
      <c r="N12" s="33">
        <f>$C$32*'E Balans VL '!Y8/100/3.6*1000000</f>
        <v>996.88048176321968</v>
      </c>
      <c r="O12" s="33"/>
      <c r="P12" s="33"/>
      <c r="R12" s="32"/>
    </row>
    <row r="13" spans="1:18">
      <c r="A13" s="16" t="s">
        <v>482</v>
      </c>
      <c r="B13" s="247">
        <f ca="1">'lokale energieproductie'!N91+'lokale energieproductie'!N60</f>
        <v>2866.5</v>
      </c>
      <c r="C13" s="247">
        <f ca="1">'lokale energieproductie'!O91+'lokale energieproductie'!O60</f>
        <v>4095</v>
      </c>
      <c r="D13" s="310">
        <f ca="1">('lokale energieproductie'!P60+'lokale energieproductie'!P91)*(-1)</f>
        <v>-8190.0000000000009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128379.11241899998</v>
      </c>
      <c r="C16" s="21">
        <f t="shared" ca="1" si="1"/>
        <v>4095</v>
      </c>
      <c r="D16" s="21">
        <f t="shared" ca="1" si="1"/>
        <v>170809.43851145401</v>
      </c>
      <c r="E16" s="21">
        <f t="shared" si="1"/>
        <v>1788.1260882018123</v>
      </c>
      <c r="F16" s="21">
        <f t="shared" ca="1" si="1"/>
        <v>13544.405684155437</v>
      </c>
      <c r="G16" s="21">
        <f t="shared" si="1"/>
        <v>0</v>
      </c>
      <c r="H16" s="21">
        <f t="shared" si="1"/>
        <v>0</v>
      </c>
      <c r="I16" s="21">
        <f t="shared" si="1"/>
        <v>0</v>
      </c>
      <c r="J16" s="21">
        <f t="shared" si="1"/>
        <v>0.21847202490894047</v>
      </c>
      <c r="K16" s="21">
        <f t="shared" si="1"/>
        <v>0</v>
      </c>
      <c r="L16" s="21">
        <f t="shared" ca="1" si="1"/>
        <v>0</v>
      </c>
      <c r="M16" s="21">
        <f t="shared" si="1"/>
        <v>0</v>
      </c>
      <c r="N16" s="21">
        <f t="shared" ca="1" si="1"/>
        <v>8733.4742196780735</v>
      </c>
      <c r="O16" s="21">
        <f>O5</f>
        <v>39.178086126729234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0.20722804949830217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26603.753062912627</v>
      </c>
      <c r="C20" s="23">
        <f t="shared" ref="C20:P20" ca="1" si="2">C16*C18</f>
        <v>973.16470588235302</v>
      </c>
      <c r="D20" s="23">
        <f t="shared" ca="1" si="2"/>
        <v>34503.506579313711</v>
      </c>
      <c r="E20" s="23">
        <f t="shared" si="2"/>
        <v>405.90462202181141</v>
      </c>
      <c r="F20" s="23">
        <f t="shared" ca="1" si="2"/>
        <v>3616.356317669502</v>
      </c>
      <c r="G20" s="23">
        <f t="shared" si="2"/>
        <v>0</v>
      </c>
      <c r="H20" s="23">
        <f t="shared" si="2"/>
        <v>0</v>
      </c>
      <c r="I20" s="23">
        <f t="shared" si="2"/>
        <v>0</v>
      </c>
      <c r="J20" s="23">
        <f t="shared" si="2"/>
        <v>7.7339096817764921E-2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19315.403059999997</v>
      </c>
      <c r="C26" s="39">
        <f>IF(ISERROR(B26*3.6/1000000/'E Balans VL '!Z12*100),0,B26*3.6/1000000/'E Balans VL '!Z12*100)</f>
        <v>0.40975860435339062</v>
      </c>
      <c r="D26" s="237" t="s">
        <v>716</v>
      </c>
      <c r="F26" s="6"/>
    </row>
    <row r="27" spans="1:18">
      <c r="A27" s="231" t="s">
        <v>52</v>
      </c>
      <c r="B27" s="33">
        <f>IF(ISERROR(TER_horeca_ele_kWh/1000),0,TER_horeca_ele_kWh/1000)</f>
        <v>12489.916800000001</v>
      </c>
      <c r="C27" s="39">
        <f>IF(ISERROR(B27*3.6/1000000/'E Balans VL '!Z9*100),0,B27*3.6/1000000/'E Balans VL '!Z9*100)</f>
        <v>0.94060137704987667</v>
      </c>
      <c r="D27" s="237" t="s">
        <v>716</v>
      </c>
      <c r="F27" s="6"/>
    </row>
    <row r="28" spans="1:18">
      <c r="A28" s="171" t="s">
        <v>51</v>
      </c>
      <c r="B28" s="33">
        <f>IF(ISERROR(TER_handel_ele_kWh/1000),0,TER_handel_ele_kWh/1000)</f>
        <v>44006.16807</v>
      </c>
      <c r="C28" s="39">
        <f>IF(ISERROR(B28*3.6/1000000/'E Balans VL '!Z13*100),0,B28*3.6/1000000/'E Balans VL '!Z13*100)</f>
        <v>1.277343133052999</v>
      </c>
      <c r="D28" s="237" t="s">
        <v>716</v>
      </c>
      <c r="F28" s="6"/>
    </row>
    <row r="29" spans="1:18">
      <c r="A29" s="231" t="s">
        <v>50</v>
      </c>
      <c r="B29" s="33">
        <f>IF(ISERROR(TER_gezond_ele_kWh/1000),0,TER_gezond_ele_kWh/1000)</f>
        <v>21641.763219999997</v>
      </c>
      <c r="C29" s="39">
        <f>IF(ISERROR(B29*3.6/1000000/'E Balans VL '!Z10*100),0,B29*3.6/1000000/'E Balans VL '!Z10*100)</f>
        <v>2.1825976295908114</v>
      </c>
      <c r="D29" s="237" t="s">
        <v>716</v>
      </c>
      <c r="F29" s="6"/>
    </row>
    <row r="30" spans="1:18">
      <c r="A30" s="231" t="s">
        <v>49</v>
      </c>
      <c r="B30" s="33">
        <f>IF(ISERROR(TER_ander_ele_kWh/1000),0,TER_ander_ele_kWh/1000)</f>
        <v>11383.1083</v>
      </c>
      <c r="C30" s="39">
        <f>IF(ISERROR(B30*3.6/1000000/'E Balans VL '!Z14*100),0,B30*3.6/1000000/'E Balans VL '!Z14*100)</f>
        <v>0.82599980123616923</v>
      </c>
      <c r="D30" s="237" t="s">
        <v>716</v>
      </c>
      <c r="F30" s="6"/>
    </row>
    <row r="31" spans="1:18">
      <c r="A31" s="231" t="s">
        <v>54</v>
      </c>
      <c r="B31" s="33">
        <f>IF(ISERROR(TER_onderwijs_ele_kWh/1000),0,TER_onderwijs_ele_kWh/1000)</f>
        <v>3510.3499190000002</v>
      </c>
      <c r="C31" s="39">
        <f>IF(ISERROR(B31*3.6/1000000/'E Balans VL '!Z11*100),0,B31*3.6/1000000/'E Balans VL '!Z11*100)</f>
        <v>1.0005926750198839</v>
      </c>
      <c r="D31" s="237" t="s">
        <v>716</v>
      </c>
    </row>
    <row r="32" spans="1:18">
      <c r="A32" s="231" t="s">
        <v>259</v>
      </c>
      <c r="B32" s="33">
        <f>IF(ISERROR(TER_rest_ele_kWh/1000),0,TER_rest_ele_kWh/1000)</f>
        <v>13165.903050000001</v>
      </c>
      <c r="C32" s="39">
        <f>IF(ISERROR(B32*3.6/1000000/'E Balans VL '!Z8*100),0,B32*3.6/1000000/'E Balans VL '!Z8*100)</f>
        <v>0.10785239601670341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99245.844660999996</v>
      </c>
      <c r="C5" s="17">
        <f>IF(ISERROR('Eigen informatie GS &amp; warmtenet'!B61),0,'Eigen informatie GS &amp; warmtenet'!B61)</f>
        <v>0</v>
      </c>
      <c r="D5" s="30">
        <f>SUM(D6:D15)</f>
        <v>130754.06898153601</v>
      </c>
      <c r="E5" s="17">
        <f>SUM(E6:E15)</f>
        <v>9519.959336818627</v>
      </c>
      <c r="F5" s="17">
        <f>SUM(F6:F15)</f>
        <v>31656.012410128493</v>
      </c>
      <c r="G5" s="18"/>
      <c r="H5" s="17"/>
      <c r="I5" s="17"/>
      <c r="J5" s="17">
        <f>SUM(J6:J15)</f>
        <v>473.1817292641453</v>
      </c>
      <c r="K5" s="17"/>
      <c r="L5" s="17"/>
      <c r="M5" s="17"/>
      <c r="N5" s="17">
        <f>SUM(N6:N15)</f>
        <v>4619.7228867542144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9541.3096600000008</v>
      </c>
      <c r="C8" s="33"/>
      <c r="D8" s="37">
        <f>IF( ISERROR(IND_metaal_Gas_kWH/1000),0,IND_metaal_Gas_kWH/1000)*0.902</f>
        <v>4080.3193860660003</v>
      </c>
      <c r="E8" s="33">
        <f>C30*'E Balans VL '!I18/100/3.6*1000000</f>
        <v>68.833852479908373</v>
      </c>
      <c r="F8" s="33">
        <f>C30*'E Balans VL '!L18/100/3.6*1000000+C30*'E Balans VL '!N18/100/3.6*1000000</f>
        <v>902.4319644097634</v>
      </c>
      <c r="G8" s="34"/>
      <c r="H8" s="33"/>
      <c r="I8" s="33"/>
      <c r="J8" s="40">
        <f>C30*'E Balans VL '!D18/100/3.6*1000000+C30*'E Balans VL '!E18/100/3.6*1000000</f>
        <v>9.5967047024687311</v>
      </c>
      <c r="K8" s="33"/>
      <c r="L8" s="33"/>
      <c r="M8" s="33"/>
      <c r="N8" s="33">
        <f>C30*'E Balans VL '!Y18/100/3.6*1000000</f>
        <v>120.62739791552826</v>
      </c>
      <c r="O8" s="33"/>
      <c r="P8" s="33"/>
      <c r="R8" s="32"/>
    </row>
    <row r="9" spans="1:18">
      <c r="A9" s="6" t="s">
        <v>32</v>
      </c>
      <c r="B9" s="37">
        <f t="shared" si="0"/>
        <v>24578.59143</v>
      </c>
      <c r="C9" s="33"/>
      <c r="D9" s="37">
        <f>IF( ISERROR(IND_andere_gas_kWh/1000),0,IND_andere_gas_kWh/1000)*0.902</f>
        <v>13184.040723260003</v>
      </c>
      <c r="E9" s="33">
        <f>C31*'E Balans VL '!I19/100/3.6*1000000</f>
        <v>6811.0563421952938</v>
      </c>
      <c r="F9" s="33">
        <f>C31*'E Balans VL '!L19/100/3.6*1000000+C31*'E Balans VL '!N19/100/3.6*1000000</f>
        <v>20370.789691929433</v>
      </c>
      <c r="G9" s="34"/>
      <c r="H9" s="33"/>
      <c r="I9" s="33"/>
      <c r="J9" s="40">
        <f>C31*'E Balans VL '!D19/100/3.6*1000000+C31*'E Balans VL '!E19/100/3.6*1000000</f>
        <v>0</v>
      </c>
      <c r="K9" s="33"/>
      <c r="L9" s="33"/>
      <c r="M9" s="33"/>
      <c r="N9" s="33">
        <f>C31*'E Balans VL '!Y19/100/3.6*1000000</f>
        <v>1784.105109099268</v>
      </c>
      <c r="O9" s="33"/>
      <c r="P9" s="33"/>
      <c r="R9" s="32"/>
    </row>
    <row r="10" spans="1:18">
      <c r="A10" s="6" t="s">
        <v>40</v>
      </c>
      <c r="B10" s="37">
        <f t="shared" si="0"/>
        <v>9492.2760399999988</v>
      </c>
      <c r="C10" s="33"/>
      <c r="D10" s="37">
        <f>IF( ISERROR(IND_voed_gas_kWh/1000),0,IND_voed_gas_kWh/1000)*0.902</f>
        <v>2129.0960528200003</v>
      </c>
      <c r="E10" s="33">
        <f>C32*'E Balans VL '!I20/100/3.6*1000000</f>
        <v>16.804543830832994</v>
      </c>
      <c r="F10" s="33">
        <f>C32*'E Balans VL '!L20/100/3.6*1000000+C32*'E Balans VL '!N20/100/3.6*1000000</f>
        <v>512.66703544789038</v>
      </c>
      <c r="G10" s="34"/>
      <c r="H10" s="33"/>
      <c r="I10" s="33"/>
      <c r="J10" s="40">
        <f>C32*'E Balans VL '!D20/100/3.6*1000000+C32*'E Balans VL '!E20/100/3.6*1000000</f>
        <v>0</v>
      </c>
      <c r="K10" s="33"/>
      <c r="L10" s="33"/>
      <c r="M10" s="33"/>
      <c r="N10" s="33">
        <f>C32*'E Balans VL '!Y20/100/3.6*1000000</f>
        <v>551.57373133944975</v>
      </c>
      <c r="O10" s="33"/>
      <c r="P10" s="33"/>
      <c r="R10" s="32"/>
    </row>
    <row r="11" spans="1:18">
      <c r="A11" s="6" t="s">
        <v>39</v>
      </c>
      <c r="B11" s="37">
        <f t="shared" si="0"/>
        <v>88.708620999999994</v>
      </c>
      <c r="C11" s="33"/>
      <c r="D11" s="37">
        <f>IF( ISERROR(IND_textiel_gas_kWh/1000),0,IND_textiel_gas_kWh/1000)*0.902</f>
        <v>0</v>
      </c>
      <c r="E11" s="33">
        <f>C33*'E Balans VL '!I21/100/3.6*1000000</f>
        <v>0.31270709653366402</v>
      </c>
      <c r="F11" s="33">
        <f>C33*'E Balans VL '!L21/100/3.6*1000000+C33*'E Balans VL '!N21/100/3.6*1000000</f>
        <v>2.6037306777924352</v>
      </c>
      <c r="G11" s="34"/>
      <c r="H11" s="33"/>
      <c r="I11" s="33"/>
      <c r="J11" s="40">
        <f>C33*'E Balans VL '!D21/100/3.6*1000000+C33*'E Balans VL '!E21/100/3.6*1000000</f>
        <v>0</v>
      </c>
      <c r="K11" s="33"/>
      <c r="L11" s="33"/>
      <c r="M11" s="33"/>
      <c r="N11" s="33">
        <f>C33*'E Balans VL '!Y21/100/3.6*1000000</f>
        <v>3.9084891429512085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46.628980000000006</v>
      </c>
      <c r="C13" s="33"/>
      <c r="D13" s="37">
        <f>IF( ISERROR(IND_papier_gas_kWh/1000),0,IND_papier_gas_kWh/1000)*0.902</f>
        <v>62.210439390000012</v>
      </c>
      <c r="E13" s="33">
        <f>C35*'E Balans VL '!I23/100/3.6*1000000</f>
        <v>6.8607241047363043E-2</v>
      </c>
      <c r="F13" s="33">
        <f>C35*'E Balans VL '!L23/100/3.6*1000000+C35*'E Balans VL '!N23/100/3.6*1000000</f>
        <v>0.4992707819271282</v>
      </c>
      <c r="G13" s="34"/>
      <c r="H13" s="33"/>
      <c r="I13" s="33"/>
      <c r="J13" s="40">
        <f>C35*'E Balans VL '!D23/100/3.6*1000000+C35*'E Balans VL '!E23/100/3.6*1000000</f>
        <v>5.1014718936367274</v>
      </c>
      <c r="K13" s="33"/>
      <c r="L13" s="33"/>
      <c r="M13" s="33"/>
      <c r="N13" s="33">
        <f>C35*'E Balans VL '!Y23/100/3.6*1000000</f>
        <v>-0.42241860393401437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55498.32993</v>
      </c>
      <c r="C15" s="33"/>
      <c r="D15" s="37">
        <f>IF( ISERROR(IND_rest_gas_kWh/1000),0,IND_rest_gas_kWh/1000)*0.902</f>
        <v>111298.40238</v>
      </c>
      <c r="E15" s="33">
        <f>C37*'E Balans VL '!I15/100/3.6*1000000</f>
        <v>2622.8832839750107</v>
      </c>
      <c r="F15" s="33">
        <f>C37*'E Balans VL '!L15/100/3.6*1000000+C37*'E Balans VL '!N15/100/3.6*1000000</f>
        <v>9867.0207168816887</v>
      </c>
      <c r="G15" s="34"/>
      <c r="H15" s="33"/>
      <c r="I15" s="33"/>
      <c r="J15" s="40">
        <f>C37*'E Balans VL '!D15/100/3.6*1000000+C37*'E Balans VL '!E15/100/3.6*1000000</f>
        <v>458.48355266803986</v>
      </c>
      <c r="K15" s="33"/>
      <c r="L15" s="33"/>
      <c r="M15" s="33"/>
      <c r="N15" s="33">
        <f>C37*'E Balans VL '!Y15/100/3.6*1000000</f>
        <v>2159.9305778609519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99245.844660999996</v>
      </c>
      <c r="C18" s="21">
        <f>C5+C16</f>
        <v>0</v>
      </c>
      <c r="D18" s="21">
        <f>MAX((D5+D16),0)</f>
        <v>130754.06898153601</v>
      </c>
      <c r="E18" s="21">
        <f>MAX((E5+E16),0)</f>
        <v>9519.959336818627</v>
      </c>
      <c r="F18" s="21">
        <f>MAX((F5+F16),0)</f>
        <v>31656.012410128493</v>
      </c>
      <c r="G18" s="21"/>
      <c r="H18" s="21"/>
      <c r="I18" s="21"/>
      <c r="J18" s="21">
        <f>MAX((J5+J16),0)</f>
        <v>473.1817292641453</v>
      </c>
      <c r="K18" s="21"/>
      <c r="L18" s="21">
        <f>MAX((L5+L16),0)</f>
        <v>0</v>
      </c>
      <c r="M18" s="21"/>
      <c r="N18" s="21">
        <f>MAX((N5+N16),0)</f>
        <v>4619.7228867542144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0.20722804949830217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20566.522809910515</v>
      </c>
      <c r="C22" s="23">
        <f ca="1">C18*C20</f>
        <v>0</v>
      </c>
      <c r="D22" s="23">
        <f>D18*D20</f>
        <v>26412.321934270276</v>
      </c>
      <c r="E22" s="23">
        <f>E18*E20</f>
        <v>2161.0307694578282</v>
      </c>
      <c r="F22" s="23">
        <f>F18*F20</f>
        <v>8452.1553135043087</v>
      </c>
      <c r="G22" s="23"/>
      <c r="H22" s="23"/>
      <c r="I22" s="23"/>
      <c r="J22" s="23">
        <f>J18*J20</f>
        <v>167.50633215950742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9541.3096600000008</v>
      </c>
      <c r="C30" s="39">
        <f>IF(ISERROR(B30*3.6/1000000/'E Balans VL '!Z18*100),0,B30*3.6/1000000/'E Balans VL '!Z18*100)</f>
        <v>0.55080491891152428</v>
      </c>
      <c r="D30" s="237" t="s">
        <v>716</v>
      </c>
    </row>
    <row r="31" spans="1:18">
      <c r="A31" s="6" t="s">
        <v>32</v>
      </c>
      <c r="B31" s="37">
        <f>IF( ISERROR(IND_ander_ele_kWh/1000),0,IND_ander_ele_kWh/1000)</f>
        <v>24578.59143</v>
      </c>
      <c r="C31" s="39">
        <f>IF(ISERROR(B31*3.6/1000000/'E Balans VL '!Z19*100),0,B31*3.6/1000000/'E Balans VL '!Z19*100)</f>
        <v>1.2362234805097188</v>
      </c>
      <c r="D31" s="237" t="s">
        <v>716</v>
      </c>
    </row>
    <row r="32" spans="1:18">
      <c r="A32" s="171" t="s">
        <v>40</v>
      </c>
      <c r="B32" s="37">
        <f>IF( ISERROR(IND_voed_ele_kWh/1000),0,IND_voed_ele_kWh/1000)</f>
        <v>9492.2760399999988</v>
      </c>
      <c r="C32" s="39">
        <f>IF(ISERROR(B32*3.6/1000000/'E Balans VL '!Z20*100),0,B32*3.6/1000000/'E Balans VL '!Z20*100)</f>
        <v>0.31614915962202028</v>
      </c>
      <c r="D32" s="237" t="s">
        <v>716</v>
      </c>
    </row>
    <row r="33" spans="1:5">
      <c r="A33" s="171" t="s">
        <v>39</v>
      </c>
      <c r="B33" s="37">
        <f>IF( ISERROR(IND_textiel_ele_kWh/1000),0,IND_textiel_ele_kWh/1000)</f>
        <v>88.708620999999994</v>
      </c>
      <c r="C33" s="39">
        <f>IF(ISERROR(B33*3.6/1000000/'E Balans VL '!Z21*100),0,B33*3.6/1000000/'E Balans VL '!Z21*100)</f>
        <v>1.3830803046799452E-2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46.628980000000006</v>
      </c>
      <c r="C35" s="39">
        <f>IF(ISERROR(B35*3.6/1000000/'E Balans VL '!Z22*100),0,B35*3.6/1000000/'E Balans VL '!Z22*100)</f>
        <v>8.6978797271343861E-3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55498.32993</v>
      </c>
      <c r="C37" s="39">
        <f>IF(ISERROR(B37*3.6/1000000/'E Balans VL '!Z15*100),0,B37*3.6/1000000/'E Balans VL '!Z15*100)</f>
        <v>0.43303874091819206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1681.3327140000001</v>
      </c>
      <c r="C5" s="17">
        <f>'Eigen informatie GS &amp; warmtenet'!B62</f>
        <v>0</v>
      </c>
      <c r="D5" s="30">
        <f>IF(ISERROR(SUM(LB_lb_gas_kWh,LB_rest_gas_kWh)/1000),0,SUM(LB_lb_gas_kWh,LB_rest_gas_kWh)/1000)*0.902</f>
        <v>668.32397975200001</v>
      </c>
      <c r="E5" s="17">
        <f>B17*'E Balans VL '!I25/3.6*1000000/100</f>
        <v>52.473839568810419</v>
      </c>
      <c r="F5" s="17">
        <f>B17*('E Balans VL '!L25/3.6*1000000+'E Balans VL '!N25/3.6*1000000)/100</f>
        <v>5942.0160642896981</v>
      </c>
      <c r="G5" s="18"/>
      <c r="H5" s="17"/>
      <c r="I5" s="17"/>
      <c r="J5" s="17">
        <f>('E Balans VL '!D25+'E Balans VL '!E25)/3.6*1000000*landbouw!B17/100</f>
        <v>463.21882264718471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1681.3327140000001</v>
      </c>
      <c r="C8" s="21">
        <f>C5+C6</f>
        <v>0</v>
      </c>
      <c r="D8" s="21">
        <f>MAX((D5+D6),0)</f>
        <v>668.32397975200001</v>
      </c>
      <c r="E8" s="21">
        <f>MAX((E5+E6),0)</f>
        <v>52.473839568810419</v>
      </c>
      <c r="F8" s="21">
        <f>MAX((F5+F6),0)</f>
        <v>5942.0160642896981</v>
      </c>
      <c r="G8" s="21"/>
      <c r="H8" s="21"/>
      <c r="I8" s="21"/>
      <c r="J8" s="21">
        <f>MAX((J5+J6),0)</f>
        <v>463.21882264718471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0.20722804949830217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348.41929887990676</v>
      </c>
      <c r="C12" s="23">
        <f ca="1">C8*C10</f>
        <v>0</v>
      </c>
      <c r="D12" s="23">
        <f>D8*D10</f>
        <v>135.001443909904</v>
      </c>
      <c r="E12" s="23">
        <f>E8*E10</f>
        <v>11.911561582119965</v>
      </c>
      <c r="F12" s="23">
        <f>F8*F10</f>
        <v>1586.5182891653494</v>
      </c>
      <c r="G12" s="23"/>
      <c r="H12" s="23"/>
      <c r="I12" s="23"/>
      <c r="J12" s="23">
        <f>J8*J10</f>
        <v>163.97946321710339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0.2499421608706742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165.39951660285664</v>
      </c>
      <c r="C26" s="247">
        <f>B26*'GWP N2O_CH4'!B5</f>
        <v>3473.3898486599892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44.260208413411966</v>
      </c>
      <c r="C27" s="247">
        <f>B27*'GWP N2O_CH4'!B5</f>
        <v>929.46437668165129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1.9744390541820358</v>
      </c>
      <c r="C28" s="247">
        <f>B28*'GWP N2O_CH4'!B4</f>
        <v>612.07610679643108</v>
      </c>
      <c r="D28" s="50"/>
    </row>
    <row r="29" spans="1:4">
      <c r="A29" s="41" t="s">
        <v>276</v>
      </c>
      <c r="B29" s="247">
        <f>B34*'ha_N2O bodem landbouw'!B4</f>
        <v>17.387318826095918</v>
      </c>
      <c r="C29" s="247">
        <f>B29*'GWP N2O_CH4'!B4</f>
        <v>5390.0688360897348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3.8127259669262794E-3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1.232656127065E-3</v>
      </c>
      <c r="C5" s="463" t="s">
        <v>210</v>
      </c>
      <c r="D5" s="448">
        <f>SUM(D6:D11)</f>
        <v>5.1200811210298115E-3</v>
      </c>
      <c r="E5" s="448">
        <f>SUM(E6:E11)</f>
        <v>4.3255795220927991E-3</v>
      </c>
      <c r="F5" s="461" t="s">
        <v>210</v>
      </c>
      <c r="G5" s="448">
        <f>SUM(G6:G11)</f>
        <v>1.7081946275929276</v>
      </c>
      <c r="H5" s="448">
        <f>SUM(H6:H11)</f>
        <v>0.38744560076024154</v>
      </c>
      <c r="I5" s="463" t="s">
        <v>210</v>
      </c>
      <c r="J5" s="463" t="s">
        <v>210</v>
      </c>
      <c r="K5" s="463" t="s">
        <v>210</v>
      </c>
      <c r="L5" s="463" t="s">
        <v>210</v>
      </c>
      <c r="M5" s="448">
        <f>SUM(M6:M11)</f>
        <v>0.12395973115103023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3.9620734386499999E-4</v>
      </c>
      <c r="C6" s="449"/>
      <c r="D6" s="917">
        <f>vkm_2011_GW_PW*SUMIFS(TableVerdeelsleutelVkm[CNG],TableVerdeelsleutelVkm[Voertuigtype],"Lichte voertuigen")*SUMIFS(TableECFTransport[EnergieConsumptieFactor (PJ per km)],TableECFTransport[Index],CONCATENATE($A6,"_CNG_CNG"))</f>
        <v>1.377680421598404E-3</v>
      </c>
      <c r="E6" s="917">
        <f>vkm_2011_GW_PW*SUMIFS(TableVerdeelsleutelVkm[LPG],TableVerdeelsleutelVkm[Voertuigtype],"Lichte voertuigen")*SUMIFS(TableECFTransport[EnergieConsumptieFactor (PJ per km)],TableECFTransport[Index],CONCATENATE($A6,"_LPG_LPG"))</f>
        <v>1.0853851922267999E-3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0.29545446957618277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0.10338944072698192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2.3833430513430051E-2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0.18538415328763541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4.6704242191169882E-5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1.0689829458992826E-2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2.7917976333999999E-4</v>
      </c>
      <c r="C8" s="449"/>
      <c r="D8" s="451">
        <f>vkm_2011_NGW_PW*SUMIFS(TableVerdeelsleutelVkm[CNG],TableVerdeelsleutelVkm[Voertuigtype],"Lichte voertuigen")*SUMIFS(TableECFTransport[EnergieConsumptieFactor (PJ per km)],TableECFTransport[Index],CONCATENATE($A8,"_CNG_CNG"))</f>
        <v>1.7179880098550399E-3</v>
      </c>
      <c r="E8" s="451">
        <f>vkm_2011_NGW_PW*SUMIFS(TableVerdeelsleutelVkm[LPG],TableVerdeelsleutelVkm[Voertuigtype],"Lichte voertuigen")*SUMIFS(TableECFTransport[EnergieConsumptieFactor (PJ per km)],TableECFTransport[Index],CONCATENATE($A8,"_LPG_LPG"))</f>
        <v>1.2547702332653E-3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0.31696009697552757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0.12562863096695681</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2.6536166277596786E-2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0.11683056623294187</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2.7772008796259939E-5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6.7367061590961281E-3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5.5726901985999992E-4</v>
      </c>
      <c r="C10" s="449"/>
      <c r="D10" s="451">
        <f>vkm_2011_SW_PW*SUMIFS(TableVerdeelsleutelVkm[CNG],TableVerdeelsleutelVkm[Voertuigtype],"Lichte voertuigen")*SUMIFS(TableECFTransport[EnergieConsumptieFactor (PJ per km)],TableECFTransport[Index],CONCATENATE($A10,"_CNG_CNG"))</f>
        <v>2.024412689576368E-3</v>
      </c>
      <c r="E10" s="451">
        <f>vkm_2011_SW_PW*SUMIFS(TableVerdeelsleutelVkm[LPG],TableVerdeelsleutelVkm[Voertuigtype],"Lichte voertuigen")*SUMIFS(TableECFTransport[EnergieConsumptieFactor (PJ per km)],TableECFTransport[Index],CONCATENATE($A10,"_LPG_LPG"))</f>
        <v>1.9854240966006996E-3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0.48008614311643949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0.15826751605304024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3.8086977151263975E-2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0.31347919840420074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8.553676227515313E-5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1.8076621590650467E-2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342.40447974027774</v>
      </c>
      <c r="C14" s="21"/>
      <c r="D14" s="21">
        <f t="shared" ref="D14:M14" si="0">((D5)*10^9/3600)+D12</f>
        <v>1422.2447558416145</v>
      </c>
      <c r="E14" s="21">
        <f t="shared" si="0"/>
        <v>1201.5498672479996</v>
      </c>
      <c r="F14" s="21"/>
      <c r="G14" s="21">
        <f t="shared" si="0"/>
        <v>474498.50766470213</v>
      </c>
      <c r="H14" s="21">
        <f t="shared" si="0"/>
        <v>107623.77798895598</v>
      </c>
      <c r="I14" s="21"/>
      <c r="J14" s="21"/>
      <c r="K14" s="21"/>
      <c r="L14" s="21"/>
      <c r="M14" s="21">
        <f t="shared" si="0"/>
        <v>34433.258653063953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0.20722804949830217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70.955812476058682</v>
      </c>
      <c r="C18" s="23"/>
      <c r="D18" s="23">
        <f t="shared" ref="D18:M18" si="1">D14*D16</f>
        <v>287.29344068000614</v>
      </c>
      <c r="E18" s="23">
        <f t="shared" si="1"/>
        <v>272.75181986529594</v>
      </c>
      <c r="F18" s="23"/>
      <c r="G18" s="23">
        <f t="shared" si="1"/>
        <v>126691.10154647547</v>
      </c>
      <c r="H18" s="23">
        <f t="shared" si="1"/>
        <v>26798.320719250038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3.6814351922563382E-2</v>
      </c>
      <c r="H50" s="321">
        <f t="shared" si="2"/>
        <v>0</v>
      </c>
      <c r="I50" s="321">
        <f t="shared" si="2"/>
        <v>0</v>
      </c>
      <c r="J50" s="321">
        <f t="shared" si="2"/>
        <v>0</v>
      </c>
      <c r="K50" s="321">
        <f t="shared" si="2"/>
        <v>0</v>
      </c>
      <c r="L50" s="321">
        <f t="shared" si="2"/>
        <v>0</v>
      </c>
      <c r="M50" s="321">
        <f t="shared" si="2"/>
        <v>2.046145753140347E-3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3.6814351922563382E-2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2.046145753140347E-3</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10226.208867378717</v>
      </c>
      <c r="H54" s="21">
        <f t="shared" si="3"/>
        <v>0</v>
      </c>
      <c r="I54" s="21">
        <f t="shared" si="3"/>
        <v>0</v>
      </c>
      <c r="J54" s="21">
        <f t="shared" si="3"/>
        <v>0</v>
      </c>
      <c r="K54" s="21">
        <f t="shared" si="3"/>
        <v>0</v>
      </c>
      <c r="L54" s="21">
        <f t="shared" si="3"/>
        <v>0</v>
      </c>
      <c r="M54" s="21">
        <f t="shared" si="3"/>
        <v>568.37382031676304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0.20722804949830217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2730.3977675901174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24114.197903971421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2866.5</v>
      </c>
      <c r="C8" s="574">
        <f>B101</f>
        <v>3372.3529411764707</v>
      </c>
      <c r="D8" s="575"/>
      <c r="E8" s="575">
        <f>E101</f>
        <v>0</v>
      </c>
      <c r="F8" s="576"/>
      <c r="G8" s="577"/>
      <c r="H8" s="575">
        <f>I101</f>
        <v>0</v>
      </c>
      <c r="I8" s="575">
        <f>G101+F101</f>
        <v>0</v>
      </c>
      <c r="J8" s="575">
        <f>H101+D101+C101</f>
        <v>0</v>
      </c>
      <c r="K8" s="575"/>
      <c r="L8" s="575"/>
      <c r="M8" s="575"/>
      <c r="N8" s="578"/>
      <c r="O8" s="579">
        <f>C8*$C$12+D8*$D$12+E8*$E$12+F8*$F$12+G8*$G$12+H8*$H$12+I8*$I$12+J8*$J$12</f>
        <v>681.21529411764709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26980.697903971421</v>
      </c>
      <c r="C10" s="589">
        <f t="shared" ref="C10:L10" si="0">SUM(C8:C9)</f>
        <v>3372.3529411764707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681.21529411764709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4095</v>
      </c>
      <c r="C17" s="605">
        <f>B102</f>
        <v>4817.6470588235297</v>
      </c>
      <c r="D17" s="606"/>
      <c r="E17" s="606">
        <f>E102</f>
        <v>0</v>
      </c>
      <c r="F17" s="607"/>
      <c r="G17" s="608"/>
      <c r="H17" s="605">
        <f>I102</f>
        <v>0</v>
      </c>
      <c r="I17" s="606">
        <f>G102+F102</f>
        <v>0</v>
      </c>
      <c r="J17" s="606">
        <f>H102+D102+C102</f>
        <v>0</v>
      </c>
      <c r="K17" s="606"/>
      <c r="L17" s="606"/>
      <c r="M17" s="606"/>
      <c r="N17" s="1005"/>
      <c r="O17" s="609">
        <f>C17*$C$22+E17*$E$22+H17*$H$22+I17*$I$22+J17*$J$22+D17*$D$22+F17*$F$22+G17*$G$22+K17*$K$22+L17*$L$22</f>
        <v>973.16470588235302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4095</v>
      </c>
      <c r="C20" s="588">
        <f>SUM(C17:C19)</f>
        <v>4817.6470588235297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973.16470588235302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41002</v>
      </c>
      <c r="C28" s="817">
        <v>9300</v>
      </c>
      <c r="D28" s="666"/>
      <c r="E28" s="665"/>
      <c r="F28" s="665" t="s">
        <v>886</v>
      </c>
      <c r="G28" s="665" t="s">
        <v>887</v>
      </c>
      <c r="H28" s="665" t="s">
        <v>888</v>
      </c>
      <c r="I28" s="665" t="s">
        <v>889</v>
      </c>
      <c r="J28" s="816">
        <v>42222</v>
      </c>
      <c r="K28" s="816">
        <v>42257</v>
      </c>
      <c r="L28" s="665" t="s">
        <v>890</v>
      </c>
      <c r="M28" s="665">
        <v>637</v>
      </c>
      <c r="N28" s="665">
        <v>2866.5</v>
      </c>
      <c r="O28" s="665">
        <v>4095</v>
      </c>
      <c r="P28" s="665">
        <v>8190.0000000000009</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637</v>
      </c>
      <c r="N58" s="623">
        <f>SUM(N28:N57)</f>
        <v>2866.5</v>
      </c>
      <c r="O58" s="623">
        <f t="shared" ref="O58:W58" si="2">SUM(O28:O57)</f>
        <v>4095</v>
      </c>
      <c r="P58" s="623">
        <f t="shared" si="2"/>
        <v>8190.0000000000009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637</v>
      </c>
      <c r="N60" s="623">
        <f ca="1">SUMIF($Z$28:AD57,"tertiair",N28:N57)</f>
        <v>2866.5</v>
      </c>
      <c r="O60" s="623">
        <f ca="1">SUMIF($Z$28:AE57,"tertiair",O28:O57)</f>
        <v>4095</v>
      </c>
      <c r="P60" s="623">
        <f ca="1">SUMIF($Z$28:AF57,"tertiair",P28:P57)</f>
        <v>8190.0000000000009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3372.3529411764707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4817.6470588235297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2019-08-12T08:40:22Z</dcterms:modified>
</cp:coreProperties>
</file>