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E78" i="14" l="1"/>
  <c r="E9" i="59"/>
  <c r="E10" s="1"/>
  <c r="O78" i="14"/>
  <c r="O9" i="59"/>
  <c r="O10" s="1"/>
  <c r="G78" i="14"/>
  <c r="G9" i="59"/>
  <c r="G10" s="1"/>
  <c r="H90" i="14"/>
  <c r="H18" i="59"/>
  <c r="H20" s="1"/>
  <c r="H78" i="14"/>
  <c r="H9" i="59"/>
  <c r="H10" s="1"/>
  <c r="N78" i="14"/>
  <c r="N9" i="59"/>
  <c r="N10" s="1"/>
  <c r="M24" i="48"/>
  <c r="M32"/>
  <c r="I33"/>
  <c r="J27" i="14"/>
  <c r="K33" i="48"/>
  <c r="K15"/>
  <c r="Q89" i="14"/>
  <c r="P19" i="59" s="1"/>
  <c r="I15" i="48"/>
  <c r="P22"/>
  <c r="L8"/>
  <c r="L22" i="16"/>
  <c r="M43" i="14" s="1"/>
  <c r="C17" i="18"/>
  <c r="C20" s="1"/>
  <c r="D10" i="14"/>
  <c r="B88"/>
  <c r="B18" i="59" s="1"/>
  <c r="C88" i="14"/>
  <c r="C18" i="59" s="1"/>
  <c r="B77" i="14"/>
  <c r="B9" i="59" s="1"/>
  <c r="J46" i="14"/>
  <c r="J61" s="1"/>
  <c r="C77"/>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I90" i="14"/>
  <c r="I17" i="59"/>
  <c r="I20" s="1"/>
  <c r="J78" i="14"/>
  <c r="J8" i="59"/>
  <c r="J10" s="1"/>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P17" i="59"/>
  <c r="P20" s="1"/>
  <c r="J90" i="14"/>
  <c r="J17" i="59"/>
  <c r="J20" s="1"/>
  <c r="Q5" i="48"/>
  <c r="B22" i="6"/>
  <c r="C56" i="22" s="1"/>
  <c r="C58" s="1"/>
  <c r="D49" i="14" s="1"/>
  <c r="D52" s="1"/>
  <c r="G33" i="48"/>
  <c r="Q9"/>
  <c r="H15"/>
  <c r="F22" i="16"/>
  <c r="G43" i="14" s="1"/>
  <c r="G46" s="1"/>
  <c r="G61" s="1"/>
  <c r="G63" s="1"/>
  <c r="Q78" s="1"/>
  <c r="B9" i="6" s="1"/>
  <c r="F8" i="48"/>
  <c r="F15" s="1"/>
  <c r="O13" i="14"/>
  <c r="O16" s="1"/>
  <c r="O27"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C10" i="13"/>
  <c r="C12" s="1"/>
  <c r="D41" i="14" s="1"/>
  <c r="D46" s="1"/>
  <c r="D61" s="1"/>
  <c r="D63" s="1"/>
  <c r="C18" i="15"/>
  <c r="C20" s="1"/>
  <c r="D40" i="14" s="1"/>
  <c r="F26" i="48"/>
  <c r="F33" s="1"/>
  <c r="C29" i="20"/>
  <c r="C22" i="59"/>
  <c r="C17" i="19"/>
  <c r="C19" s="1"/>
  <c r="D39" i="14" s="1"/>
  <c r="C16" i="22"/>
  <c r="J26" i="48"/>
  <c r="J33" s="1"/>
  <c r="J15"/>
  <c r="E15"/>
  <c r="O46" i="14"/>
  <c r="O61" s="1"/>
  <c r="O63" s="1"/>
  <c r="K46"/>
  <c r="K61" s="1"/>
  <c r="K63" s="1"/>
  <c r="F16"/>
  <c r="R13"/>
  <c r="R16" s="1"/>
  <c r="R27" s="1"/>
  <c r="Q8" i="48"/>
  <c r="Q15" s="1"/>
  <c r="C17" l="1"/>
  <c r="C24" s="1"/>
  <c r="C26"/>
  <c r="F27" i="14"/>
  <c r="F63" s="1"/>
  <c r="C78"/>
  <c r="B78"/>
  <c r="B4" i="6" l="1"/>
  <c r="B12" s="1"/>
  <c r="C22" i="48"/>
  <c r="C33" s="1"/>
  <c r="C28"/>
  <c r="C23"/>
  <c r="C30"/>
  <c r="C27"/>
  <c r="C29"/>
  <c r="C32"/>
  <c r="C25"/>
  <c r="C31"/>
  <c r="B16" i="22" l="1"/>
  <c r="B18" s="1"/>
  <c r="B10" i="17"/>
  <c r="B12" s="1"/>
  <c r="C54" i="14" s="1"/>
  <c r="R54" s="1"/>
  <c r="R56" s="1"/>
  <c r="B17" i="49"/>
  <c r="B19" s="1"/>
  <c r="C42" i="14" s="1"/>
  <c r="R42" s="1"/>
  <c r="B56" i="22"/>
  <c r="B58" s="1"/>
  <c r="C49" i="14" s="1"/>
  <c r="R49" s="1"/>
  <c r="B10" i="13"/>
  <c r="B12" s="1"/>
  <c r="C55" i="14"/>
  <c r="R55" s="1"/>
  <c r="B10" i="9"/>
  <c r="B12" s="1"/>
  <c r="B29" i="20"/>
  <c r="B31" s="1"/>
  <c r="C12" i="59"/>
  <c r="B17" i="19"/>
  <c r="B19" s="1"/>
  <c r="C39" i="14" s="1"/>
  <c r="R39" s="1"/>
  <c r="B20" i="16"/>
  <c r="B22" s="1"/>
  <c r="C43" i="14" s="1"/>
  <c r="R43" s="1"/>
  <c r="B18" i="15"/>
  <c r="B20" s="1"/>
  <c r="C48" i="14"/>
  <c r="R48" s="1"/>
  <c r="C50"/>
  <c r="R50" s="1"/>
  <c r="C40"/>
  <c r="R40" s="1"/>
  <c r="B17" i="48"/>
  <c r="B32" s="1"/>
  <c r="Q32" s="1"/>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<sst xmlns="http://schemas.openxmlformats.org/spreadsheetml/2006/main" count="2411" uniqueCount="900">
  <si>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</si>
  <si>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</si>
  <si>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</si>
  <si>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</si>
  <si>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</si>
  <si>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</si>
  <si>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</si>
  <si>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</si>
  <si>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</si>
  <si>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</si>
  <si>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</si>
  <si>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</si>
  <si>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</si>
  <si>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</si>
  <si>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</si>
  <si>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</si>
  <si>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</si>
  <si>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</si>
  <si>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</si>
  <si>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</si>
  <si>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</si>
  <si>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</si>
  <si>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</si>
  <si>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</si>
  <si>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</si>
  <si>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</si>
  <si>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</si>
  <si>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</si>
  <si>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</si>
  <si>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</si>
  <si>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</si>
  <si>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</si>
  <si>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</si>
  <si>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</si>
  <si>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</si>
  <si>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</si>
  <si>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</si>
  <si>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</si>
  <si>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</si>
  <si>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</si>
  <si>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</si>
  <si>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</si>
  <si>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</si>
  <si>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</si>
  <si>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</si>
  <si>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</si>
  <si>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</si>
  <si>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</si>
  <si>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</si>
  <si>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</si>
  <si>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</si>
  <si>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</si>
  <si>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</si>
  <si>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</si>
  <si>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</si>
  <si>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</si>
  <si>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</si>
  <si>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</si>
  <si>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</si>
  <si>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</si>
  <si>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</si>
  <si>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</si>
  <si>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</si>
  <si>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</si>
  <si>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</si>
  <si>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</si>
  <si>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</si>
  <si>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</si>
  <si>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</si>
  <si>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</si>
  <si>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</si>
  <si>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</si>
  <si>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</si>
  <si>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</si>
  <si>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</si>
  <si>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</si>
  <si>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</si>
  <si>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</si>
  <si>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</si>
  <si>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</si>
  <si>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</si>
  <si>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</si>
  <si>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</si>
  <si>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</si>
  <si>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</si>
  <si>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</si>
  <si>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</si>
  <si>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</si>
  <si>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</si>
  <si>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</si>
  <si>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</si>
  <si>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</si>
  <si>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</si>
  <si>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</si>
  <si>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</si>
  <si>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</si>
  <si>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</si>
  <si>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</si>
  <si>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</si>
  <si>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</si>
  <si>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</si>
  <si>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</si>
  <si>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</si>
  <si>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</si>
  <si>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</si>
  <si>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</si>
  <si>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</si>
  <si>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</si>
  <si>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</si>
  <si>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</si>
  <si>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</si>
  <si>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</si>
  <si>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</si>
  <si>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</si>
  <si>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</si>
  <si>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</si>
  <si>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</si>
  <si>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</si>
  <si>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</si>
  <si>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</si>
  <si>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</si>
  <si>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</si>
  <si>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</si>
  <si>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</si>
  <si>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</si>
  <si>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</si>
  <si>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</si>
  <si>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</si>
  <si>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</si>
  <si>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</si>
  <si>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</si>
  <si>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</si>
  <si>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</si>
  <si>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</si>
  <si>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</si>
  <si>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</si>
  <si>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</si>
  <si>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</si>
  <si>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</si>
  <si>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</si>
  <si>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</si>
  <si>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</si>
  <si>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</si>
  <si>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</si>
  <si>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</si>
  <si>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</si>
  <si>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</si>
  <si>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</si>
  <si>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</si>
  <si>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</si>
  <si>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</si>
  <si>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</si>
  <si>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</si>
  <si>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</si>
  <si>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</si>
  <si>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</si>
  <si>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</si>
  <si>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</si>
  <si>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</si>
  <si>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</si>
  <si>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</si>
  <si>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</si>
  <si>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</si>
  <si>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</si>
  <si>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</si>
  <si>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</si>
  <si>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</si>
  <si>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</si>
  <si>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</si>
  <si>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</si>
  <si>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</si>
  <si>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</si>
  <si>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</si>
  <si>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</si>
  <si>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</si>
  <si>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</si>
  <si>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</si>
  <si>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</si>
  <si>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</si>
  <si>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</si>
  <si>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</si>
  <si>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</si>
  <si>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</si>
  <si>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</si>
  <si>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</si>
  <si>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</si>
  <si>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</si>
  <si>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</si>
  <si>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</si>
  <si>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</si>
  <si>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</si>
  <si>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</si>
  <si>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</si>
  <si>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</si>
  <si>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</si>
  <si>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</si>
  <si>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</si>
  <si>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</si>
  <si>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</si>
  <si>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</si>
  <si>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</si>
  <si>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</si>
  <si>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</si>
  <si>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</si>
  <si>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</si>
  <si>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</si>
  <si>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</si>
  <si>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</si>
  <si>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</si>
  <si>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</si>
  <si>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</si>
  <si>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</si>
  <si>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</si>
  <si>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</si>
  <si>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</si>
  <si>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</si>
  <si>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</si>
  <si>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</si>
  <si>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</si>
  <si>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</si>
  <si>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</si>
  <si>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</si>
  <si>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</si>
  <si>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</si>
  <si>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</si>
  <si>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</si>
  <si>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</si>
  <si>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</si>
  <si>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</si>
  <si>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</si>
  <si>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</si>
  <si>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</si>
  <si>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</si>
  <si>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</si>
  <si>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</si>
  <si>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</si>
  <si>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</si>
  <si>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</si>
  <si>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</si>
  <si>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</si>
  <si>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</si>
  <si>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</si>
  <si>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</si>
  <si>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</si>
  <si>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</si>
  <si>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</si>
  <si>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</si>
  <si>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</si>
  <si>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</si>
  <si>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</si>
  <si>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</si>
  <si>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</si>
  <si>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</si>
  <si>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</si>
  <si>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</si>
  <si>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</si>
  <si>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</si>
  <si>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</si>
  <si>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</si>
  <si>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</si>
  <si>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</si>
  <si>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</si>
  <si>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</si>
  <si>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</si>
  <si>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</si>
  <si>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</si>
  <si>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</si>
  <si>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</si>
  <si>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</si>
  <si>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</si>
  <si>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</si>
  <si>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</si>
  <si>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</si>
  <si>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</si>
  <si>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</si>
  <si>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</si>
  <si>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</si>
  <si>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</si>
  <si>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</si>
  <si>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</si>
  <si>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</si>
  <si>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</si>
  <si>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</si>
  <si>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</si>
  <si>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</si>
  <si>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</si>
  <si>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</si>
  <si>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</si>
  <si>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</si>
  <si>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</si>
  <si>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</si>
  <si>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</si>
  <si>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</si>
  <si>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</si>
  <si>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</si>
  <si>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</si>
  <si>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</si>
  <si>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</si>
  <si>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</si>
  <si>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</si>
  <si>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</si>
  <si>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</si>
  <si>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</si>
  <si>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</si>
  <si>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</si>
  <si>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</si>
  <si>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</si>
  <si>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</si>
  <si>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</si>
  <si>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</si>
  <si>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</si>
  <si>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</si>
  <si>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</si>
  <si>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</si>
  <si>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</si>
  <si>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</si>
  <si>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</si>
  <si>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</si>
  <si>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</si>
  <si>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</si>
  <si>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</si>
  <si>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</si>
  <si>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</si>
  <si>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</si>
  <si>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</si>
  <si>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</si>
  <si>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</si>
  <si>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</si>
  <si>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</si>
  <si>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</si>
  <si>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</si>
  <si>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</si>
  <si>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</si>
  <si>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</si>
  <si>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</si>
  <si>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</si>
  <si>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</si>
  <si>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</si>
  <si>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</si>
  <si>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</si>
  <si>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</si>
  <si>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</si>
  <si>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</si>
  <si>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</si>
  <si>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</si>
  <si>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</si>
  <si>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</si>
  <si>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</si>
  <si>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</si>
  <si>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</si>
  <si>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</si>
  <si>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</si>
  <si>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</si>
  <si>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</si>
  <si>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</si>
  <si>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</si>
  <si>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</si>
  <si>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</si>
  <si>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</si>
  <si>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</si>
  <si>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</si>
  <si>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</si>
  <si>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</si>
  <si>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</si>
  <si>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</si>
  <si>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</si>
  <si>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</si>
  <si>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</si>
  <si>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</si>
  <si>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</si>
  <si>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</si>
  <si>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</si>
  <si>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</si>
  <si>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</si>
  <si>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</si>
  <si>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</si>
  <si>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</si>
  <si>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</si>
  <si>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</si>
  <si>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</si>
  <si>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</si>
  <si>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</si>
  <si>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</si>
  <si>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</si>
  <si>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</si>
  <si>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</si>
  <si>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</si>
  <si>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</si>
  <si>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</si>
  <si>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</si>
  <si>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</si>
  <si>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</si>
  <si>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</si>
  <si>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</si>
  <si>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</si>
  <si>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</si>
  <si>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</si>
  <si>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</si>
  <si>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</si>
  <si>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</si>
  <si>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</si>
  <si>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</si>
  <si>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</si>
  <si>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</si>
  <si>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</si>
  <si>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</si>
  <si>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</si>
  <si>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</si>
  <si>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</si>
  <si>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</si>
  <si>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</si>
  <si>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</si>
  <si>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</si>
  <si>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</si>
  <si>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</si>
  <si>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</si>
  <si>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</si>
  <si>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</si>
  <si>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</si>
  <si>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</si>
  <si>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</si>
  <si>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</si>
  <si>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</si>
  <si>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</si>
  <si>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</si>
  <si>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</si>
  <si>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</si>
  <si>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</si>
  <si>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</si>
  <si>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</si>
  <si>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</si>
  <si>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</si>
  <si>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</si>
  <si>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</si>
  <si>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</si>
  <si>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</si>
  <si>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</si>
  <si>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</si>
  <si>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</si>
  <si>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</si>
  <si>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</si>
  <si>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</si>
  <si>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</si>
  <si>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</si>
  <si>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</si>
  <si>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</si>
  <si>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</si>
  <si>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</si>
  <si>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</si>
  <si>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</si>
  <si>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</si>
  <si>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</si>
  <si>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</si>
  <si>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</si>
  <si>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</si>
  <si>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</si>
  <si>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</si>
  <si>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</si>
  <si>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</si>
  <si>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</si>
  <si>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</si>
  <si>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</si>
  <si>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</si>
  <si>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</si>
  <si>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</si>
  <si>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</si>
  <si>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</si>
  <si>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</si>
  <si>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</si>
  <si>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</si>
  <si>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</si>
  <si>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</si>
  <si>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</si>
  <si>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</si>
  <si>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</si>
  <si>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</si>
  <si>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</si>
  <si>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</si>
  <si>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</si>
  <si>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</si>
  <si>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</si>
  <si>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</si>
  <si>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</si>
  <si>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</si>
  <si>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</si>
  <si>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</si>
  <si>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</si>
  <si>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</si>
  <si>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</si>
  <si>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</si>
  <si>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</si>
  <si>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</si>
  <si>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</si>
  <si>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</si>
  <si>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</si>
  <si>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</si>
  <si>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</si>
  <si>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</si>
  <si>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</si>
  <si>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</si>
  <si>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</si>
  <si>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</si>
  <si>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</si>
  <si>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</si>
  <si>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</si>
  <si>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</si>
  <si>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</si>
  <si>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</si>
  <si>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</si>
  <si>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</si>
  <si>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</si>
  <si>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</si>
  <si>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</si>
  <si>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</si>
  <si>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</si>
  <si>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</si>
  <si>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</si>
  <si>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</si>
  <si>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</si>
  <si>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</si>
  <si>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</si>
  <si>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</si>
  <si>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</si>
  <si>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</si>
  <si>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</si>
  <si>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</si>
  <si>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</si>
  <si>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</si>
  <si>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</si>
  <si>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</si>
  <si>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</si>
  <si>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</si>
  <si>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</si>
  <si>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</si>
  <si>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</si>
  <si>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</si>
  <si>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</si>
  <si>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</si>
  <si>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</si>
  <si>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</si>
  <si>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</si>
  <si>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</si>
  <si>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</si>
  <si>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</si>
  <si>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</si>
  <si>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</si>
  <si>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</si>
  <si>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</si>
  <si>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</si>
  <si>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</si>
  <si>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</si>
  <si>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</si>
  <si>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</si>
  <si>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</si>
  <si>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</si>
  <si>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</si>
  <si>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</si>
  <si>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</si>
  <si>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</si>
  <si>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</si>
  <si>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</si>
  <si>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</si>
  <si>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</si>
  <si>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</si>
  <si>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</si>
  <si>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</si>
  <si>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</si>
  <si>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</si>
  <si>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</si>
  <si>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</si>
  <si>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</si>
  <si>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</si>
  <si>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</si>
  <si>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</si>
  <si>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</si>
  <si>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</si>
  <si>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</si>
  <si>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</si>
  <si>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</si>
  <si>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</si>
  <si>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</si>
  <si>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</si>
  <si>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</si>
  <si>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</si>
  <si>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</si>
  <si>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</si>
  <si>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</si>
  <si>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</si>
  <si>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</si>
  <si>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</si>
  <si>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</si>
  <si>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</si>
  <si>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</si>
  <si>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</si>
  <si>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</si>
  <si>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</si>
  <si>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</si>
  <si>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</si>
  <si>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</si>
  <si>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</si>
  <si>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</si>
  <si>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</si>
  <si>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</si>
  <si>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</si>
  <si>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</si>
  <si>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</si>
  <si>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</si>
  <si>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</si>
  <si>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</si>
  <si>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</si>
  <si>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</si>
  <si>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</si>
  <si>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</si>
  <si>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</si>
  <si>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</si>
  <si>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</si>
  <si>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</si>
  <si>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</si>
  <si>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</si>
  <si>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</si>
  <si>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</si>
  <si>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</si>
  <si>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</si>
  <si>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</si>
  <si>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</si>
  <si>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</si>
  <si>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</si>
  <si>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</si>
  <si>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</si>
  <si>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</si>
  <si>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</si>
  <si>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</si>
  <si>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</si>
  <si>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</si>
  <si>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</si>
  <si>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</si>
  <si>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</si>
  <si>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</si>
  <si>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</si>
  <si>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</si>
  <si>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</si>
  <si>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</si>
  <si>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</si>
  <si>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</si>
  <si>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</si>
  <si>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</si>
  <si>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</si>
  <si>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</si>
  <si>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</si>
  <si>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</si>
  <si>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</si>
  <si>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</si>
  <si>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</si>
  <si>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</si>
  <si>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</si>
  <si>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</si>
  <si>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</si>
  <si>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</si>
  <si>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</si>
  <si>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</si>
  <si>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</si>
  <si>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</si>
  <si>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</si>
  <si>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</si>
  <si>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</si>
  <si>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</si>
  <si>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</si>
  <si>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</si>
  <si>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</si>
  <si>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</si>
  <si>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</si>
  <si>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</si>
  <si>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</si>
  <si>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</si>
  <si>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</si>
  <si>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</si>
  <si>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</si>
  <si>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</si>
  <si>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</si>
  <si>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</si>
  <si>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</si>
  <si>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</si>
  <si>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</si>
  <si>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</si>
  <si>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</si>
  <si>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</si>
  <si>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</si>
  <si>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</si>
  <si>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</si>
  <si>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</si>
  <si>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</si>
  <si>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</si>
  <si>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</si>
  <si>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</si>
  <si>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</si>
  <si>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</si>
  <si>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</si>
  <si>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</si>
  <si>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</si>
  <si>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</si>
  <si>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</si>
  <si>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</si>
  <si>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</si>
  <si>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</si>
  <si>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</si>
  <si>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</si>
  <si>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</si>
  <si>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</si>
  <si>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</si>
  <si>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</si>
  <si>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</si>
  <si>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</si>
  <si>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</si>
  <si>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</si>
  <si>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</si>
  <si>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</si>
  <si>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</si>
  <si>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</si>
  <si>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</si>
  <si>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</si>
  <si>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</si>
  <si>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</si>
  <si>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</si>
  <si>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</si>
  <si>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</si>
  <si>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</si>
  <si>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</si>
  <si>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</si>
  <si>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</si>
  <si>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</si>
  <si>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</si>
  <si>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</si>
  <si>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</si>
  <si>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</si>
  <si>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</si>
  <si>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</si>
  <si>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</si>
  <si>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</si>
  <si>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</si>
  <si>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</si>
  <si>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</si>
  <si>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</si>
  <si>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</si>
  <si>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</si>
  <si>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</si>
  <si>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</si>
  <si>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</si>
  <si>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</si>
  <si>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</si>
  <si>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</si>
  <si>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</si>
  <si>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</si>
  <si>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</si>
  <si>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</si>
  <si>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</si>
  <si>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</si>
  <si>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</si>
  <si>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</si>
  <si>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</si>
  <si>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</si>
  <si>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</si>
  <si>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</si>
  <si>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</si>
  <si>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</si>
  <si>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</si>
  <si>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</si>
  <si>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</si>
  <si>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</si>
  <si>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</si>
  <si>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</si>
  <si>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</si>
  <si>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</si>
  <si>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</si>
  <si>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</si>
  <si>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</si>
  <si>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</si>
  <si>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</si>
  <si>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</si>
  <si>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</si>
  <si>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</si>
  <si>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</si>
  <si>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</si>
  <si>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</si>
  <si>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</si>
  <si>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</si>
  <si>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</si>
  <si>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</si>
  <si>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</si>
  <si>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</si>
  <si>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</si>
  <si>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</si>
  <si>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</si>
  <si>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</si>
  <si>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</si>
  <si>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</si>
  <si>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</si>
  <si>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</si>
  <si>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</si>
  <si>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</si>
  <si>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</si>
  <si>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</si>
  <si>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</si>
  <si>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</si>
  <si>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</si>
  <si>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</si>
  <si>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</si>
  <si>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</si>
  <si>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</si>
  <si>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</si>
  <si>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</si>
  <si>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</si>
  <si>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</si>
  <si>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</si>
  <si>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</si>
  <si>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</si>
  <si>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</si>
  <si>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</si>
  <si>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</si>
  <si>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</si>
  <si>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</si>
  <si>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</si>
  <si>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</si>
  <si>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</si>
  <si>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</si>
  <si>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</si>
  <si>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</si>
  <si>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</si>
  <si>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</si>
  <si>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</si>
  <si>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</si>
  <si>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</si>
  <si>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</si>
  <si>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</si>
  <si>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</si>
  <si>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</si>
  <si>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</si>
  <si>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</si>
  <si>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</si>
  <si>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</si>
  <si>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</si>
  <si>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</si>
  <si>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</si>
  <si>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</si>
  <si>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</si>
  <si>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</si>
  <si>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</si>
  <si>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</si>
  <si>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</si>
  <si>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</si>
  <si>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</si>
  <si>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</si>
  <si>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</si>
  <si>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</si>
  <si>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</si>
  <si>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</si>
  <si>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</si>
  <si>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</si>
  <si>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</si>
  <si>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</si>
  <si>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</si>
  <si>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</si>
  <si>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</si>
  <si>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</si>
  <si>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</si>
  <si>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</si>
  <si>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</si>
  <si>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</si>
  <si>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</si>
  <si>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</si>
  <si>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</si>
  <si>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</si>
  <si>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</si>
  <si>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</si>
  <si>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</si>
  <si>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</si>
  <si>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</si>
  <si>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</si>
  <si>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</si>
  <si>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37011</t>
  </si>
  <si>
    <t>PITTEM</t>
  </si>
  <si>
    <t>Mestbank (maart 2019)</t>
  </si>
  <si>
    <t>Fluvius (februari 2019)</t>
  </si>
  <si>
    <t>referentietaak LNE (2017); Jaarverslag De Lijn (2018)</t>
  </si>
  <si>
    <t>VEA (30 april 2019)</t>
  </si>
  <si>
    <t>VEA (mei 2018)</t>
  </si>
  <si>
    <t>VEA (mei 2019)</t>
  </si>
  <si>
    <t>Green Power Pittem nv</t>
  </si>
  <si>
    <t>Koolkenstraat 9 , 8740 Pittem</t>
  </si>
  <si>
    <t>WKK-0236 Green Power Pittem</t>
  </si>
  <si>
    <t>interne verbrandingsmotor</t>
  </si>
  <si>
    <t>WKK interne verbrandinsgmotor (gas)</t>
  </si>
  <si>
    <t>Vijfstraat 8 , 8740 Pittem</t>
  </si>
  <si>
    <t>GASELWEST</t>
  </si>
  <si>
    <t>Ampower bvba</t>
  </si>
  <si>
    <t>Brugsesteenweg 176 , 8740 Pittem</t>
  </si>
  <si>
    <t>WKK-0411 Ampower</t>
  </si>
  <si>
    <t>Brugsesteenweg 166 , 8740 Pittem</t>
  </si>
  <si>
    <t>Handelskwekerij Vantyghem bvba</t>
  </si>
  <si>
    <t>Kasteeldreef 16 , 8740 Pittem</t>
  </si>
  <si>
    <t>WKK-0321 Handelskwekerij Vantyghem</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</si>
</sst>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58658.093193566245</c:v>
                </c:pt>
                <c:pt idx="1">
                  <c:v>28188.141697588842</c:v>
                </c:pt>
                <c:pt idx="2">
                  <c:v>558.90099999999995</c:v>
                </c:pt>
                <c:pt idx="3">
                  <c:v>114554.36988061114</c:v>
                </c:pt>
                <c:pt idx="4">
                  <c:v>14787.041709756566</c:v>
                </c:pt>
                <c:pt idx="5">
                  <c:v>55679.802940033347</c:v>
                </c:pt>
                <c:pt idx="6">
                  <c:v>606.18162140289269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43648"/>
        <c:axId val="180845184"/>
      </c:barChart>
      <c:catAx>
        <c:axId val="180843648"/>
        <c:scaling>
          <c:orientation val="minMax"/>
        </c:scaling>
        <c:axPos val="b"/>
        <c:numFmt formatCode="General" sourceLinked="0"/>
        <c:tickLblPos val="nextTo"/>
        <c:crossAx val="180845184"/>
        <c:crosses val="autoZero"/>
        <c:auto val="1"/>
        <c:lblAlgn val="ctr"/>
        <c:lblOffset val="100"/>
      </c:catAx>
      <c:valAx>
        <c:axId val="180845184"/>
        <c:scaling>
          <c:orientation val="minMax"/>
        </c:scaling>
        <c:axPos val="l"/>
        <c:majorGridlines/>
        <c:numFmt formatCode="#,##0" sourceLinked="1"/>
        <c:tickLblPos val="nextTo"/>
        <c:crossAx val="1808436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58658.093193566245</c:v>
                </c:pt>
                <c:pt idx="1">
                  <c:v>28188.141697588842</c:v>
                </c:pt>
                <c:pt idx="2">
                  <c:v>558.90099999999995</c:v>
                </c:pt>
                <c:pt idx="3">
                  <c:v>114554.36988061114</c:v>
                </c:pt>
                <c:pt idx="4">
                  <c:v>14787.041709756566</c:v>
                </c:pt>
                <c:pt idx="5">
                  <c:v>55679.802940033347</c:v>
                </c:pt>
                <c:pt idx="6">
                  <c:v>606.18162140289269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8381.4146492446998</c:v>
                </c:pt>
                <c:pt idx="1">
                  <c:v>3058.9497077172209</c:v>
                </c:pt>
                <c:pt idx="2">
                  <c:v>0.75708375931226357</c:v>
                </c:pt>
                <c:pt idx="3">
                  <c:v>9596.4433746297746</c:v>
                </c:pt>
                <c:pt idx="4">
                  <c:v>1309.3075138169606</c:v>
                </c:pt>
                <c:pt idx="5">
                  <c:v>13859.270930923069</c:v>
                </c:pt>
                <c:pt idx="6">
                  <c:v>153.32847908231315</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088256"/>
        <c:axId val="181089792"/>
      </c:barChart>
      <c:catAx>
        <c:axId val="181088256"/>
        <c:scaling>
          <c:orientation val="minMax"/>
        </c:scaling>
        <c:axPos val="b"/>
        <c:numFmt formatCode="General" sourceLinked="0"/>
        <c:tickLblPos val="nextTo"/>
        <c:crossAx val="181089792"/>
        <c:crosses val="autoZero"/>
        <c:auto val="1"/>
        <c:lblAlgn val="ctr"/>
        <c:lblOffset val="100"/>
      </c:catAx>
      <c:valAx>
        <c:axId val="181089792"/>
        <c:scaling>
          <c:orientation val="minMax"/>
        </c:scaling>
        <c:axPos val="l"/>
        <c:majorGridlines/>
        <c:numFmt formatCode="#,##0" sourceLinked="1"/>
        <c:tickLblPos val="nextTo"/>
        <c:crossAx val="1810882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8381.4146492446998</c:v>
                </c:pt>
                <c:pt idx="1">
                  <c:v>3058.9497077172209</c:v>
                </c:pt>
                <c:pt idx="2">
                  <c:v>0.75708375931226357</c:v>
                </c:pt>
                <c:pt idx="3">
                  <c:v>9596.4433746297746</c:v>
                </c:pt>
                <c:pt idx="4">
                  <c:v>1309.3075138169606</c:v>
                </c:pt>
                <c:pt idx="5">
                  <c:v>13859.270930923069</c:v>
                </c:pt>
                <c:pt idx="6">
                  <c:v>153.32847908231315</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37011</v>
      </c>
      <c r="B6" s="415"/>
      <c r="C6" s="416"/>
    </row>
    <row r="7" spans="1:7" s="413" customFormat="1" ht="15.75" customHeight="1">
      <c r="A7" s="417" t="str">
        <f>txtMunicipality</f>
        <v>PITTEM</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1.3545936745725338E-3</v>
      </c>
      <c r="C17" s="527">
        <f ca="1">'EF ele_warmte'!B22</f>
        <v>1.5151921047132767E-3</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1.3545936745725338E-3</v>
      </c>
      <c r="C29" s="528">
        <f ca="1">'EF ele_warmte'!B22</f>
        <v>1.5151921047132767E-3</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37011</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2737</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2505.08</v>
      </c>
    </row>
    <row r="15" spans="1:6">
      <c r="A15" s="348" t="s">
        <v>183</v>
      </c>
      <c r="B15" s="334">
        <v>23</v>
      </c>
    </row>
    <row r="16" spans="1:6">
      <c r="A16" s="348" t="s">
        <v>6</v>
      </c>
      <c r="B16" s="334">
        <v>649</v>
      </c>
    </row>
    <row r="17" spans="1:6">
      <c r="A17" s="348" t="s">
        <v>7</v>
      </c>
      <c r="B17" s="334">
        <v>900</v>
      </c>
    </row>
    <row r="18" spans="1:6">
      <c r="A18" s="348" t="s">
        <v>8</v>
      </c>
      <c r="B18" s="334">
        <v>1001</v>
      </c>
    </row>
    <row r="19" spans="1:6">
      <c r="A19" s="348" t="s">
        <v>9</v>
      </c>
      <c r="B19" s="334">
        <v>972</v>
      </c>
    </row>
    <row r="20" spans="1:6">
      <c r="A20" s="348" t="s">
        <v>10</v>
      </c>
      <c r="B20" s="334">
        <v>637</v>
      </c>
    </row>
    <row r="21" spans="1:6">
      <c r="A21" s="348" t="s">
        <v>11</v>
      </c>
      <c r="B21" s="334">
        <v>42987</v>
      </c>
    </row>
    <row r="22" spans="1:6">
      <c r="A22" s="348" t="s">
        <v>12</v>
      </c>
      <c r="B22" s="334">
        <v>65602</v>
      </c>
    </row>
    <row r="23" spans="1:6">
      <c r="A23" s="348" t="s">
        <v>13</v>
      </c>
      <c r="B23" s="334">
        <v>2439</v>
      </c>
    </row>
    <row r="24" spans="1:6">
      <c r="A24" s="348" t="s">
        <v>14</v>
      </c>
      <c r="B24" s="334">
        <v>86</v>
      </c>
    </row>
    <row r="25" spans="1:6">
      <c r="A25" s="348" t="s">
        <v>15</v>
      </c>
      <c r="B25" s="334">
        <v>10446</v>
      </c>
    </row>
    <row r="26" spans="1:6">
      <c r="A26" s="348" t="s">
        <v>16</v>
      </c>
      <c r="B26" s="334">
        <v>225</v>
      </c>
    </row>
    <row r="27" spans="1:6">
      <c r="A27" s="348" t="s">
        <v>17</v>
      </c>
      <c r="B27" s="334">
        <v>0</v>
      </c>
    </row>
    <row r="28" spans="1:6" s="356" customFormat="1">
      <c r="A28" s="355" t="s">
        <v>18</v>
      </c>
      <c r="B28" s="355">
        <v>205743</v>
      </c>
    </row>
    <row r="29" spans="1:6">
      <c r="A29" s="355" t="s">
        <v>713</v>
      </c>
      <c r="B29" s="355">
        <v>94</v>
      </c>
      <c r="C29" s="356"/>
      <c r="D29" s="356"/>
      <c r="E29" s="356"/>
      <c r="F29" s="356"/>
    </row>
    <row r="30" spans="1:6">
      <c r="A30" s="341" t="s">
        <v>714</v>
      </c>
      <c r="B30" s="341">
        <v>5</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6</v>
      </c>
      <c r="F36" s="334">
        <v>34066.284</v>
      </c>
    </row>
    <row r="37" spans="1:6">
      <c r="A37" s="348" t="s">
        <v>24</v>
      </c>
      <c r="B37" s="348" t="s">
        <v>27</v>
      </c>
      <c r="C37" s="334">
        <v>0</v>
      </c>
      <c r="D37" s="334">
        <v>0</v>
      </c>
      <c r="E37" s="334">
        <v>0</v>
      </c>
      <c r="F37" s="334">
        <v>0</v>
      </c>
    </row>
    <row r="38" spans="1:6">
      <c r="A38" s="348" t="s">
        <v>24</v>
      </c>
      <c r="B38" s="348" t="s">
        <v>28</v>
      </c>
      <c r="C38" s="334">
        <v>0</v>
      </c>
      <c r="D38" s="334">
        <v>0</v>
      </c>
      <c r="E38" s="334">
        <v>2</v>
      </c>
      <c r="F38" s="334">
        <v>2922.212</v>
      </c>
    </row>
    <row r="39" spans="1:6">
      <c r="A39" s="348" t="s">
        <v>29</v>
      </c>
      <c r="B39" s="348" t="s">
        <v>30</v>
      </c>
      <c r="C39" s="334">
        <v>1584</v>
      </c>
      <c r="D39" s="334">
        <v>23924875.190000001</v>
      </c>
      <c r="E39" s="334">
        <v>2435</v>
      </c>
      <c r="F39" s="334">
        <v>9313167.1170000006</v>
      </c>
    </row>
    <row r="40" spans="1:6">
      <c r="A40" s="348" t="s">
        <v>29</v>
      </c>
      <c r="B40" s="348" t="s">
        <v>28</v>
      </c>
      <c r="C40" s="334">
        <v>0</v>
      </c>
      <c r="D40" s="334">
        <v>0</v>
      </c>
      <c r="E40" s="334">
        <v>0</v>
      </c>
      <c r="F40" s="334">
        <v>0</v>
      </c>
    </row>
    <row r="41" spans="1:6">
      <c r="A41" s="348" t="s">
        <v>31</v>
      </c>
      <c r="B41" s="348" t="s">
        <v>32</v>
      </c>
      <c r="C41" s="334">
        <v>39</v>
      </c>
      <c r="D41" s="334">
        <v>770576.02599999995</v>
      </c>
      <c r="E41" s="334">
        <v>89</v>
      </c>
      <c r="F41" s="334">
        <v>950639.61199999996</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3</v>
      </c>
      <c r="D44" s="334">
        <v>77984.983999999997</v>
      </c>
      <c r="E44" s="334">
        <v>23</v>
      </c>
      <c r="F44" s="334">
        <v>722907.97400000005</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26</v>
      </c>
      <c r="D48" s="334">
        <v>2126890.236</v>
      </c>
      <c r="E48" s="334">
        <v>43</v>
      </c>
      <c r="F48" s="334">
        <v>6862487.5269999998</v>
      </c>
    </row>
    <row r="49" spans="1:6">
      <c r="A49" s="348" t="s">
        <v>31</v>
      </c>
      <c r="B49" s="348" t="s">
        <v>39</v>
      </c>
      <c r="C49" s="334">
        <v>0</v>
      </c>
      <c r="D49" s="334">
        <v>0</v>
      </c>
      <c r="E49" s="334">
        <v>0</v>
      </c>
      <c r="F49" s="334">
        <v>0</v>
      </c>
    </row>
    <row r="50" spans="1:6">
      <c r="A50" s="348" t="s">
        <v>31</v>
      </c>
      <c r="B50" s="348" t="s">
        <v>40</v>
      </c>
      <c r="C50" s="334">
        <v>4</v>
      </c>
      <c r="D50" s="334">
        <v>231207.345</v>
      </c>
      <c r="E50" s="334">
        <v>6</v>
      </c>
      <c r="F50" s="334">
        <v>257330.514</v>
      </c>
    </row>
    <row r="51" spans="1:6">
      <c r="A51" s="348" t="s">
        <v>41</v>
      </c>
      <c r="B51" s="348" t="s">
        <v>42</v>
      </c>
      <c r="C51" s="334">
        <v>20</v>
      </c>
      <c r="D51" s="334">
        <v>2707260.0449999999</v>
      </c>
      <c r="E51" s="334">
        <v>200</v>
      </c>
      <c r="F51" s="334">
        <v>8350505.3030000003</v>
      </c>
    </row>
    <row r="52" spans="1:6">
      <c r="A52" s="348" t="s">
        <v>41</v>
      </c>
      <c r="B52" s="348" t="s">
        <v>28</v>
      </c>
      <c r="C52" s="334">
        <v>4</v>
      </c>
      <c r="D52" s="334">
        <v>1662420.662</v>
      </c>
      <c r="E52" s="334">
        <v>5</v>
      </c>
      <c r="F52" s="334">
        <v>105411.204</v>
      </c>
    </row>
    <row r="53" spans="1:6">
      <c r="A53" s="348" t="s">
        <v>43</v>
      </c>
      <c r="B53" s="348" t="s">
        <v>44</v>
      </c>
      <c r="C53" s="334">
        <v>33</v>
      </c>
      <c r="D53" s="334">
        <v>533575.78200000001</v>
      </c>
      <c r="E53" s="334">
        <v>91</v>
      </c>
      <c r="F53" s="334">
        <v>604144.25699999998</v>
      </c>
    </row>
    <row r="54" spans="1:6">
      <c r="A54" s="348" t="s">
        <v>45</v>
      </c>
      <c r="B54" s="348" t="s">
        <v>46</v>
      </c>
      <c r="C54" s="334">
        <v>0</v>
      </c>
      <c r="D54" s="334">
        <v>0</v>
      </c>
      <c r="E54" s="334">
        <v>1</v>
      </c>
      <c r="F54" s="334">
        <v>558901</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24</v>
      </c>
      <c r="D57" s="334">
        <v>1129517.577</v>
      </c>
      <c r="E57" s="334">
        <v>56</v>
      </c>
      <c r="F57" s="334">
        <v>1408887.0490000001</v>
      </c>
    </row>
    <row r="58" spans="1:6">
      <c r="A58" s="348" t="s">
        <v>48</v>
      </c>
      <c r="B58" s="348" t="s">
        <v>50</v>
      </c>
      <c r="C58" s="334">
        <v>10</v>
      </c>
      <c r="D58" s="334">
        <v>299952.57299999997</v>
      </c>
      <c r="E58" s="334">
        <v>15</v>
      </c>
      <c r="F58" s="334">
        <v>92807.141000000003</v>
      </c>
    </row>
    <row r="59" spans="1:6">
      <c r="A59" s="348" t="s">
        <v>48</v>
      </c>
      <c r="B59" s="348" t="s">
        <v>51</v>
      </c>
      <c r="C59" s="334">
        <v>41</v>
      </c>
      <c r="D59" s="334">
        <v>5414631.4000000004</v>
      </c>
      <c r="E59" s="334">
        <v>94</v>
      </c>
      <c r="F59" s="334">
        <v>4979375.4189999998</v>
      </c>
    </row>
    <row r="60" spans="1:6">
      <c r="A60" s="348" t="s">
        <v>48</v>
      </c>
      <c r="B60" s="348" t="s">
        <v>52</v>
      </c>
      <c r="C60" s="334">
        <v>20</v>
      </c>
      <c r="D60" s="334">
        <v>783020.87899999996</v>
      </c>
      <c r="E60" s="334">
        <v>33</v>
      </c>
      <c r="F60" s="334">
        <v>931633.79700000002</v>
      </c>
    </row>
    <row r="61" spans="1:6">
      <c r="A61" s="348" t="s">
        <v>48</v>
      </c>
      <c r="B61" s="348" t="s">
        <v>53</v>
      </c>
      <c r="C61" s="334">
        <v>40</v>
      </c>
      <c r="D61" s="334">
        <v>1974257.676</v>
      </c>
      <c r="E61" s="334">
        <v>90</v>
      </c>
      <c r="F61" s="334">
        <v>2347972.7069999999</v>
      </c>
    </row>
    <row r="62" spans="1:6">
      <c r="A62" s="348" t="s">
        <v>48</v>
      </c>
      <c r="B62" s="348" t="s">
        <v>54</v>
      </c>
      <c r="C62" s="334">
        <v>5</v>
      </c>
      <c r="D62" s="334">
        <v>733014.02800000005</v>
      </c>
      <c r="E62" s="334">
        <v>5</v>
      </c>
      <c r="F62" s="334">
        <v>49932.341999999997</v>
      </c>
    </row>
    <row r="63" spans="1:6">
      <c r="A63" s="348" t="s">
        <v>48</v>
      </c>
      <c r="B63" s="348" t="s">
        <v>28</v>
      </c>
      <c r="C63" s="334">
        <v>47</v>
      </c>
      <c r="D63" s="334">
        <v>4061812.9959999998</v>
      </c>
      <c r="E63" s="334">
        <v>85</v>
      </c>
      <c r="F63" s="334">
        <v>2557473.67</v>
      </c>
    </row>
    <row r="64" spans="1:6">
      <c r="A64" s="348" t="s">
        <v>55</v>
      </c>
      <c r="B64" s="348" t="s">
        <v>56</v>
      </c>
      <c r="C64" s="334">
        <v>0</v>
      </c>
      <c r="D64" s="334">
        <v>0</v>
      </c>
      <c r="E64" s="334">
        <v>0</v>
      </c>
      <c r="F64" s="334">
        <v>0</v>
      </c>
    </row>
    <row r="65" spans="1:6">
      <c r="A65" s="348" t="s">
        <v>55</v>
      </c>
      <c r="B65" s="348" t="s">
        <v>28</v>
      </c>
      <c r="C65" s="334">
        <v>1</v>
      </c>
      <c r="D65" s="334">
        <v>222799.09</v>
      </c>
      <c r="E65" s="334">
        <v>0</v>
      </c>
      <c r="F65" s="334">
        <v>0</v>
      </c>
    </row>
    <row r="66" spans="1:6">
      <c r="A66" s="348" t="s">
        <v>55</v>
      </c>
      <c r="B66" s="348" t="s">
        <v>57</v>
      </c>
      <c r="C66" s="334">
        <v>0</v>
      </c>
      <c r="D66" s="334">
        <v>0</v>
      </c>
      <c r="E66" s="334">
        <v>8</v>
      </c>
      <c r="F66" s="334">
        <v>263015.3</v>
      </c>
    </row>
    <row r="67" spans="1:6">
      <c r="A67" s="355" t="s">
        <v>55</v>
      </c>
      <c r="B67" s="355" t="s">
        <v>58</v>
      </c>
      <c r="C67" s="334">
        <v>0</v>
      </c>
      <c r="D67" s="334">
        <v>0</v>
      </c>
      <c r="E67" s="334">
        <v>0</v>
      </c>
      <c r="F67" s="334">
        <v>0</v>
      </c>
    </row>
    <row r="68" spans="1:6">
      <c r="A68" s="341" t="s">
        <v>55</v>
      </c>
      <c r="B68" s="341" t="s">
        <v>59</v>
      </c>
      <c r="C68" s="334">
        <v>3</v>
      </c>
      <c r="D68" s="334">
        <v>58845.703999999998</v>
      </c>
      <c r="E68" s="334">
        <v>17</v>
      </c>
      <c r="F68" s="334">
        <v>289498.39</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47304618</v>
      </c>
      <c r="E73" s="476"/>
    </row>
    <row r="74" spans="1:6">
      <c r="A74" s="348" t="s">
        <v>63</v>
      </c>
      <c r="B74" s="348" t="s">
        <v>651</v>
      </c>
      <c r="C74" s="1307" t="s">
        <v>653</v>
      </c>
      <c r="D74" s="476">
        <v>5403792.5</v>
      </c>
      <c r="E74" s="476"/>
    </row>
    <row r="75" spans="1:6">
      <c r="A75" s="348" t="s">
        <v>64</v>
      </c>
      <c r="B75" s="348" t="s">
        <v>650</v>
      </c>
      <c r="C75" s="1307" t="s">
        <v>654</v>
      </c>
      <c r="D75" s="476">
        <v>9428841</v>
      </c>
      <c r="E75" s="476"/>
    </row>
    <row r="76" spans="1:6">
      <c r="A76" s="348" t="s">
        <v>64</v>
      </c>
      <c r="B76" s="348" t="s">
        <v>651</v>
      </c>
      <c r="C76" s="1307" t="s">
        <v>655</v>
      </c>
      <c r="D76" s="476">
        <v>1237943.5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168405</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2669.2483228160363</v>
      </c>
    </row>
    <row r="92" spans="1:6">
      <c r="A92" s="341" t="s">
        <v>68</v>
      </c>
      <c r="B92" s="342">
        <v>3188.1876664833626</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1016</v>
      </c>
    </row>
    <row r="98" spans="1:6">
      <c r="A98" s="348" t="s">
        <v>71</v>
      </c>
      <c r="B98" s="334">
        <v>1</v>
      </c>
    </row>
    <row r="99" spans="1:6">
      <c r="A99" s="348" t="s">
        <v>72</v>
      </c>
      <c r="B99" s="334">
        <v>73</v>
      </c>
    </row>
    <row r="100" spans="1:6">
      <c r="A100" s="348" t="s">
        <v>73</v>
      </c>
      <c r="B100" s="334">
        <v>183</v>
      </c>
    </row>
    <row r="101" spans="1:6">
      <c r="A101" s="348" t="s">
        <v>74</v>
      </c>
      <c r="B101" s="334">
        <v>65</v>
      </c>
    </row>
    <row r="102" spans="1:6">
      <c r="A102" s="348" t="s">
        <v>75</v>
      </c>
      <c r="B102" s="334">
        <v>48</v>
      </c>
    </row>
    <row r="103" spans="1:6">
      <c r="A103" s="348" t="s">
        <v>76</v>
      </c>
      <c r="B103" s="334">
        <v>98</v>
      </c>
    </row>
    <row r="104" spans="1:6">
      <c r="A104" s="348" t="s">
        <v>77</v>
      </c>
      <c r="B104" s="334">
        <v>920</v>
      </c>
    </row>
    <row r="105" spans="1:6">
      <c r="A105" s="341" t="s">
        <v>78</v>
      </c>
      <c r="B105" s="341">
        <v>2</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2</v>
      </c>
      <c r="C121" s="334">
        <v>0</v>
      </c>
    </row>
    <row r="122" spans="1:6">
      <c r="A122" s="348" t="s">
        <v>86</v>
      </c>
      <c r="B122" s="334">
        <v>0</v>
      </c>
      <c r="C122" s="334">
        <v>0</v>
      </c>
    </row>
    <row r="123" spans="1:6">
      <c r="A123" s="348" t="s">
        <v>87</v>
      </c>
      <c r="B123" s="334">
        <v>43</v>
      </c>
      <c r="C123" s="334">
        <v>12</v>
      </c>
    </row>
    <row r="124" spans="1:6">
      <c r="A124" s="341" t="s">
        <v>88</v>
      </c>
      <c r="B124" s="334">
        <v>1</v>
      </c>
      <c r="C124" s="334">
        <v>0</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64</v>
      </c>
    </row>
    <row r="130" spans="1:6">
      <c r="A130" s="348" t="s">
        <v>294</v>
      </c>
      <c r="B130" s="334">
        <v>0</v>
      </c>
    </row>
    <row r="131" spans="1:6">
      <c r="A131" s="348" t="s">
        <v>295</v>
      </c>
      <c r="B131" s="334">
        <v>0</v>
      </c>
    </row>
    <row r="132" spans="1:6">
      <c r="A132" s="341" t="s">
        <v>296</v>
      </c>
      <c r="B132" s="342">
        <v>12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42793.634375911875</v>
      </c>
      <c r="C3" s="43" t="s">
        <v>169</v>
      </c>
      <c r="D3" s="43"/>
      <c r="E3" s="154"/>
      <c r="F3" s="43"/>
      <c r="G3" s="43"/>
      <c r="H3" s="43"/>
      <c r="I3" s="43"/>
      <c r="J3" s="43"/>
      <c r="K3" s="96"/>
    </row>
    <row r="4" spans="1:11">
      <c r="A4" s="383" t="s">
        <v>170</v>
      </c>
      <c r="B4" s="49">
        <f>IF(ISERROR('SEAP template'!B78+'SEAP template'!C78),0,'SEAP template'!B78+'SEAP template'!C78)</f>
        <v>55262.935989299396</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74.858823529411794</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1.3545936745725338E-3</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106.94117647058827</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70579.28571428571</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1.5151921047132767E-3</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558.90099999999995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558.90099999999995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1.3545936745725338E-3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0.75708375931226357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9313.1671170000009</v>
      </c>
      <c r="C5" s="17">
        <f>IF(ISERROR('Eigen informatie GS &amp; warmtenet'!B59),0,'Eigen informatie GS &amp; warmtenet'!B59)</f>
        <v>0</v>
      </c>
      <c r="D5" s="30">
        <f>(SUM(HH_hh_gas_kWh,HH_rest_gas_kWh)/1000)*0.902</f>
        <v>21580.237421380003</v>
      </c>
      <c r="E5" s="17">
        <f>B46*B57</f>
        <v>5763.979434284046</v>
      </c>
      <c r="F5" s="17">
        <f>B51*B62</f>
        <v>8499.7766637697368</v>
      </c>
      <c r="G5" s="18"/>
      <c r="H5" s="17"/>
      <c r="I5" s="17"/>
      <c r="J5" s="17">
        <f>B50*B61+C50*C61</f>
        <v>1209.3550428137457</v>
      </c>
      <c r="K5" s="17"/>
      <c r="L5" s="17"/>
      <c r="M5" s="17"/>
      <c r="N5" s="17">
        <f>B48*B59+C48*C59</f>
        <v>8881.6466455989103</v>
      </c>
      <c r="O5" s="17">
        <f>B69*B70*B71</f>
        <v>150.78082467341443</v>
      </c>
      <c r="P5" s="17">
        <f>B77*B78*B79/1000-B77*B78*B79/1000/B80</f>
        <v>589.90172123036132</v>
      </c>
    </row>
    <row r="6" spans="1:16">
      <c r="A6" s="16" t="s">
        <v>615</v>
      </c>
      <c r="B6" s="809">
        <f>kWh_PV_kleiner_dan_10kW</f>
        <v>2669.2483228160363</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11982.415439816037</v>
      </c>
      <c r="C8" s="21">
        <f>C5</f>
        <v>0</v>
      </c>
      <c r="D8" s="21">
        <f>D5</f>
        <v>21580.237421380003</v>
      </c>
      <c r="E8" s="21">
        <f>E5</f>
        <v>5763.979434284046</v>
      </c>
      <c r="F8" s="21">
        <f>F5</f>
        <v>8499.7766637697368</v>
      </c>
      <c r="G8" s="21"/>
      <c r="H8" s="21"/>
      <c r="I8" s="21"/>
      <c r="J8" s="21">
        <f>J5</f>
        <v>1209.3550428137457</v>
      </c>
      <c r="K8" s="21"/>
      <c r="L8" s="21">
        <f>L5</f>
        <v>0</v>
      </c>
      <c r="M8" s="21">
        <f>M5</f>
        <v>0</v>
      </c>
      <c r="N8" s="21">
        <f>N5</f>
        <v>8881.6466455989103</v>
      </c>
      <c r="O8" s="21">
        <f>O5</f>
        <v>150.78082467341443</v>
      </c>
      <c r="P8" s="21">
        <f>P5</f>
        <v>589.90172123036132</v>
      </c>
    </row>
    <row r="9" spans="1:16">
      <c r="B9" s="19"/>
      <c r="C9" s="19"/>
      <c r="D9" s="258"/>
      <c r="E9" s="19"/>
      <c r="F9" s="19"/>
      <c r="G9" s="19"/>
      <c r="H9" s="19"/>
      <c r="I9" s="19"/>
      <c r="J9" s="19"/>
      <c r="K9" s="19"/>
      <c r="L9" s="19"/>
      <c r="M9" s="19"/>
      <c r="N9" s="19"/>
      <c r="O9" s="19"/>
      <c r="P9" s="19"/>
    </row>
    <row r="10" spans="1:16">
      <c r="A10" s="24" t="s">
        <v>213</v>
      </c>
      <c r="B10" s="25">
        <f ca="1">'EF ele_warmte'!B12</f>
        <v>1.3545936745725338E-3</v>
      </c>
      <c r="C10" s="25">
        <f ca="1">'EF ele_warmte'!B22</f>
        <v>1.5151921047132767E-3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16.231304160875069</v>
      </c>
      <c r="C12" s="23">
        <f ca="1">C10*C8</f>
        <v>0</v>
      </c>
      <c r="D12" s="23">
        <f>D8*D10</f>
        <v>4359.2079591187612</v>
      </c>
      <c r="E12" s="23">
        <f>E10*E8</f>
        <v>1308.4233315824786</v>
      </c>
      <c r="F12" s="23">
        <f>F10*F8</f>
        <v>2269.44036922652</v>
      </c>
      <c r="G12" s="23"/>
      <c r="H12" s="23"/>
      <c r="I12" s="23"/>
      <c r="J12" s="23">
        <f>J10*J8</f>
        <v>428.11168515606596</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1016</v>
      </c>
      <c r="C18" s="166" t="s">
        <v>110</v>
      </c>
      <c r="D18" s="228"/>
      <c r="E18" s="15"/>
    </row>
    <row r="19" spans="1:7">
      <c r="A19" s="171" t="s">
        <v>71</v>
      </c>
      <c r="B19" s="37">
        <f>aantalw2001_ander</f>
        <v>1</v>
      </c>
      <c r="C19" s="166" t="s">
        <v>110</v>
      </c>
      <c r="D19" s="229"/>
      <c r="E19" s="15"/>
    </row>
    <row r="20" spans="1:7">
      <c r="A20" s="171" t="s">
        <v>72</v>
      </c>
      <c r="B20" s="37">
        <f>aantalw2001_propaan</f>
        <v>73</v>
      </c>
      <c r="C20" s="167">
        <f>IF(ISERROR(B20/SUM($B$20,$B$21,$B$22)*100),0,B20/SUM($B$20,$B$21,$B$22)*100)</f>
        <v>22.741433021806852</v>
      </c>
      <c r="D20" s="229"/>
      <c r="E20" s="15"/>
    </row>
    <row r="21" spans="1:7">
      <c r="A21" s="171" t="s">
        <v>73</v>
      </c>
      <c r="B21" s="37">
        <f>aantalw2001_elektriciteit</f>
        <v>183</v>
      </c>
      <c r="C21" s="167">
        <f>IF(ISERROR(B21/SUM($B$20,$B$21,$B$22)*100),0,B21/SUM($B$20,$B$21,$B$22)*100)</f>
        <v>57.009345794392516</v>
      </c>
      <c r="D21" s="229"/>
      <c r="E21" s="15"/>
    </row>
    <row r="22" spans="1:7">
      <c r="A22" s="171" t="s">
        <v>74</v>
      </c>
      <c r="B22" s="37">
        <f>aantalw2001_hout</f>
        <v>65</v>
      </c>
      <c r="C22" s="167">
        <f>IF(ISERROR(B22/SUM($B$20,$B$21,$B$22)*100),0,B22/SUM($B$20,$B$21,$B$22)*100)</f>
        <v>20.249221183800621</v>
      </c>
      <c r="D22" s="229"/>
      <c r="E22" s="15"/>
    </row>
    <row r="23" spans="1:7">
      <c r="A23" s="171" t="s">
        <v>75</v>
      </c>
      <c r="B23" s="37">
        <f>aantalw2001_niet_gespec</f>
        <v>48</v>
      </c>
      <c r="C23" s="166" t="s">
        <v>110</v>
      </c>
      <c r="D23" s="228"/>
      <c r="E23" s="15"/>
    </row>
    <row r="24" spans="1:7">
      <c r="A24" s="171" t="s">
        <v>76</v>
      </c>
      <c r="B24" s="37">
        <f>aantalw2001_steenkool</f>
        <v>98</v>
      </c>
      <c r="C24" s="166" t="s">
        <v>110</v>
      </c>
      <c r="D24" s="229"/>
      <c r="E24" s="15"/>
    </row>
    <row r="25" spans="1:7">
      <c r="A25" s="171" t="s">
        <v>77</v>
      </c>
      <c r="B25" s="37">
        <f>aantalw2001_stookolie</f>
        <v>920</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836</v>
      </c>
      <c r="B28" s="37">
        <f>aantalHuishoudens2011</f>
        <v>2737</v>
      </c>
      <c r="C28" s="36"/>
      <c r="D28" s="228"/>
    </row>
    <row r="29" spans="1:7" s="15" customFormat="1">
      <c r="A29" s="230" t="s">
        <v>837</v>
      </c>
      <c r="B29" s="37">
        <f>SUM(HH_hh_gas_aantal,HH_rest_gas_aantal)</f>
        <v>1584</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1584</v>
      </c>
      <c r="C32" s="167">
        <f>IF(ISERROR(B32/SUM($B$32,$B$34,$B$35,$B$36,$B$38,$B$39)*100),0,B32/SUM($B$32,$B$34,$B$35,$B$36,$B$38,$B$39)*100)</f>
        <v>59.082431928384928</v>
      </c>
      <c r="D32" s="233"/>
      <c r="G32" s="15"/>
    </row>
    <row r="33" spans="1:7">
      <c r="A33" s="171" t="s">
        <v>71</v>
      </c>
      <c r="B33" s="34" t="s">
        <v>110</v>
      </c>
      <c r="C33" s="167"/>
      <c r="D33" s="233"/>
      <c r="G33" s="15"/>
    </row>
    <row r="34" spans="1:7">
      <c r="A34" s="171" t="s">
        <v>72</v>
      </c>
      <c r="B34" s="33">
        <f>IF((($B$28-$B$32-$B$39-$B$77-$B$38)*C20/100)&lt;0,0,($B$28-$B$32-$B$39-$B$77-$B$38)*C20/100)</f>
        <v>147.13707165109034</v>
      </c>
      <c r="C34" s="167">
        <f>IF(ISERROR(B34/SUM($B$32,$B$34,$B$35,$B$36,$B$38,$B$39)*100),0,B34/SUM($B$32,$B$34,$B$35,$B$36,$B$38,$B$39)*100)</f>
        <v>5.4881414267471218</v>
      </c>
      <c r="D34" s="233"/>
      <c r="G34" s="15"/>
    </row>
    <row r="35" spans="1:7">
      <c r="A35" s="171" t="s">
        <v>73</v>
      </c>
      <c r="B35" s="33">
        <f>IF((($B$28-$B$32-$B$39-$B$77-$B$38)*C21/100)&lt;0,0,($B$28-$B$32-$B$39-$B$77-$B$38)*C21/100)</f>
        <v>368.85046728971957</v>
      </c>
      <c r="C35" s="167">
        <f>IF(ISERROR(B35/SUM($B$32,$B$34,$B$35,$B$36,$B$38,$B$39)*100),0,B35/SUM($B$32,$B$34,$B$35,$B$36,$B$38,$B$39)*100)</f>
        <v>13.757943576640045</v>
      </c>
      <c r="D35" s="233"/>
      <c r="G35" s="15"/>
    </row>
    <row r="36" spans="1:7">
      <c r="A36" s="171" t="s">
        <v>74</v>
      </c>
      <c r="B36" s="33">
        <f>IF((($B$28-$B$32-$B$39-$B$77-$B$38)*C22/100)&lt;0,0,($B$28-$B$32-$B$39-$B$77-$B$38)*C22/100)</f>
        <v>131.01246105919003</v>
      </c>
      <c r="C36" s="167">
        <f>IF(ISERROR(B36/SUM($B$32,$B$34,$B$35,$B$36,$B$38,$B$39)*100),0,B36/SUM($B$32,$B$34,$B$35,$B$36,$B$38,$B$39)*100)</f>
        <v>4.8867012703912724</v>
      </c>
      <c r="D36" s="233"/>
      <c r="G36" s="15"/>
    </row>
    <row r="37" spans="1:7">
      <c r="A37" s="171" t="s">
        <v>75</v>
      </c>
      <c r="B37" s="34" t="s">
        <v>110</v>
      </c>
      <c r="C37" s="167"/>
      <c r="D37" s="173"/>
      <c r="G37" s="15"/>
    </row>
    <row r="38" spans="1:7">
      <c r="A38" s="171" t="s">
        <v>76</v>
      </c>
      <c r="B38" s="33">
        <f>IF((B24-(B29-B18)*0.1)&lt;0,0,B24-(B29-B18)*0.1)</f>
        <v>41.199999999999996</v>
      </c>
      <c r="C38" s="167">
        <f>IF(ISERROR(B38/SUM($B$32,$B$34,$B$35,$B$36,$B$38,$B$39)*100),0,B38/SUM($B$32,$B$34,$B$35,$B$36,$B$38,$B$39)*100)</f>
        <v>1.5367400223797087</v>
      </c>
      <c r="D38" s="234"/>
      <c r="G38" s="15"/>
    </row>
    <row r="39" spans="1:7">
      <c r="A39" s="171" t="s">
        <v>77</v>
      </c>
      <c r="B39" s="33">
        <f>IF((B25-(B29-B18))&lt;0,0,B25-(B29-B18)*0.9)</f>
        <v>408.8</v>
      </c>
      <c r="C39" s="167">
        <f>IF(ISERROR(B39/SUM($B$32,$B$34,$B$35,$B$36,$B$38,$B$39)*100),0,B39/SUM($B$32,$B$34,$B$35,$B$36,$B$38,$B$39)*100)</f>
        <v>15.248041775456919</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1584</v>
      </c>
      <c r="C44" s="34" t="s">
        <v>110</v>
      </c>
      <c r="D44" s="174"/>
    </row>
    <row r="45" spans="1:7">
      <c r="A45" s="171" t="s">
        <v>71</v>
      </c>
      <c r="B45" s="33" t="str">
        <f t="shared" si="0"/>
        <v>-</v>
      </c>
      <c r="C45" s="34" t="s">
        <v>110</v>
      </c>
      <c r="D45" s="174"/>
    </row>
    <row r="46" spans="1:7">
      <c r="A46" s="171" t="s">
        <v>72</v>
      </c>
      <c r="B46" s="33">
        <f t="shared" si="0"/>
        <v>147.13707165109034</v>
      </c>
      <c r="C46" s="34" t="s">
        <v>110</v>
      </c>
      <c r="D46" s="174"/>
    </row>
    <row r="47" spans="1:7">
      <c r="A47" s="171" t="s">
        <v>73</v>
      </c>
      <c r="B47" s="33">
        <f t="shared" si="0"/>
        <v>368.85046728971957</v>
      </c>
      <c r="C47" s="34" t="s">
        <v>110</v>
      </c>
      <c r="D47" s="174"/>
    </row>
    <row r="48" spans="1:7">
      <c r="A48" s="171" t="s">
        <v>74</v>
      </c>
      <c r="B48" s="33">
        <f t="shared" si="0"/>
        <v>131.01246105919003</v>
      </c>
      <c r="C48" s="33">
        <f>B48*10</f>
        <v>1310.1246105919004</v>
      </c>
      <c r="D48" s="234"/>
    </row>
    <row r="49" spans="1:6">
      <c r="A49" s="171" t="s">
        <v>75</v>
      </c>
      <c r="B49" s="33" t="str">
        <f t="shared" si="0"/>
        <v>-</v>
      </c>
      <c r="C49" s="34" t="s">
        <v>110</v>
      </c>
      <c r="D49" s="234"/>
    </row>
    <row r="50" spans="1:6">
      <c r="A50" s="171" t="s">
        <v>76</v>
      </c>
      <c r="B50" s="33">
        <f t="shared" si="0"/>
        <v>41.199999999999996</v>
      </c>
      <c r="C50" s="33">
        <f>B50*2</f>
        <v>82.399999999999991</v>
      </c>
      <c r="D50" s="234"/>
    </row>
    <row r="51" spans="1:6">
      <c r="A51" s="171" t="s">
        <v>77</v>
      </c>
      <c r="B51" s="33">
        <f t="shared" si="0"/>
        <v>408.8</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76</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56</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12368.082124999999</v>
      </c>
      <c r="C5" s="17">
        <f>IF(ISERROR('Eigen informatie GS &amp; warmtenet'!B60),0,'Eigen informatie GS &amp; warmtenet'!B60)</f>
        <v>0</v>
      </c>
      <c r="D5" s="30">
        <f>SUM(D6:D12)</f>
        <v>12985.378830358</v>
      </c>
      <c r="E5" s="17">
        <f>SUM(E6:E12)</f>
        <v>199.16027697409885</v>
      </c>
      <c r="F5" s="17">
        <f>SUM(F6:F12)</f>
        <v>1400.4864176478311</v>
      </c>
      <c r="G5" s="18"/>
      <c r="H5" s="17"/>
      <c r="I5" s="17"/>
      <c r="J5" s="17">
        <f>SUM(J6:J12)</f>
        <v>2.8818606480647636E-2</v>
      </c>
      <c r="K5" s="17"/>
      <c r="L5" s="17"/>
      <c r="M5" s="17"/>
      <c r="N5" s="17">
        <f>SUM(N6:N12)</f>
        <v>1129.9269523894452</v>
      </c>
      <c r="O5" s="17">
        <f>B38*B39*B40</f>
        <v>0</v>
      </c>
      <c r="P5" s="17">
        <f>B46*B47*B48/1000-B46*B47*B48/1000/B49</f>
        <v>105.07827661299004</v>
      </c>
      <c r="R5" s="32"/>
    </row>
    <row r="6" spans="1:18">
      <c r="A6" s="32" t="s">
        <v>53</v>
      </c>
      <c r="B6" s="37">
        <f>B26</f>
        <v>2347.9727069999999</v>
      </c>
      <c r="C6" s="33"/>
      <c r="D6" s="37">
        <f>IF(ISERROR(TER_kantoor_gas_kWh/1000),0,TER_kantoor_gas_kWh/1000)*0.902</f>
        <v>1780.7804237519999</v>
      </c>
      <c r="E6" s="33">
        <f>$C$26*'E Balans VL '!I12/100/3.6*1000000</f>
        <v>18.893383553870223</v>
      </c>
      <c r="F6" s="33">
        <f>$C$26*('E Balans VL '!L12+'E Balans VL '!N12)/100/3.6*1000000</f>
        <v>287.0643633128447</v>
      </c>
      <c r="G6" s="34"/>
      <c r="H6" s="33"/>
      <c r="I6" s="33"/>
      <c r="J6" s="33">
        <f>$C$26*('E Balans VL '!D12+'E Balans VL '!E12)/100/3.6*1000000</f>
        <v>0</v>
      </c>
      <c r="K6" s="33"/>
      <c r="L6" s="33"/>
      <c r="M6" s="33"/>
      <c r="N6" s="33">
        <f>$C$26*'E Balans VL '!Y12/100/3.6*1000000</f>
        <v>1.2619197048713096</v>
      </c>
      <c r="O6" s="33"/>
      <c r="P6" s="33"/>
      <c r="R6" s="32"/>
    </row>
    <row r="7" spans="1:18">
      <c r="A7" s="32" t="s">
        <v>52</v>
      </c>
      <c r="B7" s="37">
        <f t="shared" ref="B7:B12" si="0">B27</f>
        <v>931.63379700000007</v>
      </c>
      <c r="C7" s="33"/>
      <c r="D7" s="37">
        <f>IF(ISERROR(TER_horeca_gas_kWh/1000),0,TER_horeca_gas_kWh/1000)*0.902</f>
        <v>706.28483285799996</v>
      </c>
      <c r="E7" s="33">
        <f>$C$27*'E Balans VL '!I9/100/3.6*1000000</f>
        <v>10.003459287127914</v>
      </c>
      <c r="F7" s="33">
        <f>$C$27*('E Balans VL '!L9+'E Balans VL '!N9)/100/3.6*1000000</f>
        <v>112.05295487744257</v>
      </c>
      <c r="G7" s="34"/>
      <c r="H7" s="33"/>
      <c r="I7" s="33"/>
      <c r="J7" s="33">
        <f>$C$27*('E Balans VL '!D9+'E Balans VL '!E9)/100/3.6*1000000</f>
        <v>0</v>
      </c>
      <c r="K7" s="33"/>
      <c r="L7" s="33"/>
      <c r="M7" s="33"/>
      <c r="N7" s="33">
        <f>$C$27*'E Balans VL '!Y9/100/3.6*1000000</f>
        <v>0.13967078819518983</v>
      </c>
      <c r="O7" s="33"/>
      <c r="P7" s="33"/>
      <c r="R7" s="32"/>
    </row>
    <row r="8" spans="1:18">
      <c r="A8" s="6" t="s">
        <v>51</v>
      </c>
      <c r="B8" s="37">
        <f t="shared" si="0"/>
        <v>4979.375419</v>
      </c>
      <c r="C8" s="33"/>
      <c r="D8" s="37">
        <f>IF(ISERROR(TER_handel_gas_kWh/1000),0,TER_handel_gas_kWh/1000)*0.902</f>
        <v>4883.9975228000003</v>
      </c>
      <c r="E8" s="33">
        <f>$C$28*'E Balans VL '!I13/100/3.6*1000000</f>
        <v>133.63119203599567</v>
      </c>
      <c r="F8" s="33">
        <f>$C$28*('E Balans VL '!L13+'E Balans VL '!N13)/100/3.6*1000000</f>
        <v>475.18588328015608</v>
      </c>
      <c r="G8" s="34"/>
      <c r="H8" s="33"/>
      <c r="I8" s="33"/>
      <c r="J8" s="33">
        <f>$C$28*('E Balans VL '!D13+'E Balans VL '!E13)/100/3.6*1000000</f>
        <v>0</v>
      </c>
      <c r="K8" s="33"/>
      <c r="L8" s="33"/>
      <c r="M8" s="33"/>
      <c r="N8" s="33">
        <f>$C$28*'E Balans VL '!Y13/100/3.6*1000000</f>
        <v>1.9738810335095673</v>
      </c>
      <c r="O8" s="33"/>
      <c r="P8" s="33"/>
      <c r="R8" s="32"/>
    </row>
    <row r="9" spans="1:18">
      <c r="A9" s="32" t="s">
        <v>50</v>
      </c>
      <c r="B9" s="37">
        <f t="shared" si="0"/>
        <v>92.807141000000001</v>
      </c>
      <c r="C9" s="33"/>
      <c r="D9" s="37">
        <f>IF(ISERROR(TER_gezond_gas_kWh/1000),0,TER_gezond_gas_kWh/1000)*0.902</f>
        <v>270.55722084600001</v>
      </c>
      <c r="E9" s="33">
        <f>$C$29*'E Balans VL '!I10/100/3.6*1000000</f>
        <v>0.1739508015513471</v>
      </c>
      <c r="F9" s="33">
        <f>$C$29*('E Balans VL '!L10+'E Balans VL '!N10)/100/3.6*1000000</f>
        <v>7.629593790112887</v>
      </c>
      <c r="G9" s="34"/>
      <c r="H9" s="33"/>
      <c r="I9" s="33"/>
      <c r="J9" s="33">
        <f>$C$29*('E Balans VL '!D10+'E Balans VL '!E10)/100/3.6*1000000</f>
        <v>0</v>
      </c>
      <c r="K9" s="33"/>
      <c r="L9" s="33"/>
      <c r="M9" s="33"/>
      <c r="N9" s="33">
        <f>$C$29*'E Balans VL '!Y10/100/3.6*1000000</f>
        <v>0.72210880105665654</v>
      </c>
      <c r="O9" s="33"/>
      <c r="P9" s="33"/>
      <c r="R9" s="32"/>
    </row>
    <row r="10" spans="1:18">
      <c r="A10" s="32" t="s">
        <v>49</v>
      </c>
      <c r="B10" s="37">
        <f t="shared" si="0"/>
        <v>1408.8870490000002</v>
      </c>
      <c r="C10" s="33"/>
      <c r="D10" s="37">
        <f>IF(ISERROR(TER_ander_gas_kWh/1000),0,TER_ander_gas_kWh/1000)*0.902</f>
        <v>1018.824854454</v>
      </c>
      <c r="E10" s="33">
        <f>$C$30*'E Balans VL '!I14/100/3.6*1000000</f>
        <v>2.171813662065385</v>
      </c>
      <c r="F10" s="33">
        <f>$C$30*('E Balans VL '!L14+'E Balans VL '!N14)/100/3.6*1000000</f>
        <v>218.7301033019036</v>
      </c>
      <c r="G10" s="34"/>
      <c r="H10" s="33"/>
      <c r="I10" s="33"/>
      <c r="J10" s="33">
        <f>$C$30*('E Balans VL '!D14+'E Balans VL '!E14)/100/3.6*1000000</f>
        <v>2.3917343503997039E-2</v>
      </c>
      <c r="K10" s="33"/>
      <c r="L10" s="33"/>
      <c r="M10" s="33"/>
      <c r="N10" s="33">
        <f>$C$30*'E Balans VL '!Y14/100/3.6*1000000</f>
        <v>932.07451712742613</v>
      </c>
      <c r="O10" s="33"/>
      <c r="P10" s="33"/>
      <c r="R10" s="32"/>
    </row>
    <row r="11" spans="1:18">
      <c r="A11" s="32" t="s">
        <v>54</v>
      </c>
      <c r="B11" s="37">
        <f t="shared" si="0"/>
        <v>49.932341999999998</v>
      </c>
      <c r="C11" s="33"/>
      <c r="D11" s="37">
        <f>IF(ISERROR(TER_onderwijs_gas_kWh/1000),0,TER_onderwijs_gas_kWh/1000)*0.902</f>
        <v>661.17865325600008</v>
      </c>
      <c r="E11" s="33">
        <f>$C$31*'E Balans VL '!I11/100/3.6*1000000</f>
        <v>1.2736157617137094</v>
      </c>
      <c r="F11" s="33">
        <f>$C$31*('E Balans VL '!L11+'E Balans VL '!N11)/100/3.6*1000000</f>
        <v>6.0048341066004118</v>
      </c>
      <c r="G11" s="34"/>
      <c r="H11" s="33"/>
      <c r="I11" s="33"/>
      <c r="J11" s="33">
        <f>$C$31*('E Balans VL '!D11+'E Balans VL '!E11)/100/3.6*1000000</f>
        <v>0</v>
      </c>
      <c r="K11" s="33"/>
      <c r="L11" s="33"/>
      <c r="M11" s="33"/>
      <c r="N11" s="33">
        <f>$C$31*'E Balans VL '!Y11/100/3.6*1000000</f>
        <v>0.111048310248357</v>
      </c>
      <c r="O11" s="33"/>
      <c r="P11" s="33"/>
      <c r="R11" s="32"/>
    </row>
    <row r="12" spans="1:18">
      <c r="A12" s="32" t="s">
        <v>259</v>
      </c>
      <c r="B12" s="37">
        <f t="shared" si="0"/>
        <v>2557.4736699999999</v>
      </c>
      <c r="C12" s="33"/>
      <c r="D12" s="37">
        <f>IF(ISERROR(TER_rest_gas_kWh/1000),0,TER_rest_gas_kWh/1000)*0.902</f>
        <v>3663.7553223919999</v>
      </c>
      <c r="E12" s="33">
        <f>$C$32*'E Balans VL '!I8/100/3.6*1000000</f>
        <v>33.012861871774604</v>
      </c>
      <c r="F12" s="33">
        <f>$C$32*('E Balans VL '!L8+'E Balans VL '!N8)/100/3.6*1000000</f>
        <v>293.81868497877105</v>
      </c>
      <c r="G12" s="34"/>
      <c r="H12" s="33"/>
      <c r="I12" s="33"/>
      <c r="J12" s="33">
        <f>$C$32*('E Balans VL '!D8+'E Balans VL '!E8)/100/3.6*1000000</f>
        <v>4.9012629766505963E-3</v>
      </c>
      <c r="K12" s="33"/>
      <c r="L12" s="33"/>
      <c r="M12" s="33"/>
      <c r="N12" s="33">
        <f>$C$32*'E Balans VL '!Y8/100/3.6*1000000</f>
        <v>193.64380662413802</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12368.082124999999</v>
      </c>
      <c r="C16" s="21">
        <f t="shared" ca="1" si="1"/>
        <v>0</v>
      </c>
      <c r="D16" s="21">
        <f t="shared" ca="1" si="1"/>
        <v>12985.378830358</v>
      </c>
      <c r="E16" s="21">
        <f t="shared" si="1"/>
        <v>199.16027697409885</v>
      </c>
      <c r="F16" s="21">
        <f t="shared" ca="1" si="1"/>
        <v>1400.4864176478311</v>
      </c>
      <c r="G16" s="21">
        <f t="shared" si="1"/>
        <v>0</v>
      </c>
      <c r="H16" s="21">
        <f t="shared" si="1"/>
        <v>0</v>
      </c>
      <c r="I16" s="21">
        <f t="shared" si="1"/>
        <v>0</v>
      </c>
      <c r="J16" s="21">
        <f t="shared" si="1"/>
        <v>2.8818606480647636E-2</v>
      </c>
      <c r="K16" s="21">
        <f t="shared" si="1"/>
        <v>0</v>
      </c>
      <c r="L16" s="21">
        <f t="shared" ca="1" si="1"/>
        <v>0</v>
      </c>
      <c r="M16" s="21">
        <f t="shared" si="1"/>
        <v>0</v>
      </c>
      <c r="N16" s="21">
        <f t="shared" ca="1" si="1"/>
        <v>1129.9269523894452</v>
      </c>
      <c r="O16" s="21">
        <f>O5</f>
        <v>0</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1.3545936745725338E-3</v>
      </c>
      <c r="C18" s="25">
        <f ca="1">'EF ele_warmte'!B22</f>
        <v>1.5151921047132767E-3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16.753725813118621</v>
      </c>
      <c r="C20" s="23">
        <f t="shared" ref="C20:P20" ca="1" si="2">C16*C18</f>
        <v>0</v>
      </c>
      <c r="D20" s="23">
        <f t="shared" ca="1" si="2"/>
        <v>2623.0465237323165</v>
      </c>
      <c r="E20" s="23">
        <f t="shared" si="2"/>
        <v>45.20938287312044</v>
      </c>
      <c r="F20" s="23">
        <f t="shared" ca="1" si="2"/>
        <v>373.92987351197092</v>
      </c>
      <c r="G20" s="23">
        <f t="shared" si="2"/>
        <v>0</v>
      </c>
      <c r="H20" s="23">
        <f t="shared" si="2"/>
        <v>0</v>
      </c>
      <c r="I20" s="23">
        <f t="shared" si="2"/>
        <v>0</v>
      </c>
      <c r="J20" s="23">
        <f t="shared" si="2"/>
        <v>1.0201786694149263E-2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2347.9727069999999</v>
      </c>
      <c r="C26" s="39">
        <f>IF(ISERROR(B26*3.6/1000000/'E Balans VL '!Z12*100),0,B26*3.6/1000000/'E Balans VL '!Z12*100)</f>
        <v>4.9810092830657855E-2</v>
      </c>
      <c r="D26" s="237" t="s">
        <v>716</v>
      </c>
      <c r="F26" s="6"/>
    </row>
    <row r="27" spans="1:18">
      <c r="A27" s="231" t="s">
        <v>52</v>
      </c>
      <c r="B27" s="33">
        <f>IF(ISERROR(TER_horeca_ele_kWh/1000),0,TER_horeca_ele_kWh/1000)</f>
        <v>931.63379700000007</v>
      </c>
      <c r="C27" s="39">
        <f>IF(ISERROR(B27*3.6/1000000/'E Balans VL '!Z9*100),0,B27*3.6/1000000/'E Balans VL '!Z9*100)</f>
        <v>7.0160277798200013E-2</v>
      </c>
      <c r="D27" s="237" t="s">
        <v>716</v>
      </c>
      <c r="F27" s="6"/>
    </row>
    <row r="28" spans="1:18">
      <c r="A28" s="171" t="s">
        <v>51</v>
      </c>
      <c r="B28" s="33">
        <f>IF(ISERROR(TER_handel_ele_kWh/1000),0,TER_handel_ele_kWh/1000)</f>
        <v>4979.375419</v>
      </c>
      <c r="C28" s="39">
        <f>IF(ISERROR(B28*3.6/1000000/'E Balans VL '!Z13*100),0,B28*3.6/1000000/'E Balans VL '!Z13*100)</f>
        <v>0.14453362510989812</v>
      </c>
      <c r="D28" s="237" t="s">
        <v>716</v>
      </c>
      <c r="F28" s="6"/>
    </row>
    <row r="29" spans="1:18">
      <c r="A29" s="231" t="s">
        <v>50</v>
      </c>
      <c r="B29" s="33">
        <f>IF(ISERROR(TER_gezond_ele_kWh/1000),0,TER_gezond_ele_kWh/1000)</f>
        <v>92.807141000000001</v>
      </c>
      <c r="C29" s="39">
        <f>IF(ISERROR(B29*3.6/1000000/'E Balans VL '!Z10*100),0,B29*3.6/1000000/'E Balans VL '!Z10*100)</f>
        <v>9.3597108468734206E-3</v>
      </c>
      <c r="D29" s="237" t="s">
        <v>716</v>
      </c>
      <c r="F29" s="6"/>
    </row>
    <row r="30" spans="1:18">
      <c r="A30" s="231" t="s">
        <v>49</v>
      </c>
      <c r="B30" s="33">
        <f>IF(ISERROR(TER_ander_ele_kWh/1000),0,TER_ander_ele_kWh/1000)</f>
        <v>1408.8870490000002</v>
      </c>
      <c r="C30" s="39">
        <f>IF(ISERROR(B30*3.6/1000000/'E Balans VL '!Z14*100),0,B30*3.6/1000000/'E Balans VL '!Z14*100)</f>
        <v>0.10223397614851942</v>
      </c>
      <c r="D30" s="237" t="s">
        <v>716</v>
      </c>
      <c r="F30" s="6"/>
    </row>
    <row r="31" spans="1:18">
      <c r="A31" s="231" t="s">
        <v>54</v>
      </c>
      <c r="B31" s="33">
        <f>IF(ISERROR(TER_onderwijs_ele_kWh/1000),0,TER_onderwijs_ele_kWh/1000)</f>
        <v>49.932341999999998</v>
      </c>
      <c r="C31" s="39">
        <f>IF(ISERROR(B31*3.6/1000000/'E Balans VL '!Z11*100),0,B31*3.6/1000000/'E Balans VL '!Z11*100)</f>
        <v>1.423275080964591E-2</v>
      </c>
      <c r="D31" s="237" t="s">
        <v>716</v>
      </c>
    </row>
    <row r="32" spans="1:18">
      <c r="A32" s="231" t="s">
        <v>259</v>
      </c>
      <c r="B32" s="33">
        <f>IF(ISERROR(TER_rest_ele_kWh/1000),0,TER_rest_ele_kWh/1000)</f>
        <v>2557.4736699999999</v>
      </c>
      <c r="C32" s="39">
        <f>IF(ISERROR(B32*3.6/1000000/'E Balans VL '!Z8*100),0,B32*3.6/1000000/'E Balans VL '!Z8*100)</f>
        <v>2.0950303371642387E-2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0</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2</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8793.3656269999992</v>
      </c>
      <c r="C5" s="17">
        <f>IF(ISERROR('Eigen informatie GS &amp; warmtenet'!B61),0,'Eigen informatie GS &amp; warmtenet'!B61)</f>
        <v>0</v>
      </c>
      <c r="D5" s="30">
        <f>SUM(D6:D15)</f>
        <v>2892.4060490820002</v>
      </c>
      <c r="E5" s="17">
        <f>SUM(E6:E15)</f>
        <v>593.43092749574816</v>
      </c>
      <c r="F5" s="17">
        <f>SUM(F6:F15)</f>
        <v>2090.2423322134878</v>
      </c>
      <c r="G5" s="18"/>
      <c r="H5" s="17"/>
      <c r="I5" s="17"/>
      <c r="J5" s="17">
        <f>SUM(J6:J15)</f>
        <v>57.419579670403003</v>
      </c>
      <c r="K5" s="17"/>
      <c r="L5" s="17"/>
      <c r="M5" s="17"/>
      <c r="N5" s="17">
        <f>SUM(N6:N15)</f>
        <v>360.17719429492649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722.90797400000008</v>
      </c>
      <c r="C8" s="33"/>
      <c r="D8" s="37">
        <f>IF( ISERROR(IND_metaal_Gas_kWH/1000),0,IND_metaal_Gas_kWH/1000)*0.902</f>
        <v>70.342455568000005</v>
      </c>
      <c r="E8" s="33">
        <f>C30*'E Balans VL '!I18/100/3.6*1000000</f>
        <v>5.2152736481739375</v>
      </c>
      <c r="F8" s="33">
        <f>C30*'E Balans VL '!L18/100/3.6*1000000+C30*'E Balans VL '!N18/100/3.6*1000000</f>
        <v>68.373764851093</v>
      </c>
      <c r="G8" s="34"/>
      <c r="H8" s="33"/>
      <c r="I8" s="33"/>
      <c r="J8" s="40">
        <f>C30*'E Balans VL '!D18/100/3.6*1000000+C30*'E Balans VL '!E18/100/3.6*1000000</f>
        <v>0.72710504121065733</v>
      </c>
      <c r="K8" s="33"/>
      <c r="L8" s="33"/>
      <c r="M8" s="33"/>
      <c r="N8" s="33">
        <f>C30*'E Balans VL '!Y18/100/3.6*1000000</f>
        <v>9.1394694170324602</v>
      </c>
      <c r="O8" s="33"/>
      <c r="P8" s="33"/>
      <c r="R8" s="32"/>
    </row>
    <row r="9" spans="1:18">
      <c r="A9" s="6" t="s">
        <v>32</v>
      </c>
      <c r="B9" s="37">
        <f t="shared" si="0"/>
        <v>950.63961199999994</v>
      </c>
      <c r="C9" s="33"/>
      <c r="D9" s="37">
        <f>IF( ISERROR(IND_andere_gas_kWh/1000),0,IND_andere_gas_kWh/1000)*0.902</f>
        <v>695.05957545199999</v>
      </c>
      <c r="E9" s="33">
        <f>C31*'E Balans VL '!I19/100/3.6*1000000</f>
        <v>263.43494812935558</v>
      </c>
      <c r="F9" s="33">
        <f>C31*'E Balans VL '!L19/100/3.6*1000000+C31*'E Balans VL '!N19/100/3.6*1000000</f>
        <v>787.89216477363414</v>
      </c>
      <c r="G9" s="34"/>
      <c r="H9" s="33"/>
      <c r="I9" s="33"/>
      <c r="J9" s="40">
        <f>C31*'E Balans VL '!D19/100/3.6*1000000+C31*'E Balans VL '!E19/100/3.6*1000000</f>
        <v>0</v>
      </c>
      <c r="K9" s="33"/>
      <c r="L9" s="33"/>
      <c r="M9" s="33"/>
      <c r="N9" s="33">
        <f>C31*'E Balans VL '!Y19/100/3.6*1000000</f>
        <v>69.004808249963475</v>
      </c>
      <c r="O9" s="33"/>
      <c r="P9" s="33"/>
      <c r="R9" s="32"/>
    </row>
    <row r="10" spans="1:18">
      <c r="A10" s="6" t="s">
        <v>40</v>
      </c>
      <c r="B10" s="37">
        <f t="shared" si="0"/>
        <v>257.33051399999999</v>
      </c>
      <c r="C10" s="33"/>
      <c r="D10" s="37">
        <f>IF( ISERROR(IND_voed_gas_kWh/1000),0,IND_voed_gas_kWh/1000)*0.902</f>
        <v>208.54902519000001</v>
      </c>
      <c r="E10" s="33">
        <f>C32*'E Balans VL '!I20/100/3.6*1000000</f>
        <v>0.45556217321338915</v>
      </c>
      <c r="F10" s="33">
        <f>C32*'E Balans VL '!L20/100/3.6*1000000+C32*'E Balans VL '!N20/100/3.6*1000000</f>
        <v>13.898128455887369</v>
      </c>
      <c r="G10" s="34"/>
      <c r="H10" s="33"/>
      <c r="I10" s="33"/>
      <c r="J10" s="40">
        <f>C32*'E Balans VL '!D20/100/3.6*1000000+C32*'E Balans VL '!E20/100/3.6*1000000</f>
        <v>0</v>
      </c>
      <c r="K10" s="33"/>
      <c r="L10" s="33"/>
      <c r="M10" s="33"/>
      <c r="N10" s="33">
        <f>C32*'E Balans VL '!Y20/100/3.6*1000000</f>
        <v>14.952868121024276</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6862.4875269999993</v>
      </c>
      <c r="C15" s="33"/>
      <c r="D15" s="37">
        <f>IF( ISERROR(IND_rest_gas_kWh/1000),0,IND_rest_gas_kWh/1000)*0.902</f>
        <v>1918.4549928720003</v>
      </c>
      <c r="E15" s="33">
        <f>C37*'E Balans VL '!I15/100/3.6*1000000</f>
        <v>324.32514354500523</v>
      </c>
      <c r="F15" s="33">
        <f>C37*'E Balans VL '!L15/100/3.6*1000000+C37*'E Balans VL '!N15/100/3.6*1000000</f>
        <v>1220.0782741328733</v>
      </c>
      <c r="G15" s="34"/>
      <c r="H15" s="33"/>
      <c r="I15" s="33"/>
      <c r="J15" s="40">
        <f>C37*'E Balans VL '!D15/100/3.6*1000000+C37*'E Balans VL '!E15/100/3.6*1000000</f>
        <v>56.692474629192347</v>
      </c>
      <c r="K15" s="33"/>
      <c r="L15" s="33"/>
      <c r="M15" s="33"/>
      <c r="N15" s="33">
        <f>C37*'E Balans VL '!Y15/100/3.6*1000000</f>
        <v>267.08004850690628</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8793.3656269999992</v>
      </c>
      <c r="C18" s="21">
        <f>C5+C16</f>
        <v>0</v>
      </c>
      <c r="D18" s="21">
        <f>MAX((D5+D16),0)</f>
        <v>2892.4060490820002</v>
      </c>
      <c r="E18" s="21">
        <f>MAX((E5+E16),0)</f>
        <v>593.43092749574816</v>
      </c>
      <c r="F18" s="21">
        <f>MAX((F5+F16),0)</f>
        <v>2090.2423322134878</v>
      </c>
      <c r="G18" s="21"/>
      <c r="H18" s="21"/>
      <c r="I18" s="21"/>
      <c r="J18" s="21">
        <f>MAX((J5+J16),0)</f>
        <v>57.419579670403003</v>
      </c>
      <c r="K18" s="21"/>
      <c r="L18" s="21">
        <f>MAX((L5+L16),0)</f>
        <v>0</v>
      </c>
      <c r="M18" s="21"/>
      <c r="N18" s="21">
        <f>MAX((N5+N16),0)</f>
        <v>360.17719429492649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1.3545936745725338E-3</v>
      </c>
      <c r="C20" s="25">
        <f ca="1">'EF ele_warmte'!B22</f>
        <v>1.5151921047132767E-3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11.91143745653774</v>
      </c>
      <c r="C22" s="23">
        <f ca="1">C18*C20</f>
        <v>0</v>
      </c>
      <c r="D22" s="23">
        <f>D18*D20</f>
        <v>584.26602191456413</v>
      </c>
      <c r="E22" s="23">
        <f>E18*E20</f>
        <v>134.70882054153483</v>
      </c>
      <c r="F22" s="23">
        <f>F18*F20</f>
        <v>558.09470270100121</v>
      </c>
      <c r="G22" s="23"/>
      <c r="H22" s="23"/>
      <c r="I22" s="23"/>
      <c r="J22" s="23">
        <f>J18*J20</f>
        <v>20.326531203322663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722.90797400000008</v>
      </c>
      <c r="C30" s="39">
        <f>IF(ISERROR(B30*3.6/1000000/'E Balans VL '!Z18*100),0,B30*3.6/1000000/'E Balans VL '!Z18*100)</f>
        <v>4.173234935124874E-2</v>
      </c>
      <c r="D30" s="237" t="s">
        <v>716</v>
      </c>
    </row>
    <row r="31" spans="1:18">
      <c r="A31" s="6" t="s">
        <v>32</v>
      </c>
      <c r="B31" s="37">
        <f>IF( ISERROR(IND_ander_ele_kWh/1000),0,IND_ander_ele_kWh/1000)</f>
        <v>950.63961199999994</v>
      </c>
      <c r="C31" s="39">
        <f>IF(ISERROR(B31*3.6/1000000/'E Balans VL '!Z19*100),0,B31*3.6/1000000/'E Balans VL '!Z19*100)</f>
        <v>4.7814091104611697E-2</v>
      </c>
      <c r="D31" s="237" t="s">
        <v>716</v>
      </c>
    </row>
    <row r="32" spans="1:18">
      <c r="A32" s="171" t="s">
        <v>40</v>
      </c>
      <c r="B32" s="37">
        <f>IF( ISERROR(IND_voed_ele_kWh/1000),0,IND_voed_ele_kWh/1000)</f>
        <v>257.33051399999999</v>
      </c>
      <c r="C32" s="39">
        <f>IF(ISERROR(B32*3.6/1000000/'E Balans VL '!Z20*100),0,B32*3.6/1000000/'E Balans VL '!Z20*100)</f>
        <v>8.5706342086320671E-3</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6862.4875269999993</v>
      </c>
      <c r="C37" s="39">
        <f>IF(ISERROR(B37*3.6/1000000/'E Balans VL '!Z15*100),0,B37*3.6/1000000/'E Balans VL '!Z15*100)</f>
        <v>5.3546169083053666E-2</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8455.9165070000017</v>
      </c>
      <c r="C5" s="17">
        <f>'Eigen informatie GS &amp; warmtenet'!B62</f>
        <v>0</v>
      </c>
      <c r="D5" s="30">
        <f>IF(ISERROR(SUM(LB_lb_gas_kWh,LB_rest_gas_kWh)/1000),0,SUM(LB_lb_gas_kWh,LB_rest_gas_kWh)/1000)*0.902</f>
        <v>3941.4519977140003</v>
      </c>
      <c r="E5" s="17">
        <f>B17*'E Balans VL '!I25/3.6*1000000/100</f>
        <v>263.90636576620722</v>
      </c>
      <c r="F5" s="17">
        <f>B17*('E Balans VL '!L25/3.6*1000000+'E Balans VL '!N25/3.6*1000000)/100</f>
        <v>29884.145656899662</v>
      </c>
      <c r="G5" s="18"/>
      <c r="H5" s="17"/>
      <c r="I5" s="17"/>
      <c r="J5" s="17">
        <f>('E Balans VL '!D25+'E Balans VL '!E25)/3.6*1000000*landbouw!B17/100</f>
        <v>2329.663638945548</v>
      </c>
      <c r="K5" s="17"/>
      <c r="L5" s="17">
        <f>L6*(-1)</f>
        <v>0</v>
      </c>
      <c r="M5" s="17"/>
      <c r="N5" s="17">
        <f>N6*(-1)</f>
        <v>140258.57142857142</v>
      </c>
      <c r="O5" s="17"/>
      <c r="P5" s="17"/>
      <c r="R5" s="32"/>
    </row>
    <row r="6" spans="1:18">
      <c r="A6" s="16" t="s">
        <v>482</v>
      </c>
      <c r="B6" s="17" t="s">
        <v>210</v>
      </c>
      <c r="C6" s="17">
        <f>'lokale energieproductie'!O92+'lokale energieproductie'!O61</f>
        <v>70579.28571428571</v>
      </c>
      <c r="D6" s="310">
        <f>('lokale energieproductie'!P61+'lokale energieproductie'!P92)*(-1)</f>
        <v>-900.00000000000023</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-140258.57142857142</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8455.9165070000017</v>
      </c>
      <c r="C8" s="21">
        <f>C5+C6</f>
        <v>70579.28571428571</v>
      </c>
      <c r="D8" s="21">
        <f>MAX((D5+D6),0)</f>
        <v>3041.4519977139998</v>
      </c>
      <c r="E8" s="21">
        <f>MAX((E5+E6),0)</f>
        <v>263.90636576620722</v>
      </c>
      <c r="F8" s="21">
        <f>MAX((F5+F6),0)</f>
        <v>29884.145656899662</v>
      </c>
      <c r="G8" s="21"/>
      <c r="H8" s="21"/>
      <c r="I8" s="21"/>
      <c r="J8" s="21">
        <f>MAX((J5+J6),0)</f>
        <v>2329.663638945548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1.3545936745725338E-3</v>
      </c>
      <c r="C10" s="31">
        <f ca="1">'EF ele_warmte'!B22</f>
        <v>1.5151921047132767E-3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11.454331013095677</v>
      </c>
      <c r="C12" s="23">
        <f ca="1">C8*C10</f>
        <v>106.94117647058827</v>
      </c>
      <c r="D12" s="23">
        <f>D8*D10</f>
        <v>614.37330353822801</v>
      </c>
      <c r="E12" s="23">
        <f>E8*E10</f>
        <v>59.906745028929038</v>
      </c>
      <c r="F12" s="23">
        <f>F8*F10</f>
        <v>7979.0668903922106</v>
      </c>
      <c r="G12" s="23"/>
      <c r="H12" s="23"/>
      <c r="I12" s="23"/>
      <c r="J12" s="23">
        <f>J8*J10</f>
        <v>824.7009281867239</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1.2570326065169177</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480.17460165263026</v>
      </c>
      <c r="C26" s="247">
        <f>B26*'GWP N2O_CH4'!B5</f>
        <v>10083.666634705236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571.3675052032728</v>
      </c>
      <c r="C27" s="247">
        <f>B27*'GWP N2O_CH4'!B5</f>
        <v>11998.71760926873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7.7385463229927192</v>
      </c>
      <c r="C28" s="247">
        <f>B28*'GWP N2O_CH4'!B4</f>
        <v>2398.9493601277431</v>
      </c>
      <c r="D28" s="50"/>
    </row>
    <row r="29" spans="1:4">
      <c r="A29" s="41" t="s">
        <v>276</v>
      </c>
      <c r="B29" s="247">
        <f>B34*'ha_N2O bodem landbouw'!B4</f>
        <v>16.91394601752739</v>
      </c>
      <c r="C29" s="247">
        <f>B29*'GWP N2O_CH4'!B4</f>
        <v>5243.3232654334906</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3.708923832892984E-3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1.1091391234499999E-4</v>
      </c>
      <c r="C5" s="463" t="s">
        <v>210</v>
      </c>
      <c r="D5" s="448">
        <f>SUM(D6:D11)</f>
        <v>4.3500403202810403E-4</v>
      </c>
      <c r="E5" s="448">
        <f>SUM(E6:E11)</f>
        <v>3.3619324509652498E-4</v>
      </c>
      <c r="F5" s="461" t="s">
        <v>210</v>
      </c>
      <c r="G5" s="448">
        <f>SUM(G6:G11)</f>
        <v>0.15599440413545351</v>
      </c>
      <c r="H5" s="448">
        <f>SUM(H6:H11)</f>
        <v>3.2443905713920786E-2</v>
      </c>
      <c r="I5" s="463" t="s">
        <v>210</v>
      </c>
      <c r="J5" s="463" t="s">
        <v>210</v>
      </c>
      <c r="K5" s="463" t="s">
        <v>210</v>
      </c>
      <c r="L5" s="463" t="s">
        <v>210</v>
      </c>
      <c r="M5" s="448">
        <f>SUM(M6:M11)</f>
        <v>1.1126869545276096E-2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9.2480528189999993E-5</v>
      </c>
      <c r="C6" s="449"/>
      <c r="D6" s="917">
        <f>vkm_2011_GW_PW*SUMIFS(TableVerdeelsleutelVkm[CNG],TableVerdeelsleutelVkm[Voertuigtype],"Lichte voertuigen")*SUMIFS(TableECFTransport[EnergieConsumptieFactor (PJ per km)],TableECFTransport[Index],CONCATENATE($A6,"_CNG_CNG"))</f>
        <v>3.2157054895442404E-4</v>
      </c>
      <c r="E6" s="917">
        <f>vkm_2011_GW_PW*SUMIFS(TableVerdeelsleutelVkm[LPG],TableVerdeelsleutelVkm[Voertuigtype],"Lichte voertuigen")*SUMIFS(TableECFTransport[EnergieConsumptieFactor (PJ per km)],TableECFTransport[Index],CONCATENATE($A6,"_LPG_LPG"))</f>
        <v>2.5334461216079999E-4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6.8963349179645E-2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2.4132591774870999E-2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5.5630676124284271E-3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5.1120693660556056E-2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1.2878950090187973E-5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2.9477789086366749E-3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1.8433384154999997E-5</v>
      </c>
      <c r="C8" s="449"/>
      <c r="D8" s="451">
        <f>vkm_2011_NGW_PW*SUMIFS(TableVerdeelsleutelVkm[CNG],TableVerdeelsleutelVkm[Voertuigtype],"Lichte voertuigen")*SUMIFS(TableECFTransport[EnergieConsumptieFactor (PJ per km)],TableECFTransport[Index],CONCATENATE($A8,"_CNG_CNG"))</f>
        <v>1.1343348307368E-4</v>
      </c>
      <c r="E8" s="451">
        <f>vkm_2011_NGW_PW*SUMIFS(TableVerdeelsleutelVkm[LPG],TableVerdeelsleutelVkm[Voertuigtype],"Lichte voertuigen")*SUMIFS(TableECFTransport[EnergieConsumptieFactor (PJ per km)],TableECFTransport[Index],CONCATENATE($A8,"_LPG_LPG"))</f>
        <v>8.2848632935725007E-5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2.0927903797384007E-2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8.2948734814291929E-3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1.7521017323887593E-3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1.4982457497868456E-2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3.5615075304074895E-6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8.6392129182223556E-4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30.809420095833332</v>
      </c>
      <c r="C14" s="21"/>
      <c r="D14" s="21">
        <f t="shared" ref="D14:M14" si="0">((D5)*10^9/3600)+D12</f>
        <v>120.83445334114001</v>
      </c>
      <c r="E14" s="21">
        <f t="shared" si="0"/>
        <v>93.387012526812498</v>
      </c>
      <c r="F14" s="21"/>
      <c r="G14" s="21">
        <f t="shared" si="0"/>
        <v>43331.778926514868</v>
      </c>
      <c r="H14" s="21">
        <f t="shared" si="0"/>
        <v>9012.1960316446639</v>
      </c>
      <c r="I14" s="21"/>
      <c r="J14" s="21"/>
      <c r="K14" s="21"/>
      <c r="L14" s="21"/>
      <c r="M14" s="21">
        <f t="shared" si="0"/>
        <v>3090.7970959100267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1.3545936745725338E-3</v>
      </c>
      <c r="C16" s="56">
        <f ca="1">'EF ele_warmte'!B22</f>
        <v>1.5151921047132767E-3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4.1734245579063738E-2</v>
      </c>
      <c r="C18" s="23"/>
      <c r="D18" s="23">
        <f t="shared" ref="D18:M18" si="1">D14*D16</f>
        <v>24.408559574910281</v>
      </c>
      <c r="E18" s="23">
        <f t="shared" si="1"/>
        <v>21.198851843586439</v>
      </c>
      <c r="F18" s="23"/>
      <c r="G18" s="23">
        <f t="shared" si="1"/>
        <v>11569.584973379471</v>
      </c>
      <c r="H18" s="23">
        <f t="shared" si="1"/>
        <v>2244.0368118795213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2.0673502797615255E-3</v>
      </c>
      <c r="H50" s="321">
        <f t="shared" si="2"/>
        <v>0</v>
      </c>
      <c r="I50" s="321">
        <f t="shared" si="2"/>
        <v>0</v>
      </c>
      <c r="J50" s="321">
        <f t="shared" si="2"/>
        <v>0</v>
      </c>
      <c r="K50" s="321">
        <f t="shared" si="2"/>
        <v>0</v>
      </c>
      <c r="L50" s="321">
        <f t="shared" si="2"/>
        <v>0</v>
      </c>
      <c r="M50" s="321">
        <f t="shared" si="2"/>
        <v>1.1490355728888823E-4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2.0673502797615255E-3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1.1490355728888823E-4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574.26396660042371</v>
      </c>
      <c r="H54" s="21">
        <f t="shared" si="3"/>
        <v>0</v>
      </c>
      <c r="I54" s="21">
        <f t="shared" si="3"/>
        <v>0</v>
      </c>
      <c r="J54" s="21">
        <f t="shared" si="3"/>
        <v>0</v>
      </c>
      <c r="K54" s="21">
        <f t="shared" si="3"/>
        <v>0</v>
      </c>
      <c r="L54" s="21">
        <f t="shared" si="3"/>
        <v>0</v>
      </c>
      <c r="M54" s="21">
        <f t="shared" si="3"/>
        <v>31.917654802468952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1.3545936745725338E-3</v>
      </c>
      <c r="C56" s="56">
        <f ca="1">'EF ele_warmte'!B22</f>
        <v>1.5151921047132767E-3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153.32847908231315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12926.983124999999</v>
      </c>
      <c r="D10" s="712">
        <f ca="1">tertiair!C16</f>
        <v>0</v>
      </c>
      <c r="E10" s="712">
        <f ca="1">tertiair!D16</f>
        <v>12985.378830358</v>
      </c>
      <c r="F10" s="712">
        <f>tertiair!E16</f>
        <v>199.16027697409885</v>
      </c>
      <c r="G10" s="712">
        <f ca="1">tertiair!F16</f>
        <v>1400.4864176478311</v>
      </c>
      <c r="H10" s="712">
        <f>tertiair!G16</f>
        <v>0</v>
      </c>
      <c r="I10" s="712">
        <f>tertiair!H16</f>
        <v>0</v>
      </c>
      <c r="J10" s="712">
        <f>tertiair!I16</f>
        <v>0</v>
      </c>
      <c r="K10" s="712">
        <f>tertiair!J16</f>
        <v>2.8818606480647636E-2</v>
      </c>
      <c r="L10" s="712">
        <f>tertiair!K16</f>
        <v>0</v>
      </c>
      <c r="M10" s="712">
        <f ca="1">tertiair!L16</f>
        <v>0</v>
      </c>
      <c r="N10" s="712">
        <f>tertiair!M16</f>
        <v>0</v>
      </c>
      <c r="O10" s="712">
        <f ca="1">tertiair!N16</f>
        <v>1129.9269523894452</v>
      </c>
      <c r="P10" s="712">
        <f>tertiair!O16</f>
        <v>0</v>
      </c>
      <c r="Q10" s="713">
        <f>tertiair!P16</f>
        <v>105.07827661299004</v>
      </c>
      <c r="R10" s="715">
        <f ca="1">SUM(C10:Q10)</f>
        <v>28747.04269758884</v>
      </c>
      <c r="S10" s="67"/>
    </row>
    <row r="11" spans="1:19" s="474" customFormat="1">
      <c r="A11" s="834" t="s">
        <v>224</v>
      </c>
      <c r="B11" s="839"/>
      <c r="C11" s="712">
        <f>huishoudens!B8</f>
        <v>11982.415439816037</v>
      </c>
      <c r="D11" s="712">
        <f>huishoudens!C8</f>
        <v>0</v>
      </c>
      <c r="E11" s="712">
        <f>huishoudens!D8</f>
        <v>21580.237421380003</v>
      </c>
      <c r="F11" s="712">
        <f>huishoudens!E8</f>
        <v>5763.979434284046</v>
      </c>
      <c r="G11" s="712">
        <f>huishoudens!F8</f>
        <v>8499.7766637697368</v>
      </c>
      <c r="H11" s="712">
        <f>huishoudens!G8</f>
        <v>0</v>
      </c>
      <c r="I11" s="712">
        <f>huishoudens!H8</f>
        <v>0</v>
      </c>
      <c r="J11" s="712">
        <f>huishoudens!I8</f>
        <v>0</v>
      </c>
      <c r="K11" s="712">
        <f>huishoudens!J8</f>
        <v>1209.3550428137457</v>
      </c>
      <c r="L11" s="712">
        <f>huishoudens!K8</f>
        <v>0</v>
      </c>
      <c r="M11" s="712">
        <f>huishoudens!L8</f>
        <v>0</v>
      </c>
      <c r="N11" s="712">
        <f>huishoudens!M8</f>
        <v>0</v>
      </c>
      <c r="O11" s="712">
        <f>huishoudens!N8</f>
        <v>8881.6466455989103</v>
      </c>
      <c r="P11" s="712">
        <f>huishoudens!O8</f>
        <v>150.78082467341443</v>
      </c>
      <c r="Q11" s="713">
        <f>huishoudens!P8</f>
        <v>589.90172123036132</v>
      </c>
      <c r="R11" s="715">
        <f>SUM(C11:Q11)</f>
        <v>58658.093193566245</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8793.3656269999992</v>
      </c>
      <c r="D13" s="712">
        <f>industrie!C18</f>
        <v>0</v>
      </c>
      <c r="E13" s="712">
        <f>industrie!D18</f>
        <v>2892.4060490820002</v>
      </c>
      <c r="F13" s="712">
        <f>industrie!E18</f>
        <v>593.43092749574816</v>
      </c>
      <c r="G13" s="712">
        <f>industrie!F18</f>
        <v>2090.2423322134878</v>
      </c>
      <c r="H13" s="712">
        <f>industrie!G18</f>
        <v>0</v>
      </c>
      <c r="I13" s="712">
        <f>industrie!H18</f>
        <v>0</v>
      </c>
      <c r="J13" s="712">
        <f>industrie!I18</f>
        <v>0</v>
      </c>
      <c r="K13" s="712">
        <f>industrie!J18</f>
        <v>57.419579670403003</v>
      </c>
      <c r="L13" s="712">
        <f>industrie!K18</f>
        <v>0</v>
      </c>
      <c r="M13" s="712">
        <f>industrie!L18</f>
        <v>0</v>
      </c>
      <c r="N13" s="712">
        <f>industrie!M18</f>
        <v>0</v>
      </c>
      <c r="O13" s="712">
        <f>industrie!N18</f>
        <v>360.17719429492649</v>
      </c>
      <c r="P13" s="712">
        <f>industrie!O18</f>
        <v>0</v>
      </c>
      <c r="Q13" s="713">
        <f>industrie!P18</f>
        <v>0</v>
      </c>
      <c r="R13" s="715">
        <f>SUM(C13:Q13)</f>
        <v>14787.041709756566</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33702.764191816037</v>
      </c>
      <c r="D16" s="748">
        <f t="shared" ref="D16:R16" ca="1" si="0">SUM(D9:D15)</f>
        <v>0</v>
      </c>
      <c r="E16" s="748">
        <f t="shared" ca="1" si="0"/>
        <v>37458.022300819997</v>
      </c>
      <c r="F16" s="748">
        <f t="shared" si="0"/>
        <v>6556.5706387538921</v>
      </c>
      <c r="G16" s="748">
        <f t="shared" ca="1" si="0"/>
        <v>11990.505413631055</v>
      </c>
      <c r="H16" s="748">
        <f t="shared" si="0"/>
        <v>0</v>
      </c>
      <c r="I16" s="748">
        <f t="shared" si="0"/>
        <v>0</v>
      </c>
      <c r="J16" s="748">
        <f t="shared" si="0"/>
        <v>0</v>
      </c>
      <c r="K16" s="748">
        <f t="shared" si="0"/>
        <v>1266.8034410906293</v>
      </c>
      <c r="L16" s="748">
        <f t="shared" si="0"/>
        <v>0</v>
      </c>
      <c r="M16" s="748">
        <f t="shared" ca="1" si="0"/>
        <v>0</v>
      </c>
      <c r="N16" s="748">
        <f t="shared" si="0"/>
        <v>0</v>
      </c>
      <c r="O16" s="748">
        <f t="shared" ca="1" si="0"/>
        <v>10371.750792283283</v>
      </c>
      <c r="P16" s="748">
        <f t="shared" si="0"/>
        <v>150.78082467341443</v>
      </c>
      <c r="Q16" s="748">
        <f t="shared" si="0"/>
        <v>694.97999784335138</v>
      </c>
      <c r="R16" s="748">
        <f t="shared" ca="1" si="0"/>
        <v>102192.17760091164</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574.26396660042371</v>
      </c>
      <c r="I19" s="712">
        <f>transport!H54</f>
        <v>0</v>
      </c>
      <c r="J19" s="712">
        <f>transport!I54</f>
        <v>0</v>
      </c>
      <c r="K19" s="712">
        <f>transport!J54</f>
        <v>0</v>
      </c>
      <c r="L19" s="712">
        <f>transport!K54</f>
        <v>0</v>
      </c>
      <c r="M19" s="712">
        <f>transport!L54</f>
        <v>0</v>
      </c>
      <c r="N19" s="712">
        <f>transport!M54</f>
        <v>31.917654802468952</v>
      </c>
      <c r="O19" s="712">
        <f>transport!N54</f>
        <v>0</v>
      </c>
      <c r="P19" s="712">
        <f>transport!O54</f>
        <v>0</v>
      </c>
      <c r="Q19" s="713">
        <f>transport!P54</f>
        <v>0</v>
      </c>
      <c r="R19" s="715">
        <f>SUM(C19:Q19)</f>
        <v>606.18162140289269</v>
      </c>
      <c r="S19" s="67"/>
    </row>
    <row r="20" spans="1:19" s="474" customFormat="1">
      <c r="A20" s="834" t="s">
        <v>306</v>
      </c>
      <c r="B20" s="839"/>
      <c r="C20" s="712">
        <f>transport!B14</f>
        <v>30.809420095833332</v>
      </c>
      <c r="D20" s="712">
        <f>transport!C14</f>
        <v>0</v>
      </c>
      <c r="E20" s="712">
        <f>transport!D14</f>
        <v>120.83445334114001</v>
      </c>
      <c r="F20" s="712">
        <f>transport!E14</f>
        <v>93.387012526812498</v>
      </c>
      <c r="G20" s="712">
        <f>transport!F14</f>
        <v>0</v>
      </c>
      <c r="H20" s="712">
        <f>transport!G14</f>
        <v>43331.778926514868</v>
      </c>
      <c r="I20" s="712">
        <f>transport!H14</f>
        <v>9012.1960316446639</v>
      </c>
      <c r="J20" s="712">
        <f>transport!I14</f>
        <v>0</v>
      </c>
      <c r="K20" s="712">
        <f>transport!J14</f>
        <v>0</v>
      </c>
      <c r="L20" s="712">
        <f>transport!K14</f>
        <v>0</v>
      </c>
      <c r="M20" s="712">
        <f>transport!L14</f>
        <v>0</v>
      </c>
      <c r="N20" s="712">
        <f>transport!M14</f>
        <v>3090.7970959100267</v>
      </c>
      <c r="O20" s="712">
        <f>transport!N14</f>
        <v>0</v>
      </c>
      <c r="P20" s="712">
        <f>transport!O14</f>
        <v>0</v>
      </c>
      <c r="Q20" s="713">
        <f>transport!P14</f>
        <v>0</v>
      </c>
      <c r="R20" s="715">
        <f>SUM(C20:Q20)</f>
        <v>55679.802940033347</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30.809420095833332</v>
      </c>
      <c r="D22" s="837">
        <f t="shared" ref="D22:R22" si="1">SUM(D18:D21)</f>
        <v>0</v>
      </c>
      <c r="E22" s="837">
        <f t="shared" si="1"/>
        <v>120.83445334114001</v>
      </c>
      <c r="F22" s="837">
        <f t="shared" si="1"/>
        <v>93.387012526812498</v>
      </c>
      <c r="G22" s="837">
        <f t="shared" si="1"/>
        <v>0</v>
      </c>
      <c r="H22" s="837">
        <f t="shared" si="1"/>
        <v>43906.042893115293</v>
      </c>
      <c r="I22" s="837">
        <f t="shared" si="1"/>
        <v>9012.1960316446639</v>
      </c>
      <c r="J22" s="837">
        <f t="shared" si="1"/>
        <v>0</v>
      </c>
      <c r="K22" s="837">
        <f t="shared" si="1"/>
        <v>0</v>
      </c>
      <c r="L22" s="837">
        <f t="shared" si="1"/>
        <v>0</v>
      </c>
      <c r="M22" s="837">
        <f t="shared" si="1"/>
        <v>0</v>
      </c>
      <c r="N22" s="837">
        <f t="shared" si="1"/>
        <v>3122.7147507124955</v>
      </c>
      <c r="O22" s="837">
        <f t="shared" si="1"/>
        <v>0</v>
      </c>
      <c r="P22" s="837">
        <f t="shared" si="1"/>
        <v>0</v>
      </c>
      <c r="Q22" s="837">
        <f t="shared" si="1"/>
        <v>0</v>
      </c>
      <c r="R22" s="837">
        <f t="shared" si="1"/>
        <v>56285.984561436242</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8455.9165070000017</v>
      </c>
      <c r="D24" s="712">
        <f>+landbouw!C8</f>
        <v>70579.28571428571</v>
      </c>
      <c r="E24" s="712">
        <f>+landbouw!D8</f>
        <v>3041.4519977139998</v>
      </c>
      <c r="F24" s="712">
        <f>+landbouw!E8</f>
        <v>263.90636576620722</v>
      </c>
      <c r="G24" s="712">
        <f>+landbouw!F8</f>
        <v>29884.145656899662</v>
      </c>
      <c r="H24" s="712">
        <f>+landbouw!G8</f>
        <v>0</v>
      </c>
      <c r="I24" s="712">
        <f>+landbouw!H8</f>
        <v>0</v>
      </c>
      <c r="J24" s="712">
        <f>+landbouw!I8</f>
        <v>0</v>
      </c>
      <c r="K24" s="712">
        <f>+landbouw!J8</f>
        <v>2329.663638945548</v>
      </c>
      <c r="L24" s="712">
        <f>+landbouw!K8</f>
        <v>0</v>
      </c>
      <c r="M24" s="712">
        <f>+landbouw!L8</f>
        <v>0</v>
      </c>
      <c r="N24" s="712">
        <f>+landbouw!M8</f>
        <v>0</v>
      </c>
      <c r="O24" s="712">
        <f>+landbouw!N8</f>
        <v>0</v>
      </c>
      <c r="P24" s="712">
        <f>+landbouw!O8</f>
        <v>0</v>
      </c>
      <c r="Q24" s="713">
        <f>+landbouw!P8</f>
        <v>0</v>
      </c>
      <c r="R24" s="715">
        <f>SUM(C24:Q24)</f>
        <v>114554.36988061114</v>
      </c>
      <c r="S24" s="67"/>
    </row>
    <row r="25" spans="1:19" s="474" customFormat="1" ht="15" thickBot="1">
      <c r="A25" s="856" t="s">
        <v>734</v>
      </c>
      <c r="B25" s="982"/>
      <c r="C25" s="983">
        <f>IF(Onbekend_ele_kWh="---",0,Onbekend_ele_kWh)/1000+IF(REST_rest_ele_kWh="---",0,REST_rest_ele_kWh)/1000</f>
        <v>604.14425700000004</v>
      </c>
      <c r="D25" s="983"/>
      <c r="E25" s="983">
        <f>IF(onbekend_gas_kWh="---",0,onbekend_gas_kWh)/1000+IF(REST_rest_gas_kWh="---",0,REST_rest_gas_kWh)/1000</f>
        <v>533.575782</v>
      </c>
      <c r="F25" s="983"/>
      <c r="G25" s="983"/>
      <c r="H25" s="983"/>
      <c r="I25" s="983"/>
      <c r="J25" s="983"/>
      <c r="K25" s="983"/>
      <c r="L25" s="983"/>
      <c r="M25" s="983"/>
      <c r="N25" s="983"/>
      <c r="O25" s="983"/>
      <c r="P25" s="983"/>
      <c r="Q25" s="984"/>
      <c r="R25" s="715">
        <f>SUM(C25:Q25)</f>
        <v>1137.720039</v>
      </c>
      <c r="S25" s="67"/>
    </row>
    <row r="26" spans="1:19" s="474" customFormat="1" ht="15.75" thickBot="1">
      <c r="A26" s="720" t="s">
        <v>735</v>
      </c>
      <c r="B26" s="842"/>
      <c r="C26" s="837">
        <f>SUM(C24:C25)</f>
        <v>9060.0607640000017</v>
      </c>
      <c r="D26" s="837">
        <f t="shared" ref="D26:R26" si="2">SUM(D24:D25)</f>
        <v>70579.28571428571</v>
      </c>
      <c r="E26" s="837">
        <f t="shared" si="2"/>
        <v>3575.0277797139997</v>
      </c>
      <c r="F26" s="837">
        <f t="shared" si="2"/>
        <v>263.90636576620722</v>
      </c>
      <c r="G26" s="837">
        <f t="shared" si="2"/>
        <v>29884.145656899662</v>
      </c>
      <c r="H26" s="837">
        <f t="shared" si="2"/>
        <v>0</v>
      </c>
      <c r="I26" s="837">
        <f t="shared" si="2"/>
        <v>0</v>
      </c>
      <c r="J26" s="837">
        <f t="shared" si="2"/>
        <v>0</v>
      </c>
      <c r="K26" s="837">
        <f t="shared" si="2"/>
        <v>2329.663638945548</v>
      </c>
      <c r="L26" s="837">
        <f t="shared" si="2"/>
        <v>0</v>
      </c>
      <c r="M26" s="837">
        <f t="shared" si="2"/>
        <v>0</v>
      </c>
      <c r="N26" s="837">
        <f t="shared" si="2"/>
        <v>0</v>
      </c>
      <c r="O26" s="837">
        <f t="shared" si="2"/>
        <v>0</v>
      </c>
      <c r="P26" s="837">
        <f t="shared" si="2"/>
        <v>0</v>
      </c>
      <c r="Q26" s="837">
        <f t="shared" si="2"/>
        <v>0</v>
      </c>
      <c r="R26" s="837">
        <f t="shared" si="2"/>
        <v>115692.08991961114</v>
      </c>
      <c r="S26" s="67"/>
    </row>
    <row r="27" spans="1:19" s="474" customFormat="1" ht="17.25" thickTop="1" thickBot="1">
      <c r="A27" s="721" t="s">
        <v>115</v>
      </c>
      <c r="B27" s="829"/>
      <c r="C27" s="722">
        <f ca="1">C22+C16+C26</f>
        <v>42793.634375911875</v>
      </c>
      <c r="D27" s="722">
        <f t="shared" ref="D27:R27" ca="1" si="3">D22+D16+D26</f>
        <v>70579.28571428571</v>
      </c>
      <c r="E27" s="722">
        <f t="shared" ca="1" si="3"/>
        <v>41153.884533875134</v>
      </c>
      <c r="F27" s="722">
        <f t="shared" si="3"/>
        <v>6913.8640170469116</v>
      </c>
      <c r="G27" s="722">
        <f t="shared" ca="1" si="3"/>
        <v>41874.651070530716</v>
      </c>
      <c r="H27" s="722">
        <f t="shared" si="3"/>
        <v>43906.042893115293</v>
      </c>
      <c r="I27" s="722">
        <f t="shared" si="3"/>
        <v>9012.1960316446639</v>
      </c>
      <c r="J27" s="722">
        <f t="shared" si="3"/>
        <v>0</v>
      </c>
      <c r="K27" s="722">
        <f t="shared" si="3"/>
        <v>3596.4670800361773</v>
      </c>
      <c r="L27" s="722">
        <f t="shared" si="3"/>
        <v>0</v>
      </c>
      <c r="M27" s="722">
        <f t="shared" ca="1" si="3"/>
        <v>0</v>
      </c>
      <c r="N27" s="722">
        <f t="shared" si="3"/>
        <v>3122.7147507124955</v>
      </c>
      <c r="O27" s="722">
        <f t="shared" ca="1" si="3"/>
        <v>10371.750792283283</v>
      </c>
      <c r="P27" s="722">
        <f t="shared" si="3"/>
        <v>150.78082467341443</v>
      </c>
      <c r="Q27" s="722">
        <f t="shared" si="3"/>
        <v>694.97999784335138</v>
      </c>
      <c r="R27" s="722">
        <f t="shared" ca="1" si="3"/>
        <v>274170.25208195904</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17.510809572430883</v>
      </c>
      <c r="D40" s="712">
        <f ca="1">tertiair!C20</f>
        <v>0</v>
      </c>
      <c r="E40" s="712">
        <f ca="1">tertiair!D20</f>
        <v>2623.0465237323165</v>
      </c>
      <c r="F40" s="712">
        <f>tertiair!E20</f>
        <v>45.20938287312044</v>
      </c>
      <c r="G40" s="712">
        <f ca="1">tertiair!F20</f>
        <v>373.92987351197092</v>
      </c>
      <c r="H40" s="712">
        <f>tertiair!G20</f>
        <v>0</v>
      </c>
      <c r="I40" s="712">
        <f>tertiair!H20</f>
        <v>0</v>
      </c>
      <c r="J40" s="712">
        <f>tertiair!I20</f>
        <v>0</v>
      </c>
      <c r="K40" s="712">
        <f>tertiair!J20</f>
        <v>1.0201786694149263E-2</v>
      </c>
      <c r="L40" s="712">
        <f>tertiair!K20</f>
        <v>0</v>
      </c>
      <c r="M40" s="712">
        <f ca="1">tertiair!L20</f>
        <v>0</v>
      </c>
      <c r="N40" s="712">
        <f>tertiair!M20</f>
        <v>0</v>
      </c>
      <c r="O40" s="712">
        <f ca="1">tertiair!N20</f>
        <v>0</v>
      </c>
      <c r="P40" s="712">
        <f>tertiair!O20</f>
        <v>0</v>
      </c>
      <c r="Q40" s="795">
        <f>tertiair!P20</f>
        <v>0</v>
      </c>
      <c r="R40" s="875">
        <f t="shared" ca="1" si="4"/>
        <v>3059.706791476533</v>
      </c>
    </row>
    <row r="41" spans="1:18">
      <c r="A41" s="847" t="s">
        <v>224</v>
      </c>
      <c r="B41" s="854"/>
      <c r="C41" s="712">
        <f ca="1">huishoudens!B12</f>
        <v>16.231304160875069</v>
      </c>
      <c r="D41" s="712">
        <f ca="1">huishoudens!C12</f>
        <v>0</v>
      </c>
      <c r="E41" s="712">
        <f>huishoudens!D12</f>
        <v>4359.2079591187612</v>
      </c>
      <c r="F41" s="712">
        <f>huishoudens!E12</f>
        <v>1308.4233315824786</v>
      </c>
      <c r="G41" s="712">
        <f>huishoudens!F12</f>
        <v>2269.44036922652</v>
      </c>
      <c r="H41" s="712">
        <f>huishoudens!G12</f>
        <v>0</v>
      </c>
      <c r="I41" s="712">
        <f>huishoudens!H12</f>
        <v>0</v>
      </c>
      <c r="J41" s="712">
        <f>huishoudens!I12</f>
        <v>0</v>
      </c>
      <c r="K41" s="712">
        <f>huishoudens!J12</f>
        <v>428.11168515606596</v>
      </c>
      <c r="L41" s="712">
        <f>huishoudens!K12</f>
        <v>0</v>
      </c>
      <c r="M41" s="712">
        <f>huishoudens!L12</f>
        <v>0</v>
      </c>
      <c r="N41" s="712">
        <f>huishoudens!M12</f>
        <v>0</v>
      </c>
      <c r="O41" s="712">
        <f>huishoudens!N12</f>
        <v>0</v>
      </c>
      <c r="P41" s="712">
        <f>huishoudens!O12</f>
        <v>0</v>
      </c>
      <c r="Q41" s="795">
        <f>huishoudens!P12</f>
        <v>0</v>
      </c>
      <c r="R41" s="875">
        <f t="shared" ca="1" si="4"/>
        <v>8381.4146492446998</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11.91143745653774</v>
      </c>
      <c r="D43" s="712">
        <f ca="1">industrie!C22</f>
        <v>0</v>
      </c>
      <c r="E43" s="712">
        <f>industrie!D22</f>
        <v>584.26602191456413</v>
      </c>
      <c r="F43" s="712">
        <f>industrie!E22</f>
        <v>134.70882054153483</v>
      </c>
      <c r="G43" s="712">
        <f>industrie!F22</f>
        <v>558.09470270100121</v>
      </c>
      <c r="H43" s="712">
        <f>industrie!G22</f>
        <v>0</v>
      </c>
      <c r="I43" s="712">
        <f>industrie!H22</f>
        <v>0</v>
      </c>
      <c r="J43" s="712">
        <f>industrie!I22</f>
        <v>0</v>
      </c>
      <c r="K43" s="712">
        <f>industrie!J22</f>
        <v>20.326531203322663</v>
      </c>
      <c r="L43" s="712">
        <f>industrie!K22</f>
        <v>0</v>
      </c>
      <c r="M43" s="712">
        <f>industrie!L22</f>
        <v>0</v>
      </c>
      <c r="N43" s="712">
        <f>industrie!M22</f>
        <v>0</v>
      </c>
      <c r="O43" s="712">
        <f>industrie!N22</f>
        <v>0</v>
      </c>
      <c r="P43" s="712">
        <f>industrie!O22</f>
        <v>0</v>
      </c>
      <c r="Q43" s="795">
        <f>industrie!P22</f>
        <v>0</v>
      </c>
      <c r="R43" s="874">
        <f t="shared" ca="1" si="4"/>
        <v>1309.3075138169606</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45.653551189843697</v>
      </c>
      <c r="D46" s="748">
        <f t="shared" ref="D46:Q46" ca="1" si="5">SUM(D39:D45)</f>
        <v>0</v>
      </c>
      <c r="E46" s="748">
        <f t="shared" ca="1" si="5"/>
        <v>7566.5205047656418</v>
      </c>
      <c r="F46" s="748">
        <f t="shared" si="5"/>
        <v>1488.3415349971337</v>
      </c>
      <c r="G46" s="748">
        <f t="shared" ca="1" si="5"/>
        <v>3201.4649454394921</v>
      </c>
      <c r="H46" s="748">
        <f t="shared" si="5"/>
        <v>0</v>
      </c>
      <c r="I46" s="748">
        <f t="shared" si="5"/>
        <v>0</v>
      </c>
      <c r="J46" s="748">
        <f t="shared" si="5"/>
        <v>0</v>
      </c>
      <c r="K46" s="748">
        <f t="shared" si="5"/>
        <v>448.44841814608276</v>
      </c>
      <c r="L46" s="748">
        <f t="shared" si="5"/>
        <v>0</v>
      </c>
      <c r="M46" s="748">
        <f t="shared" ca="1" si="5"/>
        <v>0</v>
      </c>
      <c r="N46" s="748">
        <f t="shared" si="5"/>
        <v>0</v>
      </c>
      <c r="O46" s="748">
        <f t="shared" ca="1" si="5"/>
        <v>0</v>
      </c>
      <c r="P46" s="748">
        <f t="shared" si="5"/>
        <v>0</v>
      </c>
      <c r="Q46" s="748">
        <f t="shared" si="5"/>
        <v>0</v>
      </c>
      <c r="R46" s="748">
        <f ca="1">SUM(R39:R45)</f>
        <v>12750.428954538193</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153.32847908231315</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153.32847908231315</v>
      </c>
    </row>
    <row r="50" spans="1:18">
      <c r="A50" s="850" t="s">
        <v>306</v>
      </c>
      <c r="B50" s="860"/>
      <c r="C50" s="718">
        <f ca="1">transport!B18</f>
        <v>4.1734245579063738E-2</v>
      </c>
      <c r="D50" s="718">
        <f>transport!C18</f>
        <v>0</v>
      </c>
      <c r="E50" s="718">
        <f>transport!D18</f>
        <v>24.408559574910281</v>
      </c>
      <c r="F50" s="718">
        <f>transport!E18</f>
        <v>21.198851843586439</v>
      </c>
      <c r="G50" s="718">
        <f>transport!F18</f>
        <v>0</v>
      </c>
      <c r="H50" s="718">
        <f>transport!G18</f>
        <v>11569.584973379471</v>
      </c>
      <c r="I50" s="718">
        <f>transport!H18</f>
        <v>2244.0368118795213</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13859.270930923069</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4.1734245579063738E-2</v>
      </c>
      <c r="D52" s="748">
        <f t="shared" ref="D52:Q52" ca="1" si="6">SUM(D48:D51)</f>
        <v>0</v>
      </c>
      <c r="E52" s="748">
        <f t="shared" si="6"/>
        <v>24.408559574910281</v>
      </c>
      <c r="F52" s="748">
        <f t="shared" si="6"/>
        <v>21.198851843586439</v>
      </c>
      <c r="G52" s="748">
        <f t="shared" si="6"/>
        <v>0</v>
      </c>
      <c r="H52" s="748">
        <f t="shared" si="6"/>
        <v>11722.913452461784</v>
      </c>
      <c r="I52" s="748">
        <f t="shared" si="6"/>
        <v>2244.0368118795213</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14012.599410005381</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11.454331013095677</v>
      </c>
      <c r="D54" s="718">
        <f ca="1">+landbouw!C12</f>
        <v>106.94117647058827</v>
      </c>
      <c r="E54" s="718">
        <f>+landbouw!D12</f>
        <v>614.37330353822801</v>
      </c>
      <c r="F54" s="718">
        <f>+landbouw!E12</f>
        <v>59.906745028929038</v>
      </c>
      <c r="G54" s="718">
        <f>+landbouw!F12</f>
        <v>7979.0668903922106</v>
      </c>
      <c r="H54" s="718">
        <f>+landbouw!G12</f>
        <v>0</v>
      </c>
      <c r="I54" s="718">
        <f>+landbouw!H12</f>
        <v>0</v>
      </c>
      <c r="J54" s="718">
        <f>+landbouw!I12</f>
        <v>0</v>
      </c>
      <c r="K54" s="718">
        <f>+landbouw!J12</f>
        <v>824.7009281867239</v>
      </c>
      <c r="L54" s="718">
        <f>+landbouw!K12</f>
        <v>0</v>
      </c>
      <c r="M54" s="718">
        <f>+landbouw!L12</f>
        <v>0</v>
      </c>
      <c r="N54" s="718">
        <f>+landbouw!M12</f>
        <v>0</v>
      </c>
      <c r="O54" s="718">
        <f>+landbouw!N12</f>
        <v>0</v>
      </c>
      <c r="P54" s="718">
        <f>+landbouw!O12</f>
        <v>0</v>
      </c>
      <c r="Q54" s="719">
        <f>+landbouw!P12</f>
        <v>0</v>
      </c>
      <c r="R54" s="747">
        <f ca="1">SUM(C54:Q54)</f>
        <v>9596.4433746297746</v>
      </c>
    </row>
    <row r="55" spans="1:18" ht="15" thickBot="1">
      <c r="A55" s="850" t="s">
        <v>734</v>
      </c>
      <c r="B55" s="860"/>
      <c r="C55" s="718">
        <f ca="1">C25*'EF ele_warmte'!B12</f>
        <v>0.81836998906152325</v>
      </c>
      <c r="D55" s="718"/>
      <c r="E55" s="718">
        <f>E25*EF_CO2_aardgas</f>
        <v>107.78230796400001</v>
      </c>
      <c r="F55" s="718"/>
      <c r="G55" s="718"/>
      <c r="H55" s="718"/>
      <c r="I55" s="718"/>
      <c r="J55" s="718"/>
      <c r="K55" s="718"/>
      <c r="L55" s="718"/>
      <c r="M55" s="718"/>
      <c r="N55" s="718"/>
      <c r="O55" s="718"/>
      <c r="P55" s="718"/>
      <c r="Q55" s="719"/>
      <c r="R55" s="747">
        <f ca="1">SUM(C55:Q55)</f>
        <v>108.60067795306153</v>
      </c>
    </row>
    <row r="56" spans="1:18" ht="15.75" thickBot="1">
      <c r="A56" s="848" t="s">
        <v>735</v>
      </c>
      <c r="B56" s="861"/>
      <c r="C56" s="748">
        <f ca="1">SUM(C54:C55)</f>
        <v>12.2727010021572</v>
      </c>
      <c r="D56" s="748">
        <f t="shared" ref="D56:Q56" ca="1" si="7">SUM(D54:D55)</f>
        <v>106.94117647058827</v>
      </c>
      <c r="E56" s="748">
        <f t="shared" si="7"/>
        <v>722.155611502228</v>
      </c>
      <c r="F56" s="748">
        <f t="shared" si="7"/>
        <v>59.906745028929038</v>
      </c>
      <c r="G56" s="748">
        <f t="shared" si="7"/>
        <v>7979.0668903922106</v>
      </c>
      <c r="H56" s="748">
        <f t="shared" si="7"/>
        <v>0</v>
      </c>
      <c r="I56" s="748">
        <f t="shared" si="7"/>
        <v>0</v>
      </c>
      <c r="J56" s="748">
        <f t="shared" si="7"/>
        <v>0</v>
      </c>
      <c r="K56" s="748">
        <f t="shared" si="7"/>
        <v>824.7009281867239</v>
      </c>
      <c r="L56" s="748">
        <f t="shared" si="7"/>
        <v>0</v>
      </c>
      <c r="M56" s="748">
        <f t="shared" si="7"/>
        <v>0</v>
      </c>
      <c r="N56" s="748">
        <f t="shared" si="7"/>
        <v>0</v>
      </c>
      <c r="O56" s="748">
        <f t="shared" si="7"/>
        <v>0</v>
      </c>
      <c r="P56" s="748">
        <f t="shared" si="7"/>
        <v>0</v>
      </c>
      <c r="Q56" s="749">
        <f t="shared" si="7"/>
        <v>0</v>
      </c>
      <c r="R56" s="750">
        <f ca="1">SUM(R54:R55)</f>
        <v>9705.0440525828362</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57.96798643757996</v>
      </c>
      <c r="D61" s="756">
        <f t="shared" ref="D61:Q61" ca="1" si="8">D46+D52+D56</f>
        <v>106.94117647058827</v>
      </c>
      <c r="E61" s="756">
        <f t="shared" ca="1" si="8"/>
        <v>8313.0846758427797</v>
      </c>
      <c r="F61" s="756">
        <f t="shared" si="8"/>
        <v>1569.4471318696492</v>
      </c>
      <c r="G61" s="756">
        <f t="shared" ca="1" si="8"/>
        <v>11180.531835831702</v>
      </c>
      <c r="H61" s="756">
        <f t="shared" si="8"/>
        <v>11722.913452461784</v>
      </c>
      <c r="I61" s="756">
        <f t="shared" si="8"/>
        <v>2244.0368118795213</v>
      </c>
      <c r="J61" s="756">
        <f t="shared" si="8"/>
        <v>0</v>
      </c>
      <c r="K61" s="756">
        <f t="shared" si="8"/>
        <v>1273.1493463328065</v>
      </c>
      <c r="L61" s="756">
        <f t="shared" si="8"/>
        <v>0</v>
      </c>
      <c r="M61" s="756">
        <f t="shared" ca="1" si="8"/>
        <v>0</v>
      </c>
      <c r="N61" s="756">
        <f t="shared" si="8"/>
        <v>0</v>
      </c>
      <c r="O61" s="756">
        <f t="shared" ca="1" si="8"/>
        <v>0</v>
      </c>
      <c r="P61" s="756">
        <f t="shared" si="8"/>
        <v>0</v>
      </c>
      <c r="Q61" s="756">
        <f t="shared" si="8"/>
        <v>0</v>
      </c>
      <c r="R61" s="756">
        <f ca="1">R46+R52+R56</f>
        <v>36468.072417126408</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1.3545936745725335E-3</v>
      </c>
      <c r="D63" s="802">
        <f t="shared" ca="1" si="9"/>
        <v>1.5151921047132767E-3</v>
      </c>
      <c r="E63" s="1008">
        <f t="shared" ca="1" si="9"/>
        <v>0.20200000000000007</v>
      </c>
      <c r="F63" s="802">
        <f t="shared" si="9"/>
        <v>0.22700000000000004</v>
      </c>
      <c r="G63" s="802">
        <f t="shared" ca="1" si="9"/>
        <v>0.26700000000000002</v>
      </c>
      <c r="H63" s="802">
        <f t="shared" si="9"/>
        <v>0.26700000000000002</v>
      </c>
      <c r="I63" s="802">
        <f t="shared" si="9"/>
        <v>0.249</v>
      </c>
      <c r="J63" s="802">
        <f t="shared" si="9"/>
        <v>0</v>
      </c>
      <c r="K63" s="802">
        <f t="shared" si="9"/>
        <v>0.35399999999999993</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5857.4359892993989</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49090.5</v>
      </c>
      <c r="C76" s="769">
        <f>'lokale energieproductie'!B8*IFERROR(SUM(D76:H76)/SUM(D76:O76),0)</f>
        <v>315.00000000000011</v>
      </c>
      <c r="D76" s="991">
        <f>'lokale energieproductie'!C8</f>
        <v>370.58823529411779</v>
      </c>
      <c r="E76" s="992">
        <f>'lokale energieproductie'!D8</f>
        <v>0</v>
      </c>
      <c r="F76" s="992">
        <f>'lokale energieproductie'!E8</f>
        <v>0</v>
      </c>
      <c r="G76" s="992">
        <f>'lokale energieproductie'!F8</f>
        <v>0</v>
      </c>
      <c r="H76" s="992">
        <f>'lokale energieproductie'!G8</f>
        <v>0</v>
      </c>
      <c r="I76" s="992">
        <f>'lokale energieproductie'!I8</f>
        <v>0</v>
      </c>
      <c r="J76" s="992">
        <f>'lokale energieproductie'!J8</f>
        <v>57753.529411764706</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74.858823529411794</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54947.935989299396</v>
      </c>
      <c r="C78" s="774">
        <f>SUM(C72:C77)</f>
        <v>315.00000000000011</v>
      </c>
      <c r="D78" s="775">
        <f t="shared" ref="D78:H78" si="10">SUM(D76:D77)</f>
        <v>370.58823529411779</v>
      </c>
      <c r="E78" s="775">
        <f t="shared" si="10"/>
        <v>0</v>
      </c>
      <c r="F78" s="775">
        <f t="shared" si="10"/>
        <v>0</v>
      </c>
      <c r="G78" s="775">
        <f t="shared" si="10"/>
        <v>0</v>
      </c>
      <c r="H78" s="775">
        <f t="shared" si="10"/>
        <v>0</v>
      </c>
      <c r="I78" s="775">
        <f>SUM(I76:I77)</f>
        <v>0</v>
      </c>
      <c r="J78" s="775">
        <f>SUM(J76:J77)</f>
        <v>57753.529411764706</v>
      </c>
      <c r="K78" s="775">
        <f t="shared" ref="K78:L78" si="11">SUM(K76:K77)</f>
        <v>0</v>
      </c>
      <c r="L78" s="775">
        <f t="shared" si="11"/>
        <v>0</v>
      </c>
      <c r="M78" s="775">
        <f>SUM(M76:M77)</f>
        <v>0</v>
      </c>
      <c r="N78" s="775">
        <f>SUM(N76:N77)</f>
        <v>0</v>
      </c>
      <c r="O78" s="885">
        <f>SUM(O76:O77)</f>
        <v>0</v>
      </c>
      <c r="P78" s="776">
        <v>0</v>
      </c>
      <c r="Q78" s="776">
        <f>SUM(Q76:Q77)</f>
        <v>74.858823529411794</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70129.28571428571</v>
      </c>
      <c r="C87" s="787">
        <f>'lokale energieproductie'!B17*IFERROR(SUM(D87:H87)/SUM(D87:O87),0)</f>
        <v>450.00000000000011</v>
      </c>
      <c r="D87" s="798">
        <f>'lokale energieproductie'!C17</f>
        <v>529.41176470588255</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82505.042016806721</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106.94117647058827</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70129.28571428571</v>
      </c>
      <c r="C90" s="774">
        <f>SUM(C87:C89)</f>
        <v>450.00000000000011</v>
      </c>
      <c r="D90" s="774">
        <f t="shared" ref="D90:H90" si="12">SUM(D87:D89)</f>
        <v>529.41176470588255</v>
      </c>
      <c r="E90" s="774">
        <f t="shared" si="12"/>
        <v>0</v>
      </c>
      <c r="F90" s="774">
        <f t="shared" si="12"/>
        <v>0</v>
      </c>
      <c r="G90" s="774">
        <f t="shared" si="12"/>
        <v>0</v>
      </c>
      <c r="H90" s="774">
        <f t="shared" si="12"/>
        <v>0</v>
      </c>
      <c r="I90" s="774">
        <f>SUM(I87:I89)</f>
        <v>0</v>
      </c>
      <c r="J90" s="774">
        <f>SUM(J87:J89)</f>
        <v>82505.042016806721</v>
      </c>
      <c r="K90" s="774">
        <f t="shared" ref="K90:L90" si="13">SUM(K87:K89)</f>
        <v>0</v>
      </c>
      <c r="L90" s="774">
        <f t="shared" si="13"/>
        <v>0</v>
      </c>
      <c r="M90" s="774">
        <f>SUM(M87:M89)</f>
        <v>0</v>
      </c>
      <c r="N90" s="774">
        <f>SUM(N87:N89)</f>
        <v>0</v>
      </c>
      <c r="O90" s="774">
        <f>SUM(O87:O89)</f>
        <v>0</v>
      </c>
      <c r="P90" s="774">
        <v>0</v>
      </c>
      <c r="Q90" s="774">
        <f>SUM(Q87:Q89)</f>
        <v>106.94117647058827</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5857.4359892993989</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49405.5</v>
      </c>
      <c r="C8" s="574">
        <f>B101</f>
        <v>370.58823529411779</v>
      </c>
      <c r="D8" s="575"/>
      <c r="E8" s="575">
        <f>E101</f>
        <v>0</v>
      </c>
      <c r="F8" s="576"/>
      <c r="G8" s="577"/>
      <c r="H8" s="575">
        <f>I101</f>
        <v>0</v>
      </c>
      <c r="I8" s="575">
        <f>G101+F101</f>
        <v>0</v>
      </c>
      <c r="J8" s="575">
        <f>H101+D101+C101</f>
        <v>57753.529411764706</v>
      </c>
      <c r="K8" s="575"/>
      <c r="L8" s="575"/>
      <c r="M8" s="575"/>
      <c r="N8" s="578"/>
      <c r="O8" s="579">
        <f>C8*$C$12+D8*$D$12+E8*$E$12+F8*$F$12+G8*$G$12+H8*$H$12+I8*$I$12+J8*$J$12</f>
        <v>74.858823529411794</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55262.935989299396</v>
      </c>
      <c r="C10" s="589">
        <f t="shared" ref="C10:L10" si="0">SUM(C8:C9)</f>
        <v>370.58823529411779</v>
      </c>
      <c r="D10" s="589">
        <f t="shared" si="0"/>
        <v>0</v>
      </c>
      <c r="E10" s="589">
        <f t="shared" si="0"/>
        <v>0</v>
      </c>
      <c r="F10" s="589">
        <f t="shared" si="0"/>
        <v>0</v>
      </c>
      <c r="G10" s="589">
        <f t="shared" si="0"/>
        <v>0</v>
      </c>
      <c r="H10" s="589">
        <f t="shared" si="0"/>
        <v>0</v>
      </c>
      <c r="I10" s="589">
        <f t="shared" si="0"/>
        <v>0</v>
      </c>
      <c r="J10" s="589">
        <f t="shared" si="0"/>
        <v>57753.529411764706</v>
      </c>
      <c r="K10" s="589">
        <f t="shared" si="0"/>
        <v>0</v>
      </c>
      <c r="L10" s="589">
        <f t="shared" si="0"/>
        <v>0</v>
      </c>
      <c r="M10" s="1004"/>
      <c r="N10" s="1004"/>
      <c r="O10" s="590">
        <f>SUM(O4:O9)</f>
        <v>74.858823529411794</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70579.28571428571</v>
      </c>
      <c r="C17" s="605">
        <f>B102</f>
        <v>529.41176470588255</v>
      </c>
      <c r="D17" s="606"/>
      <c r="E17" s="606">
        <f>E102</f>
        <v>0</v>
      </c>
      <c r="F17" s="607"/>
      <c r="G17" s="608"/>
      <c r="H17" s="605">
        <f>I102</f>
        <v>0</v>
      </c>
      <c r="I17" s="606">
        <f>G102+F102</f>
        <v>0</v>
      </c>
      <c r="J17" s="606">
        <f>H102+D102+C102</f>
        <v>82505.042016806721</v>
      </c>
      <c r="K17" s="606"/>
      <c r="L17" s="606"/>
      <c r="M17" s="606"/>
      <c r="N17" s="1005"/>
      <c r="O17" s="609">
        <f>C17*$C$22+E17*$E$22+H17*$H$22+I17*$I$22+J17*$J$22+D17*$D$22+F17*$F$22+G17*$G$22+K17*$K$22+L17*$L$22</f>
        <v>106.94117647058827</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70579.28571428571</v>
      </c>
      <c r="C20" s="588">
        <f>SUM(C17:C19)</f>
        <v>529.41176470588255</v>
      </c>
      <c r="D20" s="588">
        <f t="shared" ref="D20:L20" si="1">SUM(D17:D19)</f>
        <v>0</v>
      </c>
      <c r="E20" s="588">
        <f t="shared" si="1"/>
        <v>0</v>
      </c>
      <c r="F20" s="588">
        <f t="shared" si="1"/>
        <v>0</v>
      </c>
      <c r="G20" s="588">
        <f t="shared" si="1"/>
        <v>0</v>
      </c>
      <c r="H20" s="588">
        <f t="shared" si="1"/>
        <v>0</v>
      </c>
      <c r="I20" s="588">
        <f t="shared" si="1"/>
        <v>0</v>
      </c>
      <c r="J20" s="588">
        <f t="shared" si="1"/>
        <v>82505.042016806721</v>
      </c>
      <c r="K20" s="588">
        <f t="shared" si="1"/>
        <v>0</v>
      </c>
      <c r="L20" s="588">
        <f t="shared" si="1"/>
        <v>0</v>
      </c>
      <c r="M20" s="588"/>
      <c r="N20" s="588"/>
      <c r="O20" s="614">
        <f>SUM(O17:O19)</f>
        <v>106.94117647058827</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37011</v>
      </c>
      <c r="C28" s="817">
        <v>8740</v>
      </c>
      <c r="D28" s="666" t="s">
        <v>886</v>
      </c>
      <c r="E28" s="665" t="s">
        <v>887</v>
      </c>
      <c r="F28" s="665" t="s">
        <v>888</v>
      </c>
      <c r="G28" s="665" t="s">
        <v>889</v>
      </c>
      <c r="H28" s="665" t="s">
        <v>890</v>
      </c>
      <c r="I28" s="665" t="s">
        <v>891</v>
      </c>
      <c r="J28" s="816">
        <v>40084</v>
      </c>
      <c r="K28" s="816">
        <v>40084</v>
      </c>
      <c r="L28" s="665" t="s">
        <v>892</v>
      </c>
      <c r="M28" s="665">
        <v>1975</v>
      </c>
      <c r="N28" s="665">
        <v>8887.5</v>
      </c>
      <c r="O28" s="665">
        <v>12696.428571428572</v>
      </c>
      <c r="P28" s="665">
        <v>0</v>
      </c>
      <c r="Q28" s="665">
        <v>25392.857142857145</v>
      </c>
      <c r="R28" s="665">
        <v>0</v>
      </c>
      <c r="S28" s="665">
        <v>0</v>
      </c>
      <c r="T28" s="665">
        <v>0</v>
      </c>
      <c r="U28" s="665">
        <v>0</v>
      </c>
      <c r="V28" s="665">
        <v>0</v>
      </c>
      <c r="W28" s="665">
        <v>0</v>
      </c>
      <c r="X28" s="665">
        <v>10</v>
      </c>
      <c r="Y28" s="665" t="s">
        <v>111</v>
      </c>
      <c r="Z28" s="667" t="s">
        <v>111</v>
      </c>
    </row>
    <row r="29" spans="1:26" s="619" customFormat="1" ht="25.5">
      <c r="A29" s="618"/>
      <c r="B29" s="817">
        <v>37011</v>
      </c>
      <c r="C29" s="817">
        <v>8740</v>
      </c>
      <c r="D29" s="666" t="s">
        <v>893</v>
      </c>
      <c r="E29" s="665" t="s">
        <v>894</v>
      </c>
      <c r="F29" s="665" t="s">
        <v>895</v>
      </c>
      <c r="G29" s="665" t="s">
        <v>889</v>
      </c>
      <c r="H29" s="665" t="s">
        <v>890</v>
      </c>
      <c r="I29" s="665" t="s">
        <v>896</v>
      </c>
      <c r="J29" s="816">
        <v>40983</v>
      </c>
      <c r="K29" s="816">
        <v>40983</v>
      </c>
      <c r="L29" s="665" t="s">
        <v>892</v>
      </c>
      <c r="M29" s="665">
        <v>8934</v>
      </c>
      <c r="N29" s="665">
        <v>40203</v>
      </c>
      <c r="O29" s="665">
        <v>57432.857142857145</v>
      </c>
      <c r="P29" s="665">
        <v>0</v>
      </c>
      <c r="Q29" s="665">
        <v>114865.71428571429</v>
      </c>
      <c r="R29" s="665">
        <v>0</v>
      </c>
      <c r="S29" s="665">
        <v>0</v>
      </c>
      <c r="T29" s="665">
        <v>0</v>
      </c>
      <c r="U29" s="665">
        <v>0</v>
      </c>
      <c r="V29" s="665">
        <v>0</v>
      </c>
      <c r="W29" s="665">
        <v>0</v>
      </c>
      <c r="X29" s="665">
        <v>10</v>
      </c>
      <c r="Y29" s="665" t="s">
        <v>111</v>
      </c>
      <c r="Z29" s="667" t="s">
        <v>111</v>
      </c>
    </row>
    <row r="30" spans="1:26" s="619" customFormat="1" ht="38.25">
      <c r="A30" s="618"/>
      <c r="B30" s="817">
        <v>37011</v>
      </c>
      <c r="C30" s="817">
        <v>8740</v>
      </c>
      <c r="D30" s="666" t="s">
        <v>897</v>
      </c>
      <c r="E30" s="665" t="s">
        <v>898</v>
      </c>
      <c r="F30" s="665" t="s">
        <v>899</v>
      </c>
      <c r="G30" s="665" t="s">
        <v>889</v>
      </c>
      <c r="H30" s="665" t="s">
        <v>890</v>
      </c>
      <c r="I30" s="665" t="s">
        <v>898</v>
      </c>
      <c r="J30" s="816">
        <v>40452</v>
      </c>
      <c r="K30" s="816">
        <v>41030</v>
      </c>
      <c r="L30" s="665" t="s">
        <v>892</v>
      </c>
      <c r="M30" s="665">
        <v>70</v>
      </c>
      <c r="N30" s="665">
        <v>315.00000000000006</v>
      </c>
      <c r="O30" s="665">
        <v>450.00000000000011</v>
      </c>
      <c r="P30" s="665">
        <v>900.00000000000023</v>
      </c>
      <c r="Q30" s="665">
        <v>0</v>
      </c>
      <c r="R30" s="665">
        <v>0</v>
      </c>
      <c r="S30" s="665">
        <v>0</v>
      </c>
      <c r="T30" s="665">
        <v>0</v>
      </c>
      <c r="U30" s="665">
        <v>0</v>
      </c>
      <c r="V30" s="665">
        <v>0</v>
      </c>
      <c r="W30" s="665">
        <v>0</v>
      </c>
      <c r="X30" s="665">
        <v>10</v>
      </c>
      <c r="Y30" s="665" t="s">
        <v>111</v>
      </c>
      <c r="Z30" s="667" t="s">
        <v>111</v>
      </c>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10979</v>
      </c>
      <c r="N58" s="623">
        <f>SUM(N28:N57)</f>
        <v>49405.5</v>
      </c>
      <c r="O58" s="623">
        <f t="shared" ref="O58:W58" si="2">SUM(O28:O57)</f>
        <v>70579.28571428571</v>
      </c>
      <c r="P58" s="623">
        <f t="shared" si="2"/>
        <v>900.00000000000023</v>
      </c>
      <c r="Q58" s="623">
        <f t="shared" si="2"/>
        <v>140258.57142857142</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10979</v>
      </c>
      <c r="N61" s="628">
        <f t="shared" si="4"/>
        <v>49405.5</v>
      </c>
      <c r="O61" s="628">
        <f t="shared" si="4"/>
        <v>70579.28571428571</v>
      </c>
      <c r="P61" s="628">
        <f t="shared" si="4"/>
        <v>900.00000000000023</v>
      </c>
      <c r="Q61" s="628">
        <f t="shared" si="4"/>
        <v>140258.57142857142</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0.41176470588235298</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370.58823529411779</v>
      </c>
      <c r="C101" s="657">
        <f t="shared" si="9"/>
        <v>57753.529411764706</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529.41176470588255</v>
      </c>
      <c r="C102" s="660">
        <f t="shared" si="10"/>
        <v>82505.042016806721</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11982.415439816037</v>
      </c>
      <c r="C4" s="478">
        <f>huishoudens!C8</f>
        <v>0</v>
      </c>
      <c r="D4" s="478">
        <f>huishoudens!D8</f>
        <v>21580.237421380003</v>
      </c>
      <c r="E4" s="478">
        <f>huishoudens!E8</f>
        <v>5763.979434284046</v>
      </c>
      <c r="F4" s="478">
        <f>huishoudens!F8</f>
        <v>8499.7766637697368</v>
      </c>
      <c r="G4" s="478">
        <f>huishoudens!G8</f>
        <v>0</v>
      </c>
      <c r="H4" s="478">
        <f>huishoudens!H8</f>
        <v>0</v>
      </c>
      <c r="I4" s="478">
        <f>huishoudens!I8</f>
        <v>0</v>
      </c>
      <c r="J4" s="478">
        <f>huishoudens!J8</f>
        <v>1209.3550428137457</v>
      </c>
      <c r="K4" s="478">
        <f>huishoudens!K8</f>
        <v>0</v>
      </c>
      <c r="L4" s="478">
        <f>huishoudens!L8</f>
        <v>0</v>
      </c>
      <c r="M4" s="478">
        <f>huishoudens!M8</f>
        <v>0</v>
      </c>
      <c r="N4" s="478">
        <f>huishoudens!N8</f>
        <v>8881.6466455989103</v>
      </c>
      <c r="O4" s="478">
        <f>huishoudens!O8</f>
        <v>150.78082467341443</v>
      </c>
      <c r="P4" s="479">
        <f>huishoudens!P8</f>
        <v>589.90172123036132</v>
      </c>
      <c r="Q4" s="480">
        <f>SUM(B4:P4)</f>
        <v>58658.093193566245</v>
      </c>
    </row>
    <row r="5" spans="1:17">
      <c r="A5" s="477" t="s">
        <v>155</v>
      </c>
      <c r="B5" s="478">
        <f ca="1">tertiair!B16</f>
        <v>12368.082124999999</v>
      </c>
      <c r="C5" s="478">
        <f ca="1">tertiair!C16</f>
        <v>0</v>
      </c>
      <c r="D5" s="478">
        <f ca="1">tertiair!D16</f>
        <v>12985.378830358</v>
      </c>
      <c r="E5" s="478">
        <f>tertiair!E16</f>
        <v>199.16027697409885</v>
      </c>
      <c r="F5" s="478">
        <f ca="1">tertiair!F16</f>
        <v>1400.4864176478311</v>
      </c>
      <c r="G5" s="478">
        <f>tertiair!G16</f>
        <v>0</v>
      </c>
      <c r="H5" s="478">
        <f>tertiair!H16</f>
        <v>0</v>
      </c>
      <c r="I5" s="478">
        <f>tertiair!I16</f>
        <v>0</v>
      </c>
      <c r="J5" s="478">
        <f>tertiair!J16</f>
        <v>2.8818606480647636E-2</v>
      </c>
      <c r="K5" s="478">
        <f>tertiair!K16</f>
        <v>0</v>
      </c>
      <c r="L5" s="478">
        <f ca="1">tertiair!L16</f>
        <v>0</v>
      </c>
      <c r="M5" s="478">
        <f>tertiair!M16</f>
        <v>0</v>
      </c>
      <c r="N5" s="478">
        <f ca="1">tertiair!N16</f>
        <v>1129.9269523894452</v>
      </c>
      <c r="O5" s="478">
        <f>tertiair!O16</f>
        <v>0</v>
      </c>
      <c r="P5" s="479">
        <f>tertiair!P16</f>
        <v>105.07827661299004</v>
      </c>
      <c r="Q5" s="477">
        <f t="shared" ref="Q5:Q14" ca="1" si="0">SUM(B5:P5)</f>
        <v>28188.141697588842</v>
      </c>
    </row>
    <row r="6" spans="1:17">
      <c r="A6" s="477" t="s">
        <v>193</v>
      </c>
      <c r="B6" s="478">
        <f>'openbare verlichting'!B8</f>
        <v>558.90099999999995</v>
      </c>
      <c r="C6" s="478"/>
      <c r="D6" s="478"/>
      <c r="E6" s="478"/>
      <c r="F6" s="478"/>
      <c r="G6" s="478"/>
      <c r="H6" s="478"/>
      <c r="I6" s="478"/>
      <c r="J6" s="478"/>
      <c r="K6" s="478"/>
      <c r="L6" s="478"/>
      <c r="M6" s="478"/>
      <c r="N6" s="478"/>
      <c r="O6" s="478"/>
      <c r="P6" s="479"/>
      <c r="Q6" s="477">
        <f t="shared" si="0"/>
        <v>558.90099999999995</v>
      </c>
    </row>
    <row r="7" spans="1:17">
      <c r="A7" s="477" t="s">
        <v>111</v>
      </c>
      <c r="B7" s="478">
        <f>landbouw!B8</f>
        <v>8455.9165070000017</v>
      </c>
      <c r="C7" s="478">
        <f>landbouw!C8</f>
        <v>70579.28571428571</v>
      </c>
      <c r="D7" s="478">
        <f>landbouw!D8</f>
        <v>3041.4519977139998</v>
      </c>
      <c r="E7" s="478">
        <f>landbouw!E8</f>
        <v>263.90636576620722</v>
      </c>
      <c r="F7" s="478">
        <f>landbouw!F8</f>
        <v>29884.145656899662</v>
      </c>
      <c r="G7" s="478">
        <f>landbouw!G8</f>
        <v>0</v>
      </c>
      <c r="H7" s="478">
        <f>landbouw!H8</f>
        <v>0</v>
      </c>
      <c r="I7" s="478">
        <f>landbouw!I8</f>
        <v>0</v>
      </c>
      <c r="J7" s="478">
        <f>landbouw!J8</f>
        <v>2329.663638945548</v>
      </c>
      <c r="K7" s="478">
        <f>landbouw!K8</f>
        <v>0</v>
      </c>
      <c r="L7" s="478">
        <f>landbouw!L8</f>
        <v>0</v>
      </c>
      <c r="M7" s="478">
        <f>landbouw!M8</f>
        <v>0</v>
      </c>
      <c r="N7" s="478">
        <f>landbouw!N8</f>
        <v>0</v>
      </c>
      <c r="O7" s="478">
        <f>landbouw!O8</f>
        <v>0</v>
      </c>
      <c r="P7" s="479">
        <f>landbouw!P8</f>
        <v>0</v>
      </c>
      <c r="Q7" s="477">
        <f t="shared" si="0"/>
        <v>114554.36988061114</v>
      </c>
    </row>
    <row r="8" spans="1:17">
      <c r="A8" s="477" t="s">
        <v>629</v>
      </c>
      <c r="B8" s="478">
        <f>industrie!B18</f>
        <v>8793.3656269999992</v>
      </c>
      <c r="C8" s="478">
        <f>industrie!C18</f>
        <v>0</v>
      </c>
      <c r="D8" s="478">
        <f>industrie!D18</f>
        <v>2892.4060490820002</v>
      </c>
      <c r="E8" s="478">
        <f>industrie!E18</f>
        <v>593.43092749574816</v>
      </c>
      <c r="F8" s="478">
        <f>industrie!F18</f>
        <v>2090.2423322134878</v>
      </c>
      <c r="G8" s="478">
        <f>industrie!G18</f>
        <v>0</v>
      </c>
      <c r="H8" s="478">
        <f>industrie!H18</f>
        <v>0</v>
      </c>
      <c r="I8" s="478">
        <f>industrie!I18</f>
        <v>0</v>
      </c>
      <c r="J8" s="478">
        <f>industrie!J18</f>
        <v>57.419579670403003</v>
      </c>
      <c r="K8" s="478">
        <f>industrie!K18</f>
        <v>0</v>
      </c>
      <c r="L8" s="478">
        <f>industrie!L18</f>
        <v>0</v>
      </c>
      <c r="M8" s="478">
        <f>industrie!M18</f>
        <v>0</v>
      </c>
      <c r="N8" s="478">
        <f>industrie!N18</f>
        <v>360.17719429492649</v>
      </c>
      <c r="O8" s="478">
        <f>industrie!O18</f>
        <v>0</v>
      </c>
      <c r="P8" s="479">
        <f>industrie!P18</f>
        <v>0</v>
      </c>
      <c r="Q8" s="477">
        <f t="shared" si="0"/>
        <v>14787.041709756566</v>
      </c>
    </row>
    <row r="9" spans="1:17" s="483" customFormat="1">
      <c r="A9" s="481" t="s">
        <v>555</v>
      </c>
      <c r="B9" s="482">
        <f>transport!B14</f>
        <v>30.809420095833332</v>
      </c>
      <c r="C9" s="482">
        <f>transport!C14</f>
        <v>0</v>
      </c>
      <c r="D9" s="482">
        <f>transport!D14</f>
        <v>120.83445334114001</v>
      </c>
      <c r="E9" s="482">
        <f>transport!E14</f>
        <v>93.387012526812498</v>
      </c>
      <c r="F9" s="482">
        <f>transport!F14</f>
        <v>0</v>
      </c>
      <c r="G9" s="482">
        <f>transport!G14</f>
        <v>43331.778926514868</v>
      </c>
      <c r="H9" s="482">
        <f>transport!H14</f>
        <v>9012.1960316446639</v>
      </c>
      <c r="I9" s="482">
        <f>transport!I14</f>
        <v>0</v>
      </c>
      <c r="J9" s="482">
        <f>transport!J14</f>
        <v>0</v>
      </c>
      <c r="K9" s="482">
        <f>transport!K14</f>
        <v>0</v>
      </c>
      <c r="L9" s="482">
        <f>transport!L14</f>
        <v>0</v>
      </c>
      <c r="M9" s="482">
        <f>transport!M14</f>
        <v>3090.7970959100267</v>
      </c>
      <c r="N9" s="482">
        <f>transport!N14</f>
        <v>0</v>
      </c>
      <c r="O9" s="482">
        <f>transport!O14</f>
        <v>0</v>
      </c>
      <c r="P9" s="482">
        <f>transport!P14</f>
        <v>0</v>
      </c>
      <c r="Q9" s="481">
        <f>SUM(B9:P9)</f>
        <v>55679.802940033347</v>
      </c>
    </row>
    <row r="10" spans="1:17">
      <c r="A10" s="477" t="s">
        <v>545</v>
      </c>
      <c r="B10" s="478">
        <f>transport!B54</f>
        <v>0</v>
      </c>
      <c r="C10" s="478">
        <f>transport!C54</f>
        <v>0</v>
      </c>
      <c r="D10" s="478">
        <f>transport!D54</f>
        <v>0</v>
      </c>
      <c r="E10" s="478">
        <f>transport!E54</f>
        <v>0</v>
      </c>
      <c r="F10" s="478">
        <f>transport!F54</f>
        <v>0</v>
      </c>
      <c r="G10" s="478">
        <f>transport!G54</f>
        <v>574.26396660042371</v>
      </c>
      <c r="H10" s="478">
        <f>transport!H54</f>
        <v>0</v>
      </c>
      <c r="I10" s="478">
        <f>transport!I54</f>
        <v>0</v>
      </c>
      <c r="J10" s="478">
        <f>transport!J54</f>
        <v>0</v>
      </c>
      <c r="K10" s="478">
        <f>transport!K54</f>
        <v>0</v>
      </c>
      <c r="L10" s="478">
        <f>transport!L54</f>
        <v>0</v>
      </c>
      <c r="M10" s="478">
        <f>transport!M54</f>
        <v>31.917654802468952</v>
      </c>
      <c r="N10" s="478">
        <f>transport!N54</f>
        <v>0</v>
      </c>
      <c r="O10" s="478">
        <f>transport!O54</f>
        <v>0</v>
      </c>
      <c r="P10" s="479">
        <f>transport!P54</f>
        <v>0</v>
      </c>
      <c r="Q10" s="477">
        <f t="shared" si="0"/>
        <v>606.18162140289269</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604.14425700000004</v>
      </c>
      <c r="C14" s="485"/>
      <c r="D14" s="485">
        <f>'SEAP template'!E25</f>
        <v>533.575782</v>
      </c>
      <c r="E14" s="485"/>
      <c r="F14" s="485"/>
      <c r="G14" s="485"/>
      <c r="H14" s="485"/>
      <c r="I14" s="485"/>
      <c r="J14" s="485"/>
      <c r="K14" s="485"/>
      <c r="L14" s="485"/>
      <c r="M14" s="485"/>
      <c r="N14" s="485"/>
      <c r="O14" s="485"/>
      <c r="P14" s="486"/>
      <c r="Q14" s="477">
        <f t="shared" si="0"/>
        <v>1137.720039</v>
      </c>
    </row>
    <row r="15" spans="1:17" s="489" customFormat="1">
      <c r="A15" s="487" t="s">
        <v>549</v>
      </c>
      <c r="B15" s="488">
        <f ca="1">SUM(B4:B14)</f>
        <v>42793.634375911875</v>
      </c>
      <c r="C15" s="488">
        <f t="shared" ref="C15:Q15" ca="1" si="1">SUM(C4:C14)</f>
        <v>70579.28571428571</v>
      </c>
      <c r="D15" s="488">
        <f t="shared" ca="1" si="1"/>
        <v>41153.884533875134</v>
      </c>
      <c r="E15" s="488">
        <f t="shared" si="1"/>
        <v>6913.8640170469125</v>
      </c>
      <c r="F15" s="488">
        <f t="shared" ca="1" si="1"/>
        <v>41874.651070530716</v>
      </c>
      <c r="G15" s="488">
        <f t="shared" si="1"/>
        <v>43906.042893115293</v>
      </c>
      <c r="H15" s="488">
        <f t="shared" si="1"/>
        <v>9012.1960316446639</v>
      </c>
      <c r="I15" s="488">
        <f t="shared" si="1"/>
        <v>0</v>
      </c>
      <c r="J15" s="488">
        <f t="shared" si="1"/>
        <v>3596.4670800361773</v>
      </c>
      <c r="K15" s="488">
        <f t="shared" si="1"/>
        <v>0</v>
      </c>
      <c r="L15" s="488">
        <f t="shared" ca="1" si="1"/>
        <v>0</v>
      </c>
      <c r="M15" s="488">
        <f t="shared" si="1"/>
        <v>3122.7147507124955</v>
      </c>
      <c r="N15" s="488">
        <f t="shared" ca="1" si="1"/>
        <v>10371.750792283283</v>
      </c>
      <c r="O15" s="488">
        <f t="shared" si="1"/>
        <v>150.78082467341443</v>
      </c>
      <c r="P15" s="488">
        <f t="shared" si="1"/>
        <v>694.97999784335138</v>
      </c>
      <c r="Q15" s="488">
        <f t="shared" ca="1" si="1"/>
        <v>274170.25208195904</v>
      </c>
    </row>
    <row r="17" spans="1:17">
      <c r="A17" s="490" t="s">
        <v>550</v>
      </c>
      <c r="B17" s="807">
        <f ca="1">huishoudens!B10</f>
        <v>1.3545936745725338E-3</v>
      </c>
      <c r="C17" s="807">
        <f ca="1">huishoudens!C10</f>
        <v>1.5151921047132767E-3</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16.231304160875069</v>
      </c>
      <c r="C22" s="478">
        <f t="shared" ref="C22:C32" ca="1" si="3">C4*$C$17</f>
        <v>0</v>
      </c>
      <c r="D22" s="478">
        <f t="shared" ref="D22:D32" si="4">D4*$D$17</f>
        <v>4359.2079591187612</v>
      </c>
      <c r="E22" s="478">
        <f t="shared" ref="E22:E32" si="5">E4*$E$17</f>
        <v>1308.4233315824786</v>
      </c>
      <c r="F22" s="478">
        <f t="shared" ref="F22:F32" si="6">F4*$F$17</f>
        <v>2269.44036922652</v>
      </c>
      <c r="G22" s="478">
        <f t="shared" ref="G22:G32" si="7">G4*$G$17</f>
        <v>0</v>
      </c>
      <c r="H22" s="478">
        <f t="shared" ref="H22:H32" si="8">H4*$H$17</f>
        <v>0</v>
      </c>
      <c r="I22" s="478">
        <f t="shared" ref="I22:I32" si="9">I4*$I$17</f>
        <v>0</v>
      </c>
      <c r="J22" s="478">
        <f t="shared" ref="J22:J32" si="10">J4*$J$17</f>
        <v>428.11168515606596</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8381.4146492446998</v>
      </c>
    </row>
    <row r="23" spans="1:17">
      <c r="A23" s="477" t="s">
        <v>155</v>
      </c>
      <c r="B23" s="478">
        <f t="shared" ca="1" si="2"/>
        <v>16.753725813118621</v>
      </c>
      <c r="C23" s="478">
        <f t="shared" ca="1" si="3"/>
        <v>0</v>
      </c>
      <c r="D23" s="478">
        <f t="shared" ca="1" si="4"/>
        <v>2623.0465237323165</v>
      </c>
      <c r="E23" s="478">
        <f t="shared" si="5"/>
        <v>45.20938287312044</v>
      </c>
      <c r="F23" s="478">
        <f t="shared" ca="1" si="6"/>
        <v>373.92987351197092</v>
      </c>
      <c r="G23" s="478">
        <f t="shared" si="7"/>
        <v>0</v>
      </c>
      <c r="H23" s="478">
        <f t="shared" si="8"/>
        <v>0</v>
      </c>
      <c r="I23" s="478">
        <f t="shared" si="9"/>
        <v>0</v>
      </c>
      <c r="J23" s="478">
        <f t="shared" si="10"/>
        <v>1.0201786694149263E-2</v>
      </c>
      <c r="K23" s="478">
        <f t="shared" si="11"/>
        <v>0</v>
      </c>
      <c r="L23" s="478">
        <f t="shared" ca="1" si="12"/>
        <v>0</v>
      </c>
      <c r="M23" s="478">
        <f t="shared" si="13"/>
        <v>0</v>
      </c>
      <c r="N23" s="478">
        <f t="shared" ca="1" si="14"/>
        <v>0</v>
      </c>
      <c r="O23" s="478">
        <f t="shared" si="15"/>
        <v>0</v>
      </c>
      <c r="P23" s="479">
        <f t="shared" si="16"/>
        <v>0</v>
      </c>
      <c r="Q23" s="477">
        <f t="shared" ref="Q23:Q31" ca="1" si="17">SUM(B23:P23)</f>
        <v>3058.9497077172209</v>
      </c>
    </row>
    <row r="24" spans="1:17">
      <c r="A24" s="477" t="s">
        <v>193</v>
      </c>
      <c r="B24" s="478">
        <f t="shared" ca="1" si="2"/>
        <v>0.75708375931226357</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0.75708375931226357</v>
      </c>
    </row>
    <row r="25" spans="1:17">
      <c r="A25" s="477" t="s">
        <v>111</v>
      </c>
      <c r="B25" s="478">
        <f t="shared" ca="1" si="2"/>
        <v>11.454331013095677</v>
      </c>
      <c r="C25" s="478">
        <f t="shared" ca="1" si="3"/>
        <v>106.94117647058827</v>
      </c>
      <c r="D25" s="478">
        <f t="shared" si="4"/>
        <v>614.37330353822801</v>
      </c>
      <c r="E25" s="478">
        <f t="shared" si="5"/>
        <v>59.906745028929038</v>
      </c>
      <c r="F25" s="478">
        <f t="shared" si="6"/>
        <v>7979.0668903922106</v>
      </c>
      <c r="G25" s="478">
        <f t="shared" si="7"/>
        <v>0</v>
      </c>
      <c r="H25" s="478">
        <f t="shared" si="8"/>
        <v>0</v>
      </c>
      <c r="I25" s="478">
        <f t="shared" si="9"/>
        <v>0</v>
      </c>
      <c r="J25" s="478">
        <f t="shared" si="10"/>
        <v>824.7009281867239</v>
      </c>
      <c r="K25" s="478">
        <f t="shared" si="11"/>
        <v>0</v>
      </c>
      <c r="L25" s="478">
        <f t="shared" si="12"/>
        <v>0</v>
      </c>
      <c r="M25" s="478">
        <f t="shared" si="13"/>
        <v>0</v>
      </c>
      <c r="N25" s="478">
        <f t="shared" si="14"/>
        <v>0</v>
      </c>
      <c r="O25" s="478">
        <f t="shared" si="15"/>
        <v>0</v>
      </c>
      <c r="P25" s="479">
        <f t="shared" si="16"/>
        <v>0</v>
      </c>
      <c r="Q25" s="477">
        <f t="shared" ca="1" si="17"/>
        <v>9596.4433746297746</v>
      </c>
    </row>
    <row r="26" spans="1:17">
      <c r="A26" s="477" t="s">
        <v>629</v>
      </c>
      <c r="B26" s="478">
        <f t="shared" ca="1" si="2"/>
        <v>11.91143745653774</v>
      </c>
      <c r="C26" s="478">
        <f t="shared" ca="1" si="3"/>
        <v>0</v>
      </c>
      <c r="D26" s="478">
        <f t="shared" si="4"/>
        <v>584.26602191456413</v>
      </c>
      <c r="E26" s="478">
        <f t="shared" si="5"/>
        <v>134.70882054153483</v>
      </c>
      <c r="F26" s="478">
        <f t="shared" si="6"/>
        <v>558.09470270100121</v>
      </c>
      <c r="G26" s="478">
        <f t="shared" si="7"/>
        <v>0</v>
      </c>
      <c r="H26" s="478">
        <f t="shared" si="8"/>
        <v>0</v>
      </c>
      <c r="I26" s="478">
        <f t="shared" si="9"/>
        <v>0</v>
      </c>
      <c r="J26" s="478">
        <f t="shared" si="10"/>
        <v>20.326531203322663</v>
      </c>
      <c r="K26" s="478">
        <f t="shared" si="11"/>
        <v>0</v>
      </c>
      <c r="L26" s="478">
        <f t="shared" si="12"/>
        <v>0</v>
      </c>
      <c r="M26" s="478">
        <f t="shared" si="13"/>
        <v>0</v>
      </c>
      <c r="N26" s="478">
        <f t="shared" si="14"/>
        <v>0</v>
      </c>
      <c r="O26" s="478">
        <f t="shared" si="15"/>
        <v>0</v>
      </c>
      <c r="P26" s="479">
        <f t="shared" si="16"/>
        <v>0</v>
      </c>
      <c r="Q26" s="477">
        <f t="shared" ca="1" si="17"/>
        <v>1309.3075138169606</v>
      </c>
    </row>
    <row r="27" spans="1:17" s="483" customFormat="1">
      <c r="A27" s="481" t="s">
        <v>555</v>
      </c>
      <c r="B27" s="801">
        <f t="shared" ca="1" si="2"/>
        <v>4.1734245579063738E-2</v>
      </c>
      <c r="C27" s="482">
        <f t="shared" ca="1" si="3"/>
        <v>0</v>
      </c>
      <c r="D27" s="482">
        <f t="shared" si="4"/>
        <v>24.408559574910281</v>
      </c>
      <c r="E27" s="482">
        <f t="shared" si="5"/>
        <v>21.198851843586439</v>
      </c>
      <c r="F27" s="482">
        <f t="shared" si="6"/>
        <v>0</v>
      </c>
      <c r="G27" s="482">
        <f t="shared" si="7"/>
        <v>11569.584973379471</v>
      </c>
      <c r="H27" s="482">
        <f t="shared" si="8"/>
        <v>2244.0368118795213</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13859.270930923069</v>
      </c>
    </row>
    <row r="28" spans="1:17" ht="16.5" customHeight="1">
      <c r="A28" s="477" t="s">
        <v>545</v>
      </c>
      <c r="B28" s="478">
        <f t="shared" ca="1" si="2"/>
        <v>0</v>
      </c>
      <c r="C28" s="478">
        <f t="shared" ca="1" si="3"/>
        <v>0</v>
      </c>
      <c r="D28" s="478">
        <f t="shared" si="4"/>
        <v>0</v>
      </c>
      <c r="E28" s="478">
        <f t="shared" si="5"/>
        <v>0</v>
      </c>
      <c r="F28" s="478">
        <f t="shared" si="6"/>
        <v>0</v>
      </c>
      <c r="G28" s="478">
        <f t="shared" si="7"/>
        <v>153.32847908231315</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153.32847908231315</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0.81836998906152325</v>
      </c>
      <c r="C32" s="478">
        <f t="shared" ca="1" si="3"/>
        <v>0</v>
      </c>
      <c r="D32" s="478">
        <f t="shared" si="4"/>
        <v>107.78230796400001</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108.60067795306153</v>
      </c>
    </row>
    <row r="33" spans="1:17" s="489" customFormat="1">
      <c r="A33" s="487" t="s">
        <v>549</v>
      </c>
      <c r="B33" s="488">
        <f ca="1">SUM(B22:B32)</f>
        <v>57.96798643757996</v>
      </c>
      <c r="C33" s="488">
        <f t="shared" ref="C33:Q33" ca="1" si="19">SUM(C22:C32)</f>
        <v>106.94117647058827</v>
      </c>
      <c r="D33" s="488">
        <f t="shared" ca="1" si="19"/>
        <v>8313.0846758427815</v>
      </c>
      <c r="E33" s="488">
        <f t="shared" si="19"/>
        <v>1569.4471318696492</v>
      </c>
      <c r="F33" s="488">
        <f t="shared" ca="1" si="19"/>
        <v>11180.531835831702</v>
      </c>
      <c r="G33" s="488">
        <f t="shared" si="19"/>
        <v>11722.913452461784</v>
      </c>
      <c r="H33" s="488">
        <f t="shared" si="19"/>
        <v>2244.0368118795213</v>
      </c>
      <c r="I33" s="488">
        <f t="shared" si="19"/>
        <v>0</v>
      </c>
      <c r="J33" s="488">
        <f t="shared" si="19"/>
        <v>1273.1493463328068</v>
      </c>
      <c r="K33" s="488">
        <f t="shared" si="19"/>
        <v>0</v>
      </c>
      <c r="L33" s="488">
        <f t="shared" ca="1" si="19"/>
        <v>0</v>
      </c>
      <c r="M33" s="488">
        <f t="shared" si="19"/>
        <v>0</v>
      </c>
      <c r="N33" s="488">
        <f t="shared" ca="1" si="19"/>
        <v>0</v>
      </c>
      <c r="O33" s="488">
        <f t="shared" si="19"/>
        <v>0</v>
      </c>
      <c r="P33" s="488">
        <f t="shared" si="19"/>
        <v>0</v>
      </c>
      <c r="Q33" s="488">
        <f t="shared" ca="1" si="19"/>
        <v>36468.072417126408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5857.4359892993989</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49090.5</v>
      </c>
      <c r="C8" s="1062">
        <f>'SEAP template'!C76</f>
        <v>315.00000000000011</v>
      </c>
      <c r="D8" s="1062">
        <f>'SEAP template'!D76</f>
        <v>370.58823529411779</v>
      </c>
      <c r="E8" s="1062">
        <f>'SEAP template'!E76</f>
        <v>0</v>
      </c>
      <c r="F8" s="1062">
        <f>'SEAP template'!F76</f>
        <v>0</v>
      </c>
      <c r="G8" s="1062">
        <f>'SEAP template'!G76</f>
        <v>0</v>
      </c>
      <c r="H8" s="1062">
        <f>'SEAP template'!H76</f>
        <v>0</v>
      </c>
      <c r="I8" s="1062">
        <f>'SEAP template'!I76</f>
        <v>0</v>
      </c>
      <c r="J8" s="1062">
        <f>'SEAP template'!J76</f>
        <v>57753.529411764706</v>
      </c>
      <c r="K8" s="1062">
        <f>'SEAP template'!K76</f>
        <v>0</v>
      </c>
      <c r="L8" s="1062">
        <f>'SEAP template'!L76</f>
        <v>0</v>
      </c>
      <c r="M8" s="1062">
        <f>'SEAP template'!M76</f>
        <v>0</v>
      </c>
      <c r="N8" s="1062">
        <f>'SEAP template'!N76</f>
        <v>0</v>
      </c>
      <c r="O8" s="1062">
        <f>'SEAP template'!O76</f>
        <v>0</v>
      </c>
      <c r="P8" s="1063">
        <f>'SEAP template'!Q76</f>
        <v>74.858823529411794</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54947.935989299396</v>
      </c>
      <c r="C10" s="1064">
        <f>SUM(C4:C9)</f>
        <v>315.00000000000011</v>
      </c>
      <c r="D10" s="1064">
        <f t="shared" ref="D10:H10" si="0">SUM(D8:D9)</f>
        <v>370.58823529411779</v>
      </c>
      <c r="E10" s="1064">
        <f t="shared" si="0"/>
        <v>0</v>
      </c>
      <c r="F10" s="1064">
        <f t="shared" si="0"/>
        <v>0</v>
      </c>
      <c r="G10" s="1064">
        <f t="shared" si="0"/>
        <v>0</v>
      </c>
      <c r="H10" s="1064">
        <f t="shared" si="0"/>
        <v>0</v>
      </c>
      <c r="I10" s="1064">
        <f>SUM(I8:I9)</f>
        <v>0</v>
      </c>
      <c r="J10" s="1064">
        <f>SUM(J8:J9)</f>
        <v>57753.529411764706</v>
      </c>
      <c r="K10" s="1064">
        <f t="shared" ref="K10:L10" si="1">SUM(K8:K9)</f>
        <v>0</v>
      </c>
      <c r="L10" s="1064">
        <f t="shared" si="1"/>
        <v>0</v>
      </c>
      <c r="M10" s="1064">
        <f>SUM(M8:M9)</f>
        <v>0</v>
      </c>
      <c r="N10" s="1064">
        <f>SUM(N8:N9)</f>
        <v>0</v>
      </c>
      <c r="O10" s="1064">
        <f>SUM(O8:O9)</f>
        <v>0</v>
      </c>
      <c r="P10" s="1064">
        <f>SUM(P8:P9)</f>
        <v>74.858823529411794</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1.3545936745725338E-3</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70129.28571428571</v>
      </c>
      <c r="C17" s="1065">
        <f>'SEAP template'!C87</f>
        <v>450.00000000000011</v>
      </c>
      <c r="D17" s="1063">
        <f>'SEAP template'!D87</f>
        <v>529.41176470588255</v>
      </c>
      <c r="E17" s="1063">
        <f>'SEAP template'!E87</f>
        <v>0</v>
      </c>
      <c r="F17" s="1063">
        <f>'SEAP template'!F87</f>
        <v>0</v>
      </c>
      <c r="G17" s="1063">
        <f>'SEAP template'!G87</f>
        <v>0</v>
      </c>
      <c r="H17" s="1063">
        <f>'SEAP template'!H87</f>
        <v>0</v>
      </c>
      <c r="I17" s="1063">
        <f>'SEAP template'!I87</f>
        <v>0</v>
      </c>
      <c r="J17" s="1063">
        <f>'SEAP template'!J87</f>
        <v>82505.042016806721</v>
      </c>
      <c r="K17" s="1063">
        <f>'SEAP template'!K87</f>
        <v>0</v>
      </c>
      <c r="L17" s="1063">
        <f>'SEAP template'!L87</f>
        <v>0</v>
      </c>
      <c r="M17" s="1063">
        <f>'SEAP template'!M87</f>
        <v>0</v>
      </c>
      <c r="N17" s="1063">
        <f>'SEAP template'!N87</f>
        <v>0</v>
      </c>
      <c r="O17" s="1063">
        <f>'SEAP template'!O87</f>
        <v>0</v>
      </c>
      <c r="P17" s="1063">
        <f>'SEAP template'!Q87</f>
        <v>106.94117647058827</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70129.28571428571</v>
      </c>
      <c r="C20" s="1064">
        <f>SUM(C17:C19)</f>
        <v>450.00000000000011</v>
      </c>
      <c r="D20" s="1064">
        <f t="shared" ref="D20:H20" si="2">SUM(D17:D19)</f>
        <v>529.41176470588255</v>
      </c>
      <c r="E20" s="1064">
        <f t="shared" si="2"/>
        <v>0</v>
      </c>
      <c r="F20" s="1064">
        <f t="shared" si="2"/>
        <v>0</v>
      </c>
      <c r="G20" s="1064">
        <f t="shared" si="2"/>
        <v>0</v>
      </c>
      <c r="H20" s="1064">
        <f t="shared" si="2"/>
        <v>0</v>
      </c>
      <c r="I20" s="1064">
        <f>SUM(I17:I19)</f>
        <v>0</v>
      </c>
      <c r="J20" s="1064">
        <f>SUM(J17:J19)</f>
        <v>82505.042016806721</v>
      </c>
      <c r="K20" s="1064">
        <f t="shared" ref="K20:L20" si="3">SUM(K17:K19)</f>
        <v>0</v>
      </c>
      <c r="L20" s="1064">
        <f t="shared" si="3"/>
        <v>0</v>
      </c>
      <c r="M20" s="1064">
        <f>SUM(M17:M19)</f>
        <v>0</v>
      </c>
      <c r="N20" s="1064">
        <f>SUM(N17:N19)</f>
        <v>0</v>
      </c>
      <c r="O20" s="1064">
        <f>SUM(O17:O19)</f>
        <v>0</v>
      </c>
      <c r="P20" s="1064">
        <f>SUM(P17:P19)</f>
        <v>106.94117647058827</v>
      </c>
    </row>
    <row r="21" spans="1:16">
      <c r="B21" s="913"/>
    </row>
    <row r="22" spans="1:16">
      <c r="A22" s="490" t="s">
        <v>814</v>
      </c>
      <c r="B22" s="807" t="s">
        <v>812</v>
      </c>
      <c r="C22" s="807">
        <f ca="1">'EF ele_warmte'!B22</f>
        <v>1.5151921047132767E-3</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1.3545936745725338E-3</v>
      </c>
      <c r="C17" s="527">
        <f ca="1">'EF ele_warmte'!B22</f>
        <v>1.5151921047132767E-3</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2019-08-12T08:40:13Z</dcterms:modified>
</cp:coreProperties>
</file>