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O15" i="48"/>
  <c r="E27" i="14"/>
  <c r="C10" i="18"/>
  <c r="B15" i="48"/>
  <c r="D15"/>
  <c r="O33"/>
  <c r="I76" i="14"/>
  <c r="I8" i="59" s="1"/>
  <c r="I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26"/>
  <c r="F27" i="14"/>
  <c r="F63" s="1"/>
  <c r="C78"/>
  <c r="B78"/>
  <c r="B12" i="6" l="1"/>
  <c r="B10" i="17" s="1"/>
  <c r="B12" s="1"/>
  <c r="B4" i="6"/>
  <c r="C22" i="48"/>
  <c r="C33" s="1"/>
  <c r="C28"/>
  <c r="C23"/>
  <c r="C30"/>
  <c r="C27"/>
  <c r="C29"/>
  <c r="C32"/>
  <c r="C25"/>
  <c r="C31"/>
  <c r="B16" i="22"/>
  <c r="B18" s="1"/>
  <c r="B18" i="15" l="1"/>
  <c r="B20" s="1"/>
  <c r="C40" i="14" s="1"/>
  <c r="R40" s="1"/>
  <c r="B20" i="16"/>
  <c r="B22" s="1"/>
  <c r="C43" i="14" s="1"/>
  <c r="R43" s="1"/>
  <c r="B17" i="19"/>
  <c r="B19" s="1"/>
  <c r="C12" i="59"/>
  <c r="B29" i="20"/>
  <c r="B31" s="1"/>
  <c r="B10" i="9"/>
  <c r="B12" s="1"/>
  <c r="C55" i="14"/>
  <c r="R55" s="1"/>
  <c r="B10" i="13"/>
  <c r="B12" s="1"/>
  <c r="B56" i="22"/>
  <c r="B58" s="1"/>
  <c r="C49" i="14" s="1"/>
  <c r="R49" s="1"/>
  <c r="B17" i="49"/>
  <c r="B19" s="1"/>
  <c r="C54" i="14"/>
  <c r="R54" s="1"/>
  <c r="C39"/>
  <c r="R39" s="1"/>
  <c r="C42"/>
  <c r="R42" s="1"/>
  <c r="C48"/>
  <c r="R48" s="1"/>
  <c r="C50"/>
  <c r="R50" s="1"/>
  <c r="B17" i="48" l="1"/>
  <c r="B32" s="1"/>
  <c r="Q32" s="1"/>
  <c r="R56" i="14"/>
  <c r="R52"/>
  <c r="C52"/>
  <c r="C41"/>
  <c r="R41" s="1"/>
  <c r="R46" s="1"/>
  <c r="B27" i="48"/>
  <c r="Q27" s="1"/>
  <c r="B26"/>
  <c r="Q26" s="1"/>
  <c r="B24"/>
  <c r="Q24" s="1"/>
  <c r="B23"/>
  <c r="Q23" s="1"/>
  <c r="B28"/>
  <c r="Q28" s="1"/>
  <c r="B22"/>
  <c r="B31" l="1"/>
  <c r="Q31" s="1"/>
  <c r="B25"/>
  <c r="Q25" s="1"/>
  <c r="B29"/>
  <c r="Q29" s="1"/>
  <c r="B30"/>
  <c r="Q30" s="1"/>
  <c r="R61" i="14"/>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<sst xmlns="http://schemas.openxmlformats.org/spreadsheetml/2006/main" count="2428" uniqueCount="906">
  <si>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</si>
  <si>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</si>
  <si>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</si>
  <si>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</si>
  <si>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</si>
  <si>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</si>
  <si>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</si>
  <si>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</si>
  <si>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</si>
  <si>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</si>
  <si>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</si>
  <si>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</si>
  <si>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</si>
  <si>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</si>
  <si>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</si>
  <si>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</si>
  <si>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</si>
  <si>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</si>
  <si>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</si>
  <si>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</si>
  <si>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</si>
  <si>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</si>
  <si>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</si>
  <si>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</si>
  <si>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</si>
  <si>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</si>
  <si>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</si>
  <si>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</si>
  <si>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</si>
  <si>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</si>
  <si>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</si>
  <si>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</si>
  <si>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</si>
  <si>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</si>
  <si>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</si>
  <si>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</si>
  <si>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</si>
  <si>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</si>
  <si>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</si>
  <si>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</si>
  <si>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</si>
  <si>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</si>
  <si>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</si>
  <si>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</si>
  <si>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</si>
  <si>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</si>
  <si>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</si>
  <si>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</si>
  <si>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</si>
  <si>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</si>
  <si>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</si>
  <si>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</si>
  <si>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</si>
  <si>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</si>
  <si>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</si>
  <si>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</si>
  <si>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</si>
  <si>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</si>
  <si>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</si>
  <si>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</si>
  <si>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</si>
  <si>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</si>
  <si>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</si>
  <si>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</si>
  <si>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</si>
  <si>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</si>
  <si>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</si>
  <si>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</si>
  <si>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</si>
  <si>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</si>
  <si>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</si>
  <si>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</si>
  <si>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</si>
  <si>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</si>
  <si>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</si>
  <si>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</si>
  <si>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</si>
  <si>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</si>
  <si>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</si>
  <si>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</si>
  <si>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</si>
  <si>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</si>
  <si>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</si>
  <si>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</si>
  <si>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</si>
  <si>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</si>
  <si>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</si>
  <si>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</si>
  <si>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</si>
  <si>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</si>
  <si>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</si>
  <si>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</si>
  <si>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</si>
  <si>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</si>
  <si>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</si>
  <si>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</si>
  <si>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</si>
  <si>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</si>
  <si>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</si>
  <si>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</si>
  <si>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</si>
  <si>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</si>
  <si>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</si>
  <si>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</si>
  <si>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</si>
  <si>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</si>
  <si>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</si>
  <si>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</si>
  <si>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</si>
  <si>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</si>
  <si>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</si>
  <si>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</si>
  <si>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</si>
  <si>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</si>
  <si>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</si>
  <si>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</si>
  <si>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</si>
  <si>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</si>
  <si>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</si>
  <si>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</si>
  <si>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</si>
  <si>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</si>
  <si>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</si>
  <si>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</si>
  <si>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</si>
  <si>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</si>
  <si>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</si>
  <si>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</si>
  <si>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</si>
  <si>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</si>
  <si>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</si>
  <si>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</si>
  <si>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</si>
  <si>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</si>
  <si>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</si>
  <si>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</si>
  <si>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</si>
  <si>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</si>
  <si>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</si>
  <si>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</si>
  <si>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</si>
  <si>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</si>
  <si>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</si>
  <si>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</si>
  <si>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</si>
  <si>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</si>
  <si>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</si>
  <si>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</si>
  <si>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</si>
  <si>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</si>
  <si>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</si>
  <si>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</si>
  <si>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</si>
  <si>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</si>
  <si>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</si>
  <si>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</si>
  <si>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</si>
  <si>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</si>
  <si>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</si>
  <si>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</si>
  <si>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</si>
  <si>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</si>
  <si>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</si>
  <si>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</si>
  <si>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</si>
  <si>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</si>
  <si>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</si>
  <si>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</si>
  <si>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</si>
  <si>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</si>
  <si>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</si>
  <si>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</si>
  <si>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</si>
  <si>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</si>
  <si>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</si>
  <si>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</si>
  <si>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</si>
  <si>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</si>
  <si>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</si>
  <si>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</si>
  <si>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</si>
  <si>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</si>
  <si>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</si>
  <si>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</si>
  <si>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</si>
  <si>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</si>
  <si>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</si>
  <si>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</si>
  <si>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</si>
  <si>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</si>
  <si>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</si>
  <si>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</si>
  <si>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</si>
  <si>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</si>
  <si>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</si>
  <si>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</si>
  <si>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</si>
  <si>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</si>
  <si>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</si>
  <si>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</si>
  <si>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</si>
  <si>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</si>
  <si>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</si>
  <si>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</si>
  <si>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</si>
  <si>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</si>
  <si>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</si>
  <si>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</si>
  <si>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</si>
  <si>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</si>
  <si>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</si>
  <si>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</si>
  <si>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</si>
  <si>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</si>
  <si>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</si>
  <si>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</si>
  <si>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</si>
  <si>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</si>
  <si>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</si>
  <si>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</si>
  <si>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</si>
  <si>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</si>
  <si>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</si>
  <si>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</si>
  <si>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</si>
  <si>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</si>
  <si>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</si>
  <si>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</si>
  <si>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</si>
  <si>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</si>
  <si>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</si>
  <si>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</si>
  <si>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</si>
  <si>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</si>
  <si>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</si>
  <si>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</si>
  <si>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</si>
  <si>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</si>
  <si>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</si>
  <si>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</si>
  <si>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</si>
  <si>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</si>
  <si>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</si>
  <si>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</si>
  <si>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</si>
  <si>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</si>
  <si>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</si>
  <si>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</si>
  <si>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</si>
  <si>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</si>
  <si>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</si>
  <si>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</si>
  <si>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</si>
  <si>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</si>
  <si>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</si>
  <si>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</si>
  <si>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</si>
  <si>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</si>
  <si>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</si>
  <si>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</si>
  <si>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</si>
  <si>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</si>
  <si>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</si>
  <si>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</si>
  <si>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</si>
  <si>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</si>
  <si>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</si>
  <si>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</si>
  <si>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</si>
  <si>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</si>
  <si>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</si>
  <si>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</si>
  <si>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</si>
  <si>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</si>
  <si>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</si>
  <si>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</si>
  <si>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</si>
  <si>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</si>
  <si>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</si>
  <si>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</si>
  <si>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</si>
  <si>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</si>
  <si>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</si>
  <si>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</si>
  <si>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</si>
  <si>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</si>
  <si>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</si>
  <si>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</si>
  <si>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</si>
  <si>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</si>
  <si>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</si>
  <si>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</si>
  <si>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</si>
  <si>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</si>
  <si>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</si>
  <si>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</si>
  <si>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</si>
  <si>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</si>
  <si>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</si>
  <si>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</si>
  <si>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</si>
  <si>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</si>
  <si>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</si>
  <si>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</si>
  <si>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</si>
  <si>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</si>
  <si>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</si>
  <si>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</si>
  <si>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</si>
  <si>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</si>
  <si>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</si>
  <si>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</si>
  <si>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</si>
  <si>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</si>
  <si>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</si>
  <si>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</si>
  <si>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</si>
  <si>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</si>
  <si>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</si>
  <si>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</si>
  <si>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</si>
  <si>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</si>
  <si>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</si>
  <si>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</si>
  <si>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</si>
  <si>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</si>
  <si>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</si>
  <si>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</si>
  <si>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</si>
  <si>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</si>
  <si>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</si>
  <si>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</si>
  <si>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</si>
  <si>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</si>
  <si>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</si>
  <si>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</si>
  <si>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</si>
  <si>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</si>
  <si>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</si>
  <si>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</si>
  <si>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</si>
  <si>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</si>
  <si>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</si>
  <si>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</si>
  <si>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</si>
  <si>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</si>
  <si>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</si>
  <si>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</si>
  <si>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</si>
  <si>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</si>
  <si>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</si>
  <si>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</si>
  <si>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</si>
  <si>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</si>
  <si>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</si>
  <si>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</si>
  <si>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</si>
  <si>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</si>
  <si>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</si>
  <si>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</si>
  <si>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</si>
  <si>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</si>
  <si>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</si>
  <si>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</si>
  <si>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</si>
  <si>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</si>
  <si>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</si>
  <si>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</si>
  <si>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</si>
  <si>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</si>
  <si>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</si>
  <si>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</si>
  <si>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</si>
  <si>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</si>
  <si>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</si>
  <si>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</si>
  <si>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</si>
  <si>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</si>
  <si>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</si>
  <si>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</si>
  <si>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</si>
  <si>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</si>
  <si>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</si>
  <si>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</si>
  <si>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</si>
  <si>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</si>
  <si>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</si>
  <si>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</si>
  <si>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</si>
  <si>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</si>
  <si>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</si>
  <si>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</si>
  <si>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</si>
  <si>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</si>
  <si>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</si>
  <si>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</si>
  <si>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</si>
  <si>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</si>
  <si>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</si>
  <si>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</si>
  <si>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</si>
  <si>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</si>
  <si>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</si>
  <si>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</si>
  <si>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</si>
  <si>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</si>
  <si>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</si>
  <si>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</si>
  <si>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</si>
  <si>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</si>
  <si>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</si>
  <si>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</si>
  <si>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</si>
  <si>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</si>
  <si>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</si>
  <si>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</si>
  <si>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</si>
  <si>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</si>
  <si>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</si>
  <si>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</si>
  <si>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</si>
  <si>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</si>
  <si>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</si>
  <si>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</si>
  <si>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</si>
  <si>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</si>
  <si>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</si>
  <si>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</si>
  <si>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</si>
  <si>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</si>
  <si>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</si>
  <si>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</si>
  <si>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</si>
  <si>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</si>
  <si>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</si>
  <si>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</si>
  <si>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</si>
  <si>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</si>
  <si>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</si>
  <si>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</si>
  <si>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</si>
  <si>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</si>
  <si>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</si>
  <si>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</si>
  <si>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</si>
  <si>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</si>
  <si>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</si>
  <si>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</si>
  <si>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</si>
  <si>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</si>
  <si>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</si>
  <si>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</si>
  <si>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</si>
  <si>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</si>
  <si>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</si>
  <si>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</si>
  <si>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</si>
  <si>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</si>
  <si>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</si>
  <si>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</si>
  <si>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</si>
  <si>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</si>
  <si>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</si>
  <si>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</si>
  <si>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</si>
  <si>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</si>
  <si>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</si>
  <si>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</si>
  <si>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</si>
  <si>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</si>
  <si>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</si>
  <si>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</si>
  <si>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</si>
  <si>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</si>
  <si>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</si>
  <si>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</si>
  <si>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</si>
  <si>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</si>
  <si>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</si>
  <si>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</si>
  <si>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</si>
  <si>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</si>
  <si>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</si>
  <si>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</si>
  <si>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</si>
  <si>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</si>
  <si>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</si>
  <si>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</si>
  <si>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</si>
  <si>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</si>
  <si>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</si>
  <si>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</si>
  <si>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</si>
  <si>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</si>
  <si>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</si>
  <si>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</si>
  <si>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</si>
  <si>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</si>
  <si>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</si>
  <si>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</si>
  <si>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</si>
  <si>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</si>
  <si>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</si>
  <si>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</si>
  <si>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</si>
  <si>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</si>
  <si>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</si>
  <si>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</si>
  <si>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</si>
  <si>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</si>
  <si>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</si>
  <si>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</si>
  <si>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</si>
  <si>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</si>
  <si>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</si>
  <si>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</si>
  <si>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</si>
  <si>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</si>
  <si>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</si>
  <si>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</si>
  <si>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</si>
  <si>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</si>
  <si>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</si>
  <si>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</si>
  <si>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</si>
  <si>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</si>
  <si>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</si>
  <si>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</si>
  <si>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</si>
  <si>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</si>
  <si>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</si>
  <si>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</si>
  <si>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</si>
  <si>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</si>
  <si>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</si>
  <si>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</si>
  <si>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</si>
  <si>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</si>
  <si>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</si>
  <si>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</si>
  <si>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</si>
  <si>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</si>
  <si>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</si>
  <si>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</si>
  <si>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</si>
  <si>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</si>
  <si>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</si>
  <si>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</si>
  <si>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</si>
  <si>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</si>
  <si>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</si>
  <si>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</si>
  <si>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</si>
  <si>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</si>
  <si>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</si>
  <si>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</si>
  <si>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</si>
  <si>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</si>
  <si>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</si>
  <si>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</si>
  <si>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</si>
  <si>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</si>
  <si>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</si>
  <si>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</si>
  <si>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</si>
  <si>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</si>
  <si>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</si>
  <si>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</si>
  <si>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</si>
  <si>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</si>
  <si>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</si>
  <si>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</si>
  <si>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</si>
  <si>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</si>
  <si>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</si>
  <si>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</si>
  <si>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</si>
  <si>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</si>
  <si>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</si>
  <si>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</si>
  <si>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</si>
  <si>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</si>
  <si>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</si>
  <si>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</si>
  <si>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</si>
  <si>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</si>
  <si>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</si>
  <si>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</si>
  <si>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</si>
  <si>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</si>
  <si>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</si>
  <si>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</si>
  <si>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</si>
  <si>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</si>
  <si>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</si>
  <si>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</si>
  <si>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</si>
  <si>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</si>
  <si>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</si>
  <si>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</si>
  <si>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</si>
  <si>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</si>
  <si>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</si>
  <si>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</si>
  <si>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</si>
  <si>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</si>
  <si>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</si>
  <si>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</si>
  <si>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</si>
  <si>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</si>
  <si>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</si>
  <si>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</si>
  <si>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</si>
  <si>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</si>
  <si>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</si>
  <si>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</si>
  <si>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</si>
  <si>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</si>
  <si>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</si>
  <si>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</si>
  <si>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</si>
  <si>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</si>
  <si>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</si>
  <si>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</si>
  <si>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</si>
  <si>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</si>
  <si>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</si>
  <si>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</si>
  <si>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</si>
  <si>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</si>
  <si>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</si>
  <si>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</si>
  <si>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</si>
  <si>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</si>
  <si>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</si>
  <si>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</si>
  <si>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</si>
  <si>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</si>
  <si>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</si>
  <si>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</si>
  <si>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</si>
  <si>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</si>
  <si>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</si>
  <si>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</si>
  <si>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</si>
  <si>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</si>
  <si>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</si>
  <si>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</si>
  <si>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</si>
  <si>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</si>
  <si>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</si>
  <si>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</si>
  <si>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</si>
  <si>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</si>
  <si>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</si>
  <si>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</si>
  <si>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</si>
  <si>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</si>
  <si>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</si>
  <si>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</si>
  <si>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</si>
  <si>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</si>
  <si>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</si>
  <si>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</si>
  <si>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</si>
  <si>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</si>
  <si>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</si>
  <si>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</si>
  <si>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</si>
  <si>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</si>
  <si>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</si>
  <si>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</si>
  <si>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</si>
  <si>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</si>
  <si>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</si>
  <si>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</si>
  <si>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</si>
  <si>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</si>
  <si>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</si>
  <si>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</si>
  <si>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</si>
  <si>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</si>
  <si>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</si>
  <si>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</si>
  <si>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</si>
  <si>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</si>
  <si>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</si>
  <si>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</si>
  <si>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</si>
  <si>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</si>
  <si>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</si>
  <si>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</si>
  <si>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</si>
  <si>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</si>
  <si>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</si>
  <si>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</si>
  <si>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</si>
  <si>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</si>
  <si>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</si>
  <si>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</si>
  <si>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</si>
  <si>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</si>
  <si>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</si>
  <si>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</si>
  <si>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</si>
  <si>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</si>
  <si>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</si>
  <si>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</si>
  <si>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</si>
  <si>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</si>
  <si>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</si>
  <si>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</si>
  <si>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</si>
  <si>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</si>
  <si>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</si>
  <si>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</si>
  <si>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</si>
  <si>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</si>
  <si>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</si>
  <si>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</si>
  <si>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</si>
  <si>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</si>
  <si>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</si>
  <si>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</si>
  <si>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</si>
  <si>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</si>
  <si>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</si>
  <si>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</si>
  <si>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</si>
  <si>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</si>
  <si>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</si>
  <si>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</si>
  <si>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</si>
  <si>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</si>
  <si>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</si>
  <si>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</si>
  <si>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</si>
  <si>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</si>
  <si>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</si>
  <si>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</si>
  <si>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</si>
  <si>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</si>
  <si>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</si>
  <si>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</si>
  <si>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</si>
  <si>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</si>
  <si>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</si>
  <si>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</si>
  <si>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</si>
  <si>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</si>
  <si>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</si>
  <si>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</si>
  <si>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</si>
  <si>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</si>
  <si>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</si>
  <si>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</si>
  <si>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</si>
  <si>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</si>
  <si>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</si>
  <si>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</si>
  <si>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</si>
  <si>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</si>
  <si>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</si>
  <si>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</si>
  <si>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</si>
  <si>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</si>
  <si>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</si>
  <si>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</si>
  <si>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</si>
  <si>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</si>
  <si>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</si>
  <si>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</si>
  <si>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</si>
  <si>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</si>
  <si>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</si>
  <si>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</si>
  <si>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</si>
  <si>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</si>
  <si>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</si>
  <si>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</si>
  <si>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</si>
  <si>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</si>
  <si>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</si>
  <si>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</si>
  <si>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</si>
  <si>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</si>
  <si>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</si>
  <si>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</si>
  <si>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</si>
  <si>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</si>
  <si>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</si>
  <si>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</si>
  <si>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</si>
  <si>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</si>
  <si>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</si>
  <si>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</si>
  <si>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</si>
  <si>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</si>
  <si>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</si>
  <si>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</si>
  <si>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</si>
  <si>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</si>
  <si>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</si>
  <si>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</si>
  <si>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</si>
  <si>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</si>
  <si>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</si>
  <si>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</si>
  <si>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</si>
  <si>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</si>
  <si>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</si>
  <si>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</si>
  <si>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</si>
  <si>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</si>
  <si>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</si>
  <si>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</si>
  <si>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</si>
  <si>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</si>
  <si>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</si>
  <si>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</si>
  <si>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</si>
  <si>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</si>
  <si>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</si>
  <si>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</si>
  <si>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</si>
  <si>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</si>
  <si>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</si>
  <si>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</si>
  <si>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</si>
  <si>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</si>
  <si>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</si>
  <si>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</si>
  <si>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</si>
  <si>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</si>
  <si>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</si>
  <si>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</si>
  <si>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</si>
  <si>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</si>
  <si>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</si>
  <si>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</si>
  <si>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</si>
  <si>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</si>
  <si>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</si>
  <si>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</si>
  <si>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</si>
  <si>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</si>
  <si>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</si>
  <si>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</si>
  <si>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</si>
  <si>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</si>
  <si>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</si>
  <si>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</si>
  <si>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</si>
  <si>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</si>
  <si>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</si>
  <si>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</si>
  <si>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</si>
  <si>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</si>
  <si>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</si>
  <si>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</si>
  <si>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</si>
  <si>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</si>
  <si>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</si>
  <si>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</si>
  <si>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</si>
  <si>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</si>
  <si>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</si>
  <si>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</si>
  <si>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</si>
  <si>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</si>
  <si>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</si>
  <si>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</si>
  <si>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</si>
  <si>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</si>
  <si>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</si>
  <si>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</si>
  <si>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</si>
  <si>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</si>
  <si>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36019</t>
  </si>
  <si>
    <t>STADEN</t>
  </si>
  <si>
    <t>Mestbank (maart 2019)</t>
  </si>
  <si>
    <t>Fluvius (februari 2019)</t>
  </si>
  <si>
    <t>referentietaak LNE (2017); Jaarverslag De Lijn (2018)</t>
  </si>
  <si>
    <t>VEA (30 april 2019)</t>
  </si>
  <si>
    <t>VEA (mei 2018)</t>
  </si>
  <si>
    <t>VEA (mei 2019)</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</si>
  <si>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</si>
  <si>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</si>
  <si>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</si>
  <si>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</si>
  <si>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</si>
  <si>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</si>
  <si>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</si>
  <si>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</si>
  <si>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</si>
  <si>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</si>
  <si>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</si>
  <si>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</si>
  <si>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</si>
  <si>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</si>
  <si>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</si>
  <si>
    <t>Agrokom II</t>
  </si>
  <si>
    <t>WKK-0770</t>
  </si>
  <si>
    <t>Interne verbrandingsmotor</t>
  </si>
  <si>
    <t>Nieuwkerkhofstraat 2 / A</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</si>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</sst>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104436.29649989665</c:v>
                </c:pt>
                <c:pt idx="1">
                  <c:v>45443.579429827019</c:v>
                </c:pt>
                <c:pt idx="2">
                  <c:v>682.63599999999997</c:v>
                </c:pt>
                <c:pt idx="3">
                  <c:v>104898.56213158205</c:v>
                </c:pt>
                <c:pt idx="4">
                  <c:v>262405.13552739372</c:v>
                </c:pt>
                <c:pt idx="5">
                  <c:v>60122.268195497396</c:v>
                </c:pt>
                <c:pt idx="6">
                  <c:v>1145.217303162369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104436.29649989665</c:v>
                </c:pt>
                <c:pt idx="1">
                  <c:v>45443.579429827019</c:v>
                </c:pt>
                <c:pt idx="2">
                  <c:v>682.63599999999997</c:v>
                </c:pt>
                <c:pt idx="3">
                  <c:v>104898.56213158205</c:v>
                </c:pt>
                <c:pt idx="4">
                  <c:v>262405.13552739372</c:v>
                </c:pt>
                <c:pt idx="5">
                  <c:v>60122.268195497396</c:v>
                </c:pt>
                <c:pt idx="6">
                  <c:v>1145.217303162369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18687.612253005165</c:v>
                </c:pt>
                <c:pt idx="1">
                  <c:v>9023.5053340887625</c:v>
                </c:pt>
                <c:pt idx="2">
                  <c:v>144.41284857547072</c:v>
                </c:pt>
                <c:pt idx="3">
                  <c:v>24878.76914033564</c:v>
                </c:pt>
                <c:pt idx="4">
                  <c:v>54259.990976254106</c:v>
                </c:pt>
                <c:pt idx="5">
                  <c:v>14950.01231032191</c:v>
                </c:pt>
                <c:pt idx="6">
                  <c:v>289.6729645254739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3312"/>
        <c:axId val="181134848"/>
      </c:barChart>
      <c:catAx>
        <c:axId val="181133312"/>
        <c:scaling>
          <c:orientation val="minMax"/>
        </c:scaling>
        <c:axPos val="b"/>
        <c:numFmt formatCode="General" sourceLinked="0"/>
        <c:tickLblPos val="nextTo"/>
        <c:crossAx val="181134848"/>
        <c:crosses val="autoZero"/>
        <c:auto val="1"/>
        <c:lblAlgn val="ctr"/>
        <c:lblOffset val="100"/>
      </c:catAx>
      <c:valAx>
        <c:axId val="181134848"/>
        <c:scaling>
          <c:orientation val="minMax"/>
        </c:scaling>
        <c:axPos val="l"/>
        <c:majorGridlines/>
        <c:numFmt formatCode="#,##0" sourceLinked="1"/>
        <c:tickLblPos val="nextTo"/>
        <c:crossAx val="181133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18687.612253005165</c:v>
                </c:pt>
                <c:pt idx="1">
                  <c:v>9023.5053340887625</c:v>
                </c:pt>
                <c:pt idx="2">
                  <c:v>144.41284857547072</c:v>
                </c:pt>
                <c:pt idx="3">
                  <c:v>24878.76914033564</c:v>
                </c:pt>
                <c:pt idx="4">
                  <c:v>54259.990976254106</c:v>
                </c:pt>
                <c:pt idx="5">
                  <c:v>14950.01231032191</c:v>
                </c:pt>
                <c:pt idx="6">
                  <c:v>289.6729645254739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36019</v>
      </c>
      <c r="B6" s="415"/>
      <c r="C6" s="416"/>
    </row>
    <row r="7" spans="1:7" s="413" customFormat="1" ht="15.75" customHeight="1">
      <c r="A7" s="417" t="str">
        <f>txtMunicipality</f>
        <v>STADEN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10215.825846</v>
      </c>
      <c r="D10" s="712">
        <f ca="1">tertiair!C16</f>
        <v>0</v>
      </c>
      <c r="E10" s="712">
        <f ca="1">tertiair!D16</f>
        <v>33052.192420895997</v>
      </c>
      <c r="F10" s="712">
        <f>tertiair!E16</f>
        <v>143.44850004519731</v>
      </c>
      <c r="G10" s="712">
        <f ca="1">tertiair!F16</f>
        <v>1114.6937623596014</v>
      </c>
      <c r="H10" s="712">
        <f>tertiair!G16</f>
        <v>0</v>
      </c>
      <c r="I10" s="712">
        <f>tertiair!H16</f>
        <v>0</v>
      </c>
      <c r="J10" s="712">
        <f>tertiair!I16</f>
        <v>0</v>
      </c>
      <c r="K10" s="712">
        <f>tertiair!J16</f>
        <v>3.7604556302933911E-2</v>
      </c>
      <c r="L10" s="712">
        <f>tertiair!K16</f>
        <v>0</v>
      </c>
      <c r="M10" s="712">
        <f ca="1">tertiair!L16</f>
        <v>0</v>
      </c>
      <c r="N10" s="712">
        <f>tertiair!M16</f>
        <v>0</v>
      </c>
      <c r="O10" s="712">
        <f ca="1">tertiair!N16</f>
        <v>1470.4527155277242</v>
      </c>
      <c r="P10" s="712">
        <f>tertiair!O16</f>
        <v>24.486303829205774</v>
      </c>
      <c r="Q10" s="713">
        <f>tertiair!P16</f>
        <v>105.07827661299004</v>
      </c>
      <c r="R10" s="715">
        <f ca="1">SUM(C10:Q10)</f>
        <v>46126.215429827018</v>
      </c>
      <c r="S10" s="67"/>
    </row>
    <row r="11" spans="1:19" s="474" customFormat="1">
      <c r="A11" s="834" t="s">
        <v>224</v>
      </c>
      <c r="B11" s="839"/>
      <c r="C11" s="712">
        <f>huishoudens!B8</f>
        <v>18759.416723689923</v>
      </c>
      <c r="D11" s="712">
        <f>huishoudens!C8</f>
        <v>0</v>
      </c>
      <c r="E11" s="712">
        <f>huishoudens!D8</f>
        <v>33105.501064680007</v>
      </c>
      <c r="F11" s="712">
        <f>huishoudens!E8</f>
        <v>15944.675215810503</v>
      </c>
      <c r="G11" s="712">
        <f>huishoudens!F8</f>
        <v>14793.520294207847</v>
      </c>
      <c r="H11" s="712">
        <f>huishoudens!G8</f>
        <v>0</v>
      </c>
      <c r="I11" s="712">
        <f>huishoudens!H8</f>
        <v>0</v>
      </c>
      <c r="J11" s="712">
        <f>huishoudens!I8</f>
        <v>0</v>
      </c>
      <c r="K11" s="712">
        <f>huishoudens!J8</f>
        <v>1306.2208593497983</v>
      </c>
      <c r="L11" s="712">
        <f>huishoudens!K8</f>
        <v>0</v>
      </c>
      <c r="M11" s="712">
        <f>huishoudens!L8</f>
        <v>0</v>
      </c>
      <c r="N11" s="712">
        <f>huishoudens!M8</f>
        <v>0</v>
      </c>
      <c r="O11" s="712">
        <f>huishoudens!N8</f>
        <v>19615.756097111909</v>
      </c>
      <c r="P11" s="712">
        <f>huishoudens!O8</f>
        <v>595.18746581610958</v>
      </c>
      <c r="Q11" s="713">
        <f>huishoudens!P8</f>
        <v>316.01877923055071</v>
      </c>
      <c r="R11" s="715">
        <f>SUM(C11:Q11)</f>
        <v>104436.29649989665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161068.05095700003</v>
      </c>
      <c r="D13" s="712">
        <f>industrie!C18</f>
        <v>1870.7142857142858</v>
      </c>
      <c r="E13" s="712">
        <f>industrie!D18</f>
        <v>81303.817207162007</v>
      </c>
      <c r="F13" s="712">
        <f>industrie!E18</f>
        <v>1267.6877319075097</v>
      </c>
      <c r="G13" s="712">
        <f>industrie!F18</f>
        <v>11404.870659339058</v>
      </c>
      <c r="H13" s="712">
        <f>industrie!G18</f>
        <v>0</v>
      </c>
      <c r="I13" s="712">
        <f>industrie!H18</f>
        <v>0</v>
      </c>
      <c r="J13" s="712">
        <f>industrie!I18</f>
        <v>0</v>
      </c>
      <c r="K13" s="712">
        <f>industrie!J18</f>
        <v>36.629601535414494</v>
      </c>
      <c r="L13" s="712">
        <f>industrie!K18</f>
        <v>0</v>
      </c>
      <c r="M13" s="712">
        <f>industrie!L18</f>
        <v>0</v>
      </c>
      <c r="N13" s="712">
        <f>industrie!M18</f>
        <v>0</v>
      </c>
      <c r="O13" s="712">
        <f>industrie!N18</f>
        <v>5453.3650847353938</v>
      </c>
      <c r="P13" s="712">
        <f>industrie!O18</f>
        <v>0</v>
      </c>
      <c r="Q13" s="713">
        <f>industrie!P18</f>
        <v>0</v>
      </c>
      <c r="R13" s="715">
        <f>SUM(C13:Q13)</f>
        <v>262405.13552739372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190043.29352668996</v>
      </c>
      <c r="D16" s="748">
        <f t="shared" ref="D16:R16" ca="1" si="0">SUM(D9:D15)</f>
        <v>1870.7142857142858</v>
      </c>
      <c r="E16" s="748">
        <f t="shared" ca="1" si="0"/>
        <v>147461.510692738</v>
      </c>
      <c r="F16" s="748">
        <f t="shared" si="0"/>
        <v>17355.811447763208</v>
      </c>
      <c r="G16" s="748">
        <f t="shared" ca="1" si="0"/>
        <v>27313.084715906509</v>
      </c>
      <c r="H16" s="748">
        <f t="shared" si="0"/>
        <v>0</v>
      </c>
      <c r="I16" s="748">
        <f t="shared" si="0"/>
        <v>0</v>
      </c>
      <c r="J16" s="748">
        <f t="shared" si="0"/>
        <v>0</v>
      </c>
      <c r="K16" s="748">
        <f t="shared" si="0"/>
        <v>1342.8880654415157</v>
      </c>
      <c r="L16" s="748">
        <f t="shared" si="0"/>
        <v>0</v>
      </c>
      <c r="M16" s="748">
        <f t="shared" ca="1" si="0"/>
        <v>0</v>
      </c>
      <c r="N16" s="748">
        <f t="shared" si="0"/>
        <v>0</v>
      </c>
      <c r="O16" s="748">
        <f t="shared" ca="1" si="0"/>
        <v>26539.573897375027</v>
      </c>
      <c r="P16" s="748">
        <f t="shared" si="0"/>
        <v>619.67376964531536</v>
      </c>
      <c r="Q16" s="748">
        <f t="shared" si="0"/>
        <v>421.09705584354072</v>
      </c>
      <c r="R16" s="748">
        <f t="shared" ca="1" si="0"/>
        <v>412967.64745711739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1084.9174701328609</v>
      </c>
      <c r="I19" s="712">
        <f>transport!H54</f>
        <v>0</v>
      </c>
      <c r="J19" s="712">
        <f>transport!I54</f>
        <v>0</v>
      </c>
      <c r="K19" s="712">
        <f>transport!J54</f>
        <v>0</v>
      </c>
      <c r="L19" s="712">
        <f>transport!K54</f>
        <v>0</v>
      </c>
      <c r="M19" s="712">
        <f>transport!L54</f>
        <v>0</v>
      </c>
      <c r="N19" s="712">
        <f>transport!M54</f>
        <v>60.2998330295081</v>
      </c>
      <c r="O19" s="712">
        <f>transport!N54</f>
        <v>0</v>
      </c>
      <c r="P19" s="712">
        <f>transport!O54</f>
        <v>0</v>
      </c>
      <c r="Q19" s="713">
        <f>transport!P54</f>
        <v>0</v>
      </c>
      <c r="R19" s="715">
        <f>SUM(C19:Q19)</f>
        <v>1145.217303162369</v>
      </c>
      <c r="S19" s="67"/>
    </row>
    <row r="20" spans="1:19" s="474" customFormat="1">
      <c r="A20" s="834" t="s">
        <v>306</v>
      </c>
      <c r="B20" s="839"/>
      <c r="C20" s="712">
        <f>transport!B14</f>
        <v>31.883996163888884</v>
      </c>
      <c r="D20" s="712">
        <f>transport!C14</f>
        <v>0</v>
      </c>
      <c r="E20" s="712">
        <f>transport!D14</f>
        <v>145.66853534130334</v>
      </c>
      <c r="F20" s="712">
        <f>transport!E14</f>
        <v>110.16484980824306</v>
      </c>
      <c r="G20" s="712">
        <f>transport!F14</f>
        <v>0</v>
      </c>
      <c r="H20" s="712">
        <f>transport!G14</f>
        <v>45707.997159110142</v>
      </c>
      <c r="I20" s="712">
        <f>transport!H14</f>
        <v>10782.327261957344</v>
      </c>
      <c r="J20" s="712">
        <f>transport!I14</f>
        <v>0</v>
      </c>
      <c r="K20" s="712">
        <f>transport!J14</f>
        <v>0</v>
      </c>
      <c r="L20" s="712">
        <f>transport!K14</f>
        <v>0</v>
      </c>
      <c r="M20" s="712">
        <f>transport!L14</f>
        <v>0</v>
      </c>
      <c r="N20" s="712">
        <f>transport!M14</f>
        <v>3344.2263931164753</v>
      </c>
      <c r="O20" s="712">
        <f>transport!N14</f>
        <v>0</v>
      </c>
      <c r="P20" s="712">
        <f>transport!O14</f>
        <v>0</v>
      </c>
      <c r="Q20" s="713">
        <f>transport!P14</f>
        <v>0</v>
      </c>
      <c r="R20" s="715">
        <f>SUM(C20:Q20)</f>
        <v>60122.268195497396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31.883996163888884</v>
      </c>
      <c r="D22" s="837">
        <f t="shared" ref="D22:R22" si="1">SUM(D18:D21)</f>
        <v>0</v>
      </c>
      <c r="E22" s="837">
        <f t="shared" si="1"/>
        <v>145.66853534130334</v>
      </c>
      <c r="F22" s="837">
        <f t="shared" si="1"/>
        <v>110.16484980824306</v>
      </c>
      <c r="G22" s="837">
        <f t="shared" si="1"/>
        <v>0</v>
      </c>
      <c r="H22" s="837">
        <f t="shared" si="1"/>
        <v>46792.914629243001</v>
      </c>
      <c r="I22" s="837">
        <f t="shared" si="1"/>
        <v>10782.327261957344</v>
      </c>
      <c r="J22" s="837">
        <f t="shared" si="1"/>
        <v>0</v>
      </c>
      <c r="K22" s="837">
        <f t="shared" si="1"/>
        <v>0</v>
      </c>
      <c r="L22" s="837">
        <f t="shared" si="1"/>
        <v>0</v>
      </c>
      <c r="M22" s="837">
        <f t="shared" si="1"/>
        <v>0</v>
      </c>
      <c r="N22" s="837">
        <f t="shared" si="1"/>
        <v>3404.5262261459834</v>
      </c>
      <c r="O22" s="837">
        <f t="shared" si="1"/>
        <v>0</v>
      </c>
      <c r="P22" s="837">
        <f t="shared" si="1"/>
        <v>0</v>
      </c>
      <c r="Q22" s="837">
        <f t="shared" si="1"/>
        <v>0</v>
      </c>
      <c r="R22" s="837">
        <f t="shared" si="1"/>
        <v>61267.485498659764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9187.891282999999</v>
      </c>
      <c r="D24" s="712">
        <f>+landbouw!C8</f>
        <v>53158.928571428572</v>
      </c>
      <c r="E24" s="712">
        <f>+landbouw!D8</f>
        <v>7262.6378528077184</v>
      </c>
      <c r="F24" s="712">
        <f>+landbouw!E8</f>
        <v>286.75105714966395</v>
      </c>
      <c r="G24" s="712">
        <f>+landbouw!F8</f>
        <v>32471.025601261965</v>
      </c>
      <c r="H24" s="712">
        <f>+landbouw!G8</f>
        <v>0</v>
      </c>
      <c r="I24" s="712">
        <f>+landbouw!H8</f>
        <v>0</v>
      </c>
      <c r="J24" s="712">
        <f>+landbouw!I8</f>
        <v>0</v>
      </c>
      <c r="K24" s="712">
        <f>+landbouw!J8</f>
        <v>2531.3277659341315</v>
      </c>
      <c r="L24" s="712">
        <f>+landbouw!K8</f>
        <v>0</v>
      </c>
      <c r="M24" s="712">
        <f>+landbouw!L8</f>
        <v>0</v>
      </c>
      <c r="N24" s="712">
        <f>+landbouw!M8</f>
        <v>0</v>
      </c>
      <c r="O24" s="712">
        <f>+landbouw!N8</f>
        <v>0</v>
      </c>
      <c r="P24" s="712">
        <f>+landbouw!O8</f>
        <v>0</v>
      </c>
      <c r="Q24" s="713">
        <f>+landbouw!P8</f>
        <v>0</v>
      </c>
      <c r="R24" s="715">
        <f>SUM(C24:Q24)</f>
        <v>104898.56213158205</v>
      </c>
      <c r="S24" s="67"/>
    </row>
    <row r="25" spans="1:19" s="474" customFormat="1" ht="15" thickBot="1">
      <c r="A25" s="856" t="s">
        <v>734</v>
      </c>
      <c r="B25" s="982"/>
      <c r="C25" s="983">
        <f>IF(Onbekend_ele_kWh="---",0,Onbekend_ele_kWh)/1000+IF(REST_rest_ele_kWh="---",0,REST_rest_ele_kWh)/1000</f>
        <v>477.35535600000003</v>
      </c>
      <c r="D25" s="983"/>
      <c r="E25" s="983">
        <f>IF(onbekend_gas_kWh="---",0,onbekend_gas_kWh)/1000+IF(REST_rest_gas_kWh="---",0,REST_rest_gas_kWh)/1000</f>
        <v>926.31120099999998</v>
      </c>
      <c r="F25" s="983"/>
      <c r="G25" s="983"/>
      <c r="H25" s="983"/>
      <c r="I25" s="983"/>
      <c r="J25" s="983"/>
      <c r="K25" s="983"/>
      <c r="L25" s="983"/>
      <c r="M25" s="983"/>
      <c r="N25" s="983"/>
      <c r="O25" s="983"/>
      <c r="P25" s="983"/>
      <c r="Q25" s="984"/>
      <c r="R25" s="715">
        <f>SUM(C25:Q25)</f>
        <v>1403.666557</v>
      </c>
      <c r="S25" s="67"/>
    </row>
    <row r="26" spans="1:19" s="474" customFormat="1" ht="15.75" thickBot="1">
      <c r="A26" s="720" t="s">
        <v>735</v>
      </c>
      <c r="B26" s="842"/>
      <c r="C26" s="837">
        <f>SUM(C24:C25)</f>
        <v>9665.246638999999</v>
      </c>
      <c r="D26" s="837">
        <f t="shared" ref="D26:R26" si="2">SUM(D24:D25)</f>
        <v>53158.928571428572</v>
      </c>
      <c r="E26" s="837">
        <f t="shared" si="2"/>
        <v>8188.9490538077189</v>
      </c>
      <c r="F26" s="837">
        <f t="shared" si="2"/>
        <v>286.75105714966395</v>
      </c>
      <c r="G26" s="837">
        <f t="shared" si="2"/>
        <v>32471.025601261965</v>
      </c>
      <c r="H26" s="837">
        <f t="shared" si="2"/>
        <v>0</v>
      </c>
      <c r="I26" s="837">
        <f t="shared" si="2"/>
        <v>0</v>
      </c>
      <c r="J26" s="837">
        <f t="shared" si="2"/>
        <v>0</v>
      </c>
      <c r="K26" s="837">
        <f t="shared" si="2"/>
        <v>2531.3277659341315</v>
      </c>
      <c r="L26" s="837">
        <f t="shared" si="2"/>
        <v>0</v>
      </c>
      <c r="M26" s="837">
        <f t="shared" si="2"/>
        <v>0</v>
      </c>
      <c r="N26" s="837">
        <f t="shared" si="2"/>
        <v>0</v>
      </c>
      <c r="O26" s="837">
        <f t="shared" si="2"/>
        <v>0</v>
      </c>
      <c r="P26" s="837">
        <f t="shared" si="2"/>
        <v>0</v>
      </c>
      <c r="Q26" s="837">
        <f t="shared" si="2"/>
        <v>0</v>
      </c>
      <c r="R26" s="837">
        <f t="shared" si="2"/>
        <v>106302.22868858205</v>
      </c>
      <c r="S26" s="67"/>
    </row>
    <row r="27" spans="1:19" s="474" customFormat="1" ht="17.25" thickTop="1" thickBot="1">
      <c r="A27" s="721" t="s">
        <v>115</v>
      </c>
      <c r="B27" s="829"/>
      <c r="C27" s="722">
        <f ca="1">C22+C16+C26</f>
        <v>199740.42416185385</v>
      </c>
      <c r="D27" s="722">
        <f t="shared" ref="D27:R27" ca="1" si="3">D22+D16+D26</f>
        <v>55029.642857142855</v>
      </c>
      <c r="E27" s="722">
        <f t="shared" ca="1" si="3"/>
        <v>155796.12828188701</v>
      </c>
      <c r="F27" s="722">
        <f t="shared" si="3"/>
        <v>17752.727354721115</v>
      </c>
      <c r="G27" s="722">
        <f t="shared" ca="1" si="3"/>
        <v>59784.110317168474</v>
      </c>
      <c r="H27" s="722">
        <f t="shared" si="3"/>
        <v>46792.914629243001</v>
      </c>
      <c r="I27" s="722">
        <f t="shared" si="3"/>
        <v>10782.327261957344</v>
      </c>
      <c r="J27" s="722">
        <f t="shared" si="3"/>
        <v>0</v>
      </c>
      <c r="K27" s="722">
        <f t="shared" si="3"/>
        <v>3874.2158313756472</v>
      </c>
      <c r="L27" s="722">
        <f t="shared" si="3"/>
        <v>0</v>
      </c>
      <c r="M27" s="722">
        <f t="shared" ca="1" si="3"/>
        <v>0</v>
      </c>
      <c r="N27" s="722">
        <f t="shared" si="3"/>
        <v>3404.5262261459834</v>
      </c>
      <c r="O27" s="722">
        <f t="shared" ca="1" si="3"/>
        <v>26539.573897375027</v>
      </c>
      <c r="P27" s="722">
        <f t="shared" si="3"/>
        <v>619.67376964531536</v>
      </c>
      <c r="Q27" s="722">
        <f t="shared" si="3"/>
        <v>421.09705584354072</v>
      </c>
      <c r="R27" s="722">
        <f t="shared" ca="1" si="3"/>
        <v>580537.36164435919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2161.1759575700344</v>
      </c>
      <c r="D40" s="712">
        <f ca="1">tertiair!C20</f>
        <v>0</v>
      </c>
      <c r="E40" s="712">
        <f ca="1">tertiair!D20</f>
        <v>6676.5428690209919</v>
      </c>
      <c r="F40" s="712">
        <f>tertiair!E20</f>
        <v>32.56280951025979</v>
      </c>
      <c r="G40" s="712">
        <f ca="1">tertiair!F20</f>
        <v>297.62323455001359</v>
      </c>
      <c r="H40" s="712">
        <f>tertiair!G20</f>
        <v>0</v>
      </c>
      <c r="I40" s="712">
        <f>tertiair!H20</f>
        <v>0</v>
      </c>
      <c r="J40" s="712">
        <f>tertiair!I20</f>
        <v>0</v>
      </c>
      <c r="K40" s="712">
        <f>tertiair!J20</f>
        <v>1.3312012931238603E-2</v>
      </c>
      <c r="L40" s="712">
        <f>tertiair!K20</f>
        <v>0</v>
      </c>
      <c r="M40" s="712">
        <f ca="1">tertiair!L20</f>
        <v>0</v>
      </c>
      <c r="N40" s="712">
        <f>tertiair!M20</f>
        <v>0</v>
      </c>
      <c r="O40" s="712">
        <f ca="1">tertiair!N20</f>
        <v>0</v>
      </c>
      <c r="P40" s="712">
        <f>tertiair!O20</f>
        <v>0</v>
      </c>
      <c r="Q40" s="795">
        <f>tertiair!P20</f>
        <v>0</v>
      </c>
      <c r="R40" s="875">
        <f t="shared" ca="1" si="4"/>
        <v>9167.9181826642325</v>
      </c>
    </row>
    <row r="41" spans="1:18">
      <c r="A41" s="847" t="s">
        <v>224</v>
      </c>
      <c r="B41" s="854"/>
      <c r="C41" s="712">
        <f ca="1">huishoudens!B12</f>
        <v>3968.5876611874937</v>
      </c>
      <c r="D41" s="712">
        <f ca="1">huishoudens!C12</f>
        <v>0</v>
      </c>
      <c r="E41" s="712">
        <f>huishoudens!D12</f>
        <v>6687.3112150653624</v>
      </c>
      <c r="F41" s="712">
        <f>huishoudens!E12</f>
        <v>3619.4412739889844</v>
      </c>
      <c r="G41" s="712">
        <f>huishoudens!F12</f>
        <v>3949.8699185534952</v>
      </c>
      <c r="H41" s="712">
        <f>huishoudens!G12</f>
        <v>0</v>
      </c>
      <c r="I41" s="712">
        <f>huishoudens!H12</f>
        <v>0</v>
      </c>
      <c r="J41" s="712">
        <f>huishoudens!I12</f>
        <v>0</v>
      </c>
      <c r="K41" s="712">
        <f>huishoudens!J12</f>
        <v>462.40218420982859</v>
      </c>
      <c r="L41" s="712">
        <f>huishoudens!K12</f>
        <v>0</v>
      </c>
      <c r="M41" s="712">
        <f>huishoudens!L12</f>
        <v>0</v>
      </c>
      <c r="N41" s="712">
        <f>huishoudens!M12</f>
        <v>0</v>
      </c>
      <c r="O41" s="712">
        <f>huishoudens!N12</f>
        <v>0</v>
      </c>
      <c r="P41" s="712">
        <f>huishoudens!O12</f>
        <v>0</v>
      </c>
      <c r="Q41" s="795">
        <f>huishoudens!P12</f>
        <v>0</v>
      </c>
      <c r="R41" s="875">
        <f t="shared" ca="1" si="4"/>
        <v>18687.612253005165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34074.229974978538</v>
      </c>
      <c r="D43" s="712">
        <f ca="1">industrie!C22</f>
        <v>416.55746529876927</v>
      </c>
      <c r="E43" s="712">
        <f>industrie!D22</f>
        <v>16423.371075846728</v>
      </c>
      <c r="F43" s="712">
        <f>industrie!E22</f>
        <v>287.76511514300472</v>
      </c>
      <c r="G43" s="712">
        <f>industrie!F22</f>
        <v>3045.1004660435287</v>
      </c>
      <c r="H43" s="712">
        <f>industrie!G22</f>
        <v>0</v>
      </c>
      <c r="I43" s="712">
        <f>industrie!H22</f>
        <v>0</v>
      </c>
      <c r="J43" s="712">
        <f>industrie!I22</f>
        <v>0</v>
      </c>
      <c r="K43" s="712">
        <f>industrie!J22</f>
        <v>12.966878943536731</v>
      </c>
      <c r="L43" s="712">
        <f>industrie!K22</f>
        <v>0</v>
      </c>
      <c r="M43" s="712">
        <f>industrie!L22</f>
        <v>0</v>
      </c>
      <c r="N43" s="712">
        <f>industrie!M22</f>
        <v>0</v>
      </c>
      <c r="O43" s="712">
        <f>industrie!N22</f>
        <v>0</v>
      </c>
      <c r="P43" s="712">
        <f>industrie!O22</f>
        <v>0</v>
      </c>
      <c r="Q43" s="795">
        <f>industrie!P22</f>
        <v>0</v>
      </c>
      <c r="R43" s="874">
        <f t="shared" ca="1" si="4"/>
        <v>54259.990976254106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40203.993593736064</v>
      </c>
      <c r="D46" s="748">
        <f t="shared" ref="D46:Q46" ca="1" si="5">SUM(D39:D45)</f>
        <v>416.55746529876927</v>
      </c>
      <c r="E46" s="748">
        <f t="shared" ca="1" si="5"/>
        <v>29787.225159933081</v>
      </c>
      <c r="F46" s="748">
        <f t="shared" si="5"/>
        <v>3939.7691986422487</v>
      </c>
      <c r="G46" s="748">
        <f t="shared" ca="1" si="5"/>
        <v>7292.5936191470373</v>
      </c>
      <c r="H46" s="748">
        <f t="shared" si="5"/>
        <v>0</v>
      </c>
      <c r="I46" s="748">
        <f t="shared" si="5"/>
        <v>0</v>
      </c>
      <c r="J46" s="748">
        <f t="shared" si="5"/>
        <v>0</v>
      </c>
      <c r="K46" s="748">
        <f t="shared" si="5"/>
        <v>475.38237516629658</v>
      </c>
      <c r="L46" s="748">
        <f t="shared" si="5"/>
        <v>0</v>
      </c>
      <c r="M46" s="748">
        <f t="shared" ca="1" si="5"/>
        <v>0</v>
      </c>
      <c r="N46" s="748">
        <f t="shared" si="5"/>
        <v>0</v>
      </c>
      <c r="O46" s="748">
        <f t="shared" ca="1" si="5"/>
        <v>0</v>
      </c>
      <c r="P46" s="748">
        <f t="shared" si="5"/>
        <v>0</v>
      </c>
      <c r="Q46" s="748">
        <f t="shared" si="5"/>
        <v>0</v>
      </c>
      <c r="R46" s="748">
        <f ca="1">SUM(R39:R45)</f>
        <v>82115.521411923502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289.6729645254739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289.6729645254739</v>
      </c>
    </row>
    <row r="50" spans="1:18">
      <c r="A50" s="850" t="s">
        <v>306</v>
      </c>
      <c r="B50" s="860"/>
      <c r="C50" s="718">
        <f ca="1">transport!B18</f>
        <v>6.7451155667098934</v>
      </c>
      <c r="D50" s="718">
        <f>transport!C18</f>
        <v>0</v>
      </c>
      <c r="E50" s="718">
        <f>transport!D18</f>
        <v>29.425044138943278</v>
      </c>
      <c r="F50" s="718">
        <f>transport!E18</f>
        <v>25.007420906471175</v>
      </c>
      <c r="G50" s="718">
        <f>transport!F18</f>
        <v>0</v>
      </c>
      <c r="H50" s="718">
        <f>transport!G18</f>
        <v>12204.035241482408</v>
      </c>
      <c r="I50" s="718">
        <f>transport!H18</f>
        <v>2684.7994882273783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14950.01231032191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6.7451155667098934</v>
      </c>
      <c r="D52" s="748">
        <f t="shared" ref="D52:Q52" ca="1" si="6">SUM(D48:D51)</f>
        <v>0</v>
      </c>
      <c r="E52" s="748">
        <f t="shared" si="6"/>
        <v>29.425044138943278</v>
      </c>
      <c r="F52" s="748">
        <f t="shared" si="6"/>
        <v>25.007420906471175</v>
      </c>
      <c r="G52" s="748">
        <f t="shared" si="6"/>
        <v>0</v>
      </c>
      <c r="H52" s="748">
        <f t="shared" si="6"/>
        <v>12493.708206007883</v>
      </c>
      <c r="I52" s="748">
        <f t="shared" si="6"/>
        <v>2684.7994882273783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15239.685274847385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1943.7145895905962</v>
      </c>
      <c r="D54" s="718">
        <f ca="1">+landbouw!C12</f>
        <v>11837.055349827284</v>
      </c>
      <c r="E54" s="718">
        <f>+landbouw!D12</f>
        <v>1467.0528462671591</v>
      </c>
      <c r="F54" s="718">
        <f>+landbouw!E12</f>
        <v>65.092489972973723</v>
      </c>
      <c r="G54" s="718">
        <f>+landbouw!F12</f>
        <v>8669.7638355369454</v>
      </c>
      <c r="H54" s="718">
        <f>+landbouw!G12</f>
        <v>0</v>
      </c>
      <c r="I54" s="718">
        <f>+landbouw!H12</f>
        <v>0</v>
      </c>
      <c r="J54" s="718">
        <f>+landbouw!I12</f>
        <v>0</v>
      </c>
      <c r="K54" s="718">
        <f>+landbouw!J12</f>
        <v>896.09002914068253</v>
      </c>
      <c r="L54" s="718">
        <f>+landbouw!K12</f>
        <v>0</v>
      </c>
      <c r="M54" s="718">
        <f>+landbouw!L12</f>
        <v>0</v>
      </c>
      <c r="N54" s="718">
        <f>+landbouw!M12</f>
        <v>0</v>
      </c>
      <c r="O54" s="718">
        <f>+landbouw!N12</f>
        <v>0</v>
      </c>
      <c r="P54" s="718">
        <f>+landbouw!O12</f>
        <v>0</v>
      </c>
      <c r="Q54" s="719">
        <f>+landbouw!P12</f>
        <v>0</v>
      </c>
      <c r="R54" s="747">
        <f ca="1">SUM(C54:Q54)</f>
        <v>24878.76914033564</v>
      </c>
    </row>
    <row r="55" spans="1:18" ht="15" thickBot="1">
      <c r="A55" s="850" t="s">
        <v>734</v>
      </c>
      <c r="B55" s="860"/>
      <c r="C55" s="718">
        <f ca="1">C25*'EF ele_warmte'!B12</f>
        <v>100.98536664154531</v>
      </c>
      <c r="D55" s="718"/>
      <c r="E55" s="718">
        <f>E25*EF_CO2_aardgas</f>
        <v>187.11486260200002</v>
      </c>
      <c r="F55" s="718"/>
      <c r="G55" s="718"/>
      <c r="H55" s="718"/>
      <c r="I55" s="718"/>
      <c r="J55" s="718"/>
      <c r="K55" s="718"/>
      <c r="L55" s="718"/>
      <c r="M55" s="718"/>
      <c r="N55" s="718"/>
      <c r="O55" s="718"/>
      <c r="P55" s="718"/>
      <c r="Q55" s="719"/>
      <c r="R55" s="747">
        <f ca="1">SUM(C55:Q55)</f>
        <v>288.1002292435453</v>
      </c>
    </row>
    <row r="56" spans="1:18" ht="15.75" thickBot="1">
      <c r="A56" s="848" t="s">
        <v>735</v>
      </c>
      <c r="B56" s="861"/>
      <c r="C56" s="748">
        <f ca="1">SUM(C54:C55)</f>
        <v>2044.6999562321416</v>
      </c>
      <c r="D56" s="748">
        <f t="shared" ref="D56:Q56" ca="1" si="7">SUM(D54:D55)</f>
        <v>11837.055349827284</v>
      </c>
      <c r="E56" s="748">
        <f t="shared" si="7"/>
        <v>1654.167708869159</v>
      </c>
      <c r="F56" s="748">
        <f t="shared" si="7"/>
        <v>65.092489972973723</v>
      </c>
      <c r="G56" s="748">
        <f t="shared" si="7"/>
        <v>8669.7638355369454</v>
      </c>
      <c r="H56" s="748">
        <f t="shared" si="7"/>
        <v>0</v>
      </c>
      <c r="I56" s="748">
        <f t="shared" si="7"/>
        <v>0</v>
      </c>
      <c r="J56" s="748">
        <f t="shared" si="7"/>
        <v>0</v>
      </c>
      <c r="K56" s="748">
        <f t="shared" si="7"/>
        <v>896.09002914068253</v>
      </c>
      <c r="L56" s="748">
        <f t="shared" si="7"/>
        <v>0</v>
      </c>
      <c r="M56" s="748">
        <f t="shared" si="7"/>
        <v>0</v>
      </c>
      <c r="N56" s="748">
        <f t="shared" si="7"/>
        <v>0</v>
      </c>
      <c r="O56" s="748">
        <f t="shared" si="7"/>
        <v>0</v>
      </c>
      <c r="P56" s="748">
        <f t="shared" si="7"/>
        <v>0</v>
      </c>
      <c r="Q56" s="749">
        <f t="shared" si="7"/>
        <v>0</v>
      </c>
      <c r="R56" s="750">
        <f ca="1">SUM(R54:R55)</f>
        <v>25166.869369579184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42255.438665534915</v>
      </c>
      <c r="D61" s="756">
        <f t="shared" ref="D61:Q61" ca="1" si="8">D46+D52+D56</f>
        <v>12253.612815126053</v>
      </c>
      <c r="E61" s="756">
        <f t="shared" ca="1" si="8"/>
        <v>31470.817912941184</v>
      </c>
      <c r="F61" s="756">
        <f t="shared" si="8"/>
        <v>4029.8691095216936</v>
      </c>
      <c r="G61" s="756">
        <f t="shared" ca="1" si="8"/>
        <v>15962.357454683983</v>
      </c>
      <c r="H61" s="756">
        <f t="shared" si="8"/>
        <v>12493.708206007883</v>
      </c>
      <c r="I61" s="756">
        <f t="shared" si="8"/>
        <v>2684.7994882273783</v>
      </c>
      <c r="J61" s="756">
        <f t="shared" si="8"/>
        <v>0</v>
      </c>
      <c r="K61" s="756">
        <f t="shared" si="8"/>
        <v>1371.4724043069791</v>
      </c>
      <c r="L61" s="756">
        <f t="shared" si="8"/>
        <v>0</v>
      </c>
      <c r="M61" s="756">
        <f t="shared" ca="1" si="8"/>
        <v>0</v>
      </c>
      <c r="N61" s="756">
        <f t="shared" si="8"/>
        <v>0</v>
      </c>
      <c r="O61" s="756">
        <f t="shared" ca="1" si="8"/>
        <v>0</v>
      </c>
      <c r="P61" s="756">
        <f t="shared" si="8"/>
        <v>0</v>
      </c>
      <c r="Q61" s="756">
        <f t="shared" si="8"/>
        <v>0</v>
      </c>
      <c r="R61" s="756">
        <f ca="1">R46+R52+R56</f>
        <v>122522.07605635008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0.21155176195728137</v>
      </c>
      <c r="D63" s="802">
        <f t="shared" ca="1" si="9"/>
        <v>0.22267294823149178</v>
      </c>
      <c r="E63" s="1008">
        <f t="shared" ca="1" si="9"/>
        <v>0.20200000000000004</v>
      </c>
      <c r="F63" s="802">
        <f t="shared" si="9"/>
        <v>0.22700000000000004</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8830.9425105114315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1348.6308006196016</v>
      </c>
      <c r="C76" s="769">
        <f>'lokale energieproductie'!B8*IFERROR(SUM(D76:H76)/SUM(D76:O76),0)</f>
        <v>37172.119199380395</v>
      </c>
      <c r="D76" s="991">
        <f>'lokale energieproductie'!C8</f>
        <v>42463.014705882357</v>
      </c>
      <c r="E76" s="992">
        <f>'lokale energieproductie'!D8</f>
        <v>0</v>
      </c>
      <c r="F76" s="992">
        <f>'lokale energieproductie'!E8</f>
        <v>0</v>
      </c>
      <c r="G76" s="992">
        <f>'lokale energieproductie'!F8</f>
        <v>0</v>
      </c>
      <c r="H76" s="992">
        <f>'lokale energieproductie'!G8</f>
        <v>0</v>
      </c>
      <c r="I76" s="992">
        <f>'lokale energieproductie'!I8</f>
        <v>0</v>
      </c>
      <c r="J76" s="992">
        <f>'lokale energieproductie'!J8</f>
        <v>1540.5882352941178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8577.5289705882369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10179.573311131033</v>
      </c>
      <c r="C78" s="774">
        <f>SUM(C72:C77)</f>
        <v>37172.119199380395</v>
      </c>
      <c r="D78" s="775">
        <f t="shared" ref="D78:H78" si="10">SUM(D76:D77)</f>
        <v>42463.014705882357</v>
      </c>
      <c r="E78" s="775">
        <f t="shared" si="10"/>
        <v>0</v>
      </c>
      <c r="F78" s="775">
        <f t="shared" si="10"/>
        <v>0</v>
      </c>
      <c r="G78" s="775">
        <f t="shared" si="10"/>
        <v>0</v>
      </c>
      <c r="H78" s="775">
        <f t="shared" si="10"/>
        <v>0</v>
      </c>
      <c r="I78" s="775">
        <f>SUM(I76:I77)</f>
        <v>0</v>
      </c>
      <c r="J78" s="775">
        <f>SUM(J76:J77)</f>
        <v>1540.5882352941178</v>
      </c>
      <c r="K78" s="775">
        <f t="shared" ref="K78:L78" si="11">SUM(K76:K77)</f>
        <v>0</v>
      </c>
      <c r="L78" s="775">
        <f t="shared" si="11"/>
        <v>0</v>
      </c>
      <c r="M78" s="775">
        <f>SUM(M76:M77)</f>
        <v>0</v>
      </c>
      <c r="N78" s="775">
        <f>SUM(N76:N77)</f>
        <v>0</v>
      </c>
      <c r="O78" s="885">
        <f>SUM(O76:O77)</f>
        <v>0</v>
      </c>
      <c r="P78" s="776">
        <v>0</v>
      </c>
      <c r="Q78" s="776">
        <f>SUM(Q76:Q77)</f>
        <v>8577.5289705882369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1926.6154294565736</v>
      </c>
      <c r="C87" s="787">
        <f>'lokale energieproductie'!B17*IFERROR(SUM(D87:H87)/SUM(D87:O87),0)</f>
        <v>53103.027427686284</v>
      </c>
      <c r="D87" s="798">
        <f>'lokale energieproductie'!C17</f>
        <v>60661.44957983194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2200.840336134454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12253.612815126053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1926.6154294565736</v>
      </c>
      <c r="C90" s="774">
        <f>SUM(C87:C89)</f>
        <v>53103.027427686284</v>
      </c>
      <c r="D90" s="774">
        <f t="shared" ref="D90:H90" si="12">SUM(D87:D89)</f>
        <v>60661.44957983194</v>
      </c>
      <c r="E90" s="774">
        <f t="shared" si="12"/>
        <v>0</v>
      </c>
      <c r="F90" s="774">
        <f t="shared" si="12"/>
        <v>0</v>
      </c>
      <c r="G90" s="774">
        <f t="shared" si="12"/>
        <v>0</v>
      </c>
      <c r="H90" s="774">
        <f t="shared" si="12"/>
        <v>0</v>
      </c>
      <c r="I90" s="774">
        <f>SUM(I87:I89)</f>
        <v>0</v>
      </c>
      <c r="J90" s="774">
        <f>SUM(J87:J89)</f>
        <v>2200.840336134454</v>
      </c>
      <c r="K90" s="774">
        <f t="shared" ref="K90:L90" si="13">SUM(K87:K89)</f>
        <v>0</v>
      </c>
      <c r="L90" s="774">
        <f t="shared" si="13"/>
        <v>0</v>
      </c>
      <c r="M90" s="774">
        <f>SUM(M87:M89)</f>
        <v>0</v>
      </c>
      <c r="N90" s="774">
        <f>SUM(N87:N89)</f>
        <v>0</v>
      </c>
      <c r="O90" s="774">
        <f>SUM(O87:O89)</f>
        <v>0</v>
      </c>
      <c r="P90" s="774">
        <v>0</v>
      </c>
      <c r="Q90" s="774">
        <f>SUM(Q87:Q89)</f>
        <v>12253.612815126053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18759.416723689923</v>
      </c>
      <c r="C4" s="478">
        <f>huishoudens!C8</f>
        <v>0</v>
      </c>
      <c r="D4" s="478">
        <f>huishoudens!D8</f>
        <v>33105.501064680007</v>
      </c>
      <c r="E4" s="478">
        <f>huishoudens!E8</f>
        <v>15944.675215810503</v>
      </c>
      <c r="F4" s="478">
        <f>huishoudens!F8</f>
        <v>14793.520294207847</v>
      </c>
      <c r="G4" s="478">
        <f>huishoudens!G8</f>
        <v>0</v>
      </c>
      <c r="H4" s="478">
        <f>huishoudens!H8</f>
        <v>0</v>
      </c>
      <c r="I4" s="478">
        <f>huishoudens!I8</f>
        <v>0</v>
      </c>
      <c r="J4" s="478">
        <f>huishoudens!J8</f>
        <v>1306.2208593497983</v>
      </c>
      <c r="K4" s="478">
        <f>huishoudens!K8</f>
        <v>0</v>
      </c>
      <c r="L4" s="478">
        <f>huishoudens!L8</f>
        <v>0</v>
      </c>
      <c r="M4" s="478">
        <f>huishoudens!M8</f>
        <v>0</v>
      </c>
      <c r="N4" s="478">
        <f>huishoudens!N8</f>
        <v>19615.756097111909</v>
      </c>
      <c r="O4" s="478">
        <f>huishoudens!O8</f>
        <v>595.18746581610958</v>
      </c>
      <c r="P4" s="479">
        <f>huishoudens!P8</f>
        <v>316.01877923055071</v>
      </c>
      <c r="Q4" s="480">
        <f>SUM(B4:P4)</f>
        <v>104436.29649989665</v>
      </c>
    </row>
    <row r="5" spans="1:17">
      <c r="A5" s="477" t="s">
        <v>155</v>
      </c>
      <c r="B5" s="478">
        <f ca="1">tertiair!B16</f>
        <v>9533.1898459999993</v>
      </c>
      <c r="C5" s="478">
        <f ca="1">tertiair!C16</f>
        <v>0</v>
      </c>
      <c r="D5" s="478">
        <f ca="1">tertiair!D16</f>
        <v>33052.192420895997</v>
      </c>
      <c r="E5" s="478">
        <f>tertiair!E16</f>
        <v>143.44850004519731</v>
      </c>
      <c r="F5" s="478">
        <f ca="1">tertiair!F16</f>
        <v>1114.6937623596014</v>
      </c>
      <c r="G5" s="478">
        <f>tertiair!G16</f>
        <v>0</v>
      </c>
      <c r="H5" s="478">
        <f>tertiair!H16</f>
        <v>0</v>
      </c>
      <c r="I5" s="478">
        <f>tertiair!I16</f>
        <v>0</v>
      </c>
      <c r="J5" s="478">
        <f>tertiair!J16</f>
        <v>3.7604556302933911E-2</v>
      </c>
      <c r="K5" s="478">
        <f>tertiair!K16</f>
        <v>0</v>
      </c>
      <c r="L5" s="478">
        <f ca="1">tertiair!L16</f>
        <v>0</v>
      </c>
      <c r="M5" s="478">
        <f>tertiair!M16</f>
        <v>0</v>
      </c>
      <c r="N5" s="478">
        <f ca="1">tertiair!N16</f>
        <v>1470.4527155277242</v>
      </c>
      <c r="O5" s="478">
        <f>tertiair!O16</f>
        <v>24.486303829205774</v>
      </c>
      <c r="P5" s="479">
        <f>tertiair!P16</f>
        <v>105.07827661299004</v>
      </c>
      <c r="Q5" s="477">
        <f t="shared" ref="Q5:Q14" ca="1" si="0">SUM(B5:P5)</f>
        <v>45443.579429827019</v>
      </c>
    </row>
    <row r="6" spans="1:17">
      <c r="A6" s="477" t="s">
        <v>193</v>
      </c>
      <c r="B6" s="478">
        <f>'openbare verlichting'!B8</f>
        <v>682.63599999999997</v>
      </c>
      <c r="C6" s="478"/>
      <c r="D6" s="478"/>
      <c r="E6" s="478"/>
      <c r="F6" s="478"/>
      <c r="G6" s="478"/>
      <c r="H6" s="478"/>
      <c r="I6" s="478"/>
      <c r="J6" s="478"/>
      <c r="K6" s="478"/>
      <c r="L6" s="478"/>
      <c r="M6" s="478"/>
      <c r="N6" s="478"/>
      <c r="O6" s="478"/>
      <c r="P6" s="479"/>
      <c r="Q6" s="477">
        <f t="shared" si="0"/>
        <v>682.63599999999997</v>
      </c>
    </row>
    <row r="7" spans="1:17">
      <c r="A7" s="477" t="s">
        <v>111</v>
      </c>
      <c r="B7" s="478">
        <f>landbouw!B8</f>
        <v>9187.891282999999</v>
      </c>
      <c r="C7" s="478">
        <f>landbouw!C8</f>
        <v>53158.928571428572</v>
      </c>
      <c r="D7" s="478">
        <f>landbouw!D8</f>
        <v>7262.6378528077184</v>
      </c>
      <c r="E7" s="478">
        <f>landbouw!E8</f>
        <v>286.75105714966395</v>
      </c>
      <c r="F7" s="478">
        <f>landbouw!F8</f>
        <v>32471.025601261965</v>
      </c>
      <c r="G7" s="478">
        <f>landbouw!G8</f>
        <v>0</v>
      </c>
      <c r="H7" s="478">
        <f>landbouw!H8</f>
        <v>0</v>
      </c>
      <c r="I7" s="478">
        <f>landbouw!I8</f>
        <v>0</v>
      </c>
      <c r="J7" s="478">
        <f>landbouw!J8</f>
        <v>2531.3277659341315</v>
      </c>
      <c r="K7" s="478">
        <f>landbouw!K8</f>
        <v>0</v>
      </c>
      <c r="L7" s="478">
        <f>landbouw!L8</f>
        <v>0</v>
      </c>
      <c r="M7" s="478">
        <f>landbouw!M8</f>
        <v>0</v>
      </c>
      <c r="N7" s="478">
        <f>landbouw!N8</f>
        <v>0</v>
      </c>
      <c r="O7" s="478">
        <f>landbouw!O8</f>
        <v>0</v>
      </c>
      <c r="P7" s="479">
        <f>landbouw!P8</f>
        <v>0</v>
      </c>
      <c r="Q7" s="477">
        <f t="shared" si="0"/>
        <v>104898.56213158205</v>
      </c>
    </row>
    <row r="8" spans="1:17">
      <c r="A8" s="477" t="s">
        <v>629</v>
      </c>
      <c r="B8" s="478">
        <f>industrie!B18</f>
        <v>161068.05095700003</v>
      </c>
      <c r="C8" s="478">
        <f>industrie!C18</f>
        <v>1870.7142857142858</v>
      </c>
      <c r="D8" s="478">
        <f>industrie!D18</f>
        <v>81303.817207162007</v>
      </c>
      <c r="E8" s="478">
        <f>industrie!E18</f>
        <v>1267.6877319075097</v>
      </c>
      <c r="F8" s="478">
        <f>industrie!F18</f>
        <v>11404.870659339058</v>
      </c>
      <c r="G8" s="478">
        <f>industrie!G18</f>
        <v>0</v>
      </c>
      <c r="H8" s="478">
        <f>industrie!H18</f>
        <v>0</v>
      </c>
      <c r="I8" s="478">
        <f>industrie!I18</f>
        <v>0</v>
      </c>
      <c r="J8" s="478">
        <f>industrie!J18</f>
        <v>36.629601535414494</v>
      </c>
      <c r="K8" s="478">
        <f>industrie!K18</f>
        <v>0</v>
      </c>
      <c r="L8" s="478">
        <f>industrie!L18</f>
        <v>0</v>
      </c>
      <c r="M8" s="478">
        <f>industrie!M18</f>
        <v>0</v>
      </c>
      <c r="N8" s="478">
        <f>industrie!N18</f>
        <v>5453.3650847353938</v>
      </c>
      <c r="O8" s="478">
        <f>industrie!O18</f>
        <v>0</v>
      </c>
      <c r="P8" s="479">
        <f>industrie!P18</f>
        <v>0</v>
      </c>
      <c r="Q8" s="477">
        <f t="shared" si="0"/>
        <v>262405.13552739372</v>
      </c>
    </row>
    <row r="9" spans="1:17" s="483" customFormat="1">
      <c r="A9" s="481" t="s">
        <v>555</v>
      </c>
      <c r="B9" s="482">
        <f>transport!B14</f>
        <v>31.883996163888884</v>
      </c>
      <c r="C9" s="482">
        <f>transport!C14</f>
        <v>0</v>
      </c>
      <c r="D9" s="482">
        <f>transport!D14</f>
        <v>145.66853534130334</v>
      </c>
      <c r="E9" s="482">
        <f>transport!E14</f>
        <v>110.16484980824306</v>
      </c>
      <c r="F9" s="482">
        <f>transport!F14</f>
        <v>0</v>
      </c>
      <c r="G9" s="482">
        <f>transport!G14</f>
        <v>45707.997159110142</v>
      </c>
      <c r="H9" s="482">
        <f>transport!H14</f>
        <v>10782.327261957344</v>
      </c>
      <c r="I9" s="482">
        <f>transport!I14</f>
        <v>0</v>
      </c>
      <c r="J9" s="482">
        <f>transport!J14</f>
        <v>0</v>
      </c>
      <c r="K9" s="482">
        <f>transport!K14</f>
        <v>0</v>
      </c>
      <c r="L9" s="482">
        <f>transport!L14</f>
        <v>0</v>
      </c>
      <c r="M9" s="482">
        <f>transport!M14</f>
        <v>3344.2263931164753</v>
      </c>
      <c r="N9" s="482">
        <f>transport!N14</f>
        <v>0</v>
      </c>
      <c r="O9" s="482">
        <f>transport!O14</f>
        <v>0</v>
      </c>
      <c r="P9" s="482">
        <f>transport!P14</f>
        <v>0</v>
      </c>
      <c r="Q9" s="481">
        <f>SUM(B9:P9)</f>
        <v>60122.268195497396</v>
      </c>
    </row>
    <row r="10" spans="1:17">
      <c r="A10" s="477" t="s">
        <v>545</v>
      </c>
      <c r="B10" s="478">
        <f>transport!B54</f>
        <v>0</v>
      </c>
      <c r="C10" s="478">
        <f>transport!C54</f>
        <v>0</v>
      </c>
      <c r="D10" s="478">
        <f>transport!D54</f>
        <v>0</v>
      </c>
      <c r="E10" s="478">
        <f>transport!E54</f>
        <v>0</v>
      </c>
      <c r="F10" s="478">
        <f>transport!F54</f>
        <v>0</v>
      </c>
      <c r="G10" s="478">
        <f>transport!G54</f>
        <v>1084.9174701328609</v>
      </c>
      <c r="H10" s="478">
        <f>transport!H54</f>
        <v>0</v>
      </c>
      <c r="I10" s="478">
        <f>transport!I54</f>
        <v>0</v>
      </c>
      <c r="J10" s="478">
        <f>transport!J54</f>
        <v>0</v>
      </c>
      <c r="K10" s="478">
        <f>transport!K54</f>
        <v>0</v>
      </c>
      <c r="L10" s="478">
        <f>transport!L54</f>
        <v>0</v>
      </c>
      <c r="M10" s="478">
        <f>transport!M54</f>
        <v>60.2998330295081</v>
      </c>
      <c r="N10" s="478">
        <f>transport!N54</f>
        <v>0</v>
      </c>
      <c r="O10" s="478">
        <f>transport!O54</f>
        <v>0</v>
      </c>
      <c r="P10" s="479">
        <f>transport!P54</f>
        <v>0</v>
      </c>
      <c r="Q10" s="477">
        <f t="shared" si="0"/>
        <v>1145.217303162369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477.35535600000003</v>
      </c>
      <c r="C14" s="485"/>
      <c r="D14" s="485">
        <f>'SEAP template'!E25</f>
        <v>926.31120099999998</v>
      </c>
      <c r="E14" s="485"/>
      <c r="F14" s="485"/>
      <c r="G14" s="485"/>
      <c r="H14" s="485"/>
      <c r="I14" s="485"/>
      <c r="J14" s="485"/>
      <c r="K14" s="485"/>
      <c r="L14" s="485"/>
      <c r="M14" s="485"/>
      <c r="N14" s="485"/>
      <c r="O14" s="485"/>
      <c r="P14" s="486"/>
      <c r="Q14" s="477">
        <f t="shared" si="0"/>
        <v>1403.666557</v>
      </c>
    </row>
    <row r="15" spans="1:17" s="489" customFormat="1">
      <c r="A15" s="487" t="s">
        <v>549</v>
      </c>
      <c r="B15" s="488">
        <f ca="1">SUM(B4:B14)</f>
        <v>199740.42416185385</v>
      </c>
      <c r="C15" s="488">
        <f t="shared" ref="C15:Q15" ca="1" si="1">SUM(C4:C14)</f>
        <v>55029.642857142855</v>
      </c>
      <c r="D15" s="488">
        <f t="shared" ca="1" si="1"/>
        <v>155796.12828188704</v>
      </c>
      <c r="E15" s="488">
        <f t="shared" si="1"/>
        <v>17752.727354721115</v>
      </c>
      <c r="F15" s="488">
        <f t="shared" ca="1" si="1"/>
        <v>59784.110317168474</v>
      </c>
      <c r="G15" s="488">
        <f t="shared" si="1"/>
        <v>46792.914629243001</v>
      </c>
      <c r="H15" s="488">
        <f t="shared" si="1"/>
        <v>10782.327261957344</v>
      </c>
      <c r="I15" s="488">
        <f t="shared" si="1"/>
        <v>0</v>
      </c>
      <c r="J15" s="488">
        <f t="shared" si="1"/>
        <v>3874.2158313756472</v>
      </c>
      <c r="K15" s="488">
        <f t="shared" si="1"/>
        <v>0</v>
      </c>
      <c r="L15" s="488">
        <f t="shared" ca="1" si="1"/>
        <v>0</v>
      </c>
      <c r="M15" s="488">
        <f t="shared" si="1"/>
        <v>3404.5262261459834</v>
      </c>
      <c r="N15" s="488">
        <f t="shared" ca="1" si="1"/>
        <v>26539.573897375027</v>
      </c>
      <c r="O15" s="488">
        <f t="shared" si="1"/>
        <v>619.67376964531536</v>
      </c>
      <c r="P15" s="488">
        <f t="shared" si="1"/>
        <v>421.09705584354072</v>
      </c>
      <c r="Q15" s="488">
        <f t="shared" ca="1" si="1"/>
        <v>580537.36164435919</v>
      </c>
    </row>
    <row r="17" spans="1:17">
      <c r="A17" s="490" t="s">
        <v>550</v>
      </c>
      <c r="B17" s="807">
        <f ca="1">huishoudens!B10</f>
        <v>0.21155176195728137</v>
      </c>
      <c r="C17" s="807">
        <f ca="1">huishoudens!C10</f>
        <v>0.22267294823149178</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3968.5876611874937</v>
      </c>
      <c r="C22" s="478">
        <f t="shared" ref="C22:C32" ca="1" si="3">C4*$C$17</f>
        <v>0</v>
      </c>
      <c r="D22" s="478">
        <f t="shared" ref="D22:D32" si="4">D4*$D$17</f>
        <v>6687.3112150653624</v>
      </c>
      <c r="E22" s="478">
        <f t="shared" ref="E22:E32" si="5">E4*$E$17</f>
        <v>3619.4412739889844</v>
      </c>
      <c r="F22" s="478">
        <f t="shared" ref="F22:F32" si="6">F4*$F$17</f>
        <v>3949.8699185534952</v>
      </c>
      <c r="G22" s="478">
        <f t="shared" ref="G22:G32" si="7">G4*$G$17</f>
        <v>0</v>
      </c>
      <c r="H22" s="478">
        <f t="shared" ref="H22:H32" si="8">H4*$H$17</f>
        <v>0</v>
      </c>
      <c r="I22" s="478">
        <f t="shared" ref="I22:I32" si="9">I4*$I$17</f>
        <v>0</v>
      </c>
      <c r="J22" s="478">
        <f t="shared" ref="J22:J32" si="10">J4*$J$17</f>
        <v>462.40218420982859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18687.612253005165</v>
      </c>
    </row>
    <row r="23" spans="1:17">
      <c r="A23" s="477" t="s">
        <v>155</v>
      </c>
      <c r="B23" s="478">
        <f t="shared" ca="1" si="2"/>
        <v>2016.7631089945637</v>
      </c>
      <c r="C23" s="478">
        <f t="shared" ca="1" si="3"/>
        <v>0</v>
      </c>
      <c r="D23" s="478">
        <f t="shared" ca="1" si="4"/>
        <v>6676.5428690209919</v>
      </c>
      <c r="E23" s="478">
        <f t="shared" si="5"/>
        <v>32.56280951025979</v>
      </c>
      <c r="F23" s="478">
        <f t="shared" ca="1" si="6"/>
        <v>297.62323455001359</v>
      </c>
      <c r="G23" s="478">
        <f t="shared" si="7"/>
        <v>0</v>
      </c>
      <c r="H23" s="478">
        <f t="shared" si="8"/>
        <v>0</v>
      </c>
      <c r="I23" s="478">
        <f t="shared" si="9"/>
        <v>0</v>
      </c>
      <c r="J23" s="478">
        <f t="shared" si="10"/>
        <v>1.3312012931238603E-2</v>
      </c>
      <c r="K23" s="478">
        <f t="shared" si="11"/>
        <v>0</v>
      </c>
      <c r="L23" s="478">
        <f t="shared" ca="1" si="12"/>
        <v>0</v>
      </c>
      <c r="M23" s="478">
        <f t="shared" si="13"/>
        <v>0</v>
      </c>
      <c r="N23" s="478">
        <f t="shared" ca="1" si="14"/>
        <v>0</v>
      </c>
      <c r="O23" s="478">
        <f t="shared" si="15"/>
        <v>0</v>
      </c>
      <c r="P23" s="479">
        <f t="shared" si="16"/>
        <v>0</v>
      </c>
      <c r="Q23" s="477">
        <f t="shared" ref="Q23:Q31" ca="1" si="17">SUM(B23:P23)</f>
        <v>9023.5053340887625</v>
      </c>
    </row>
    <row r="24" spans="1:17">
      <c r="A24" s="477" t="s">
        <v>193</v>
      </c>
      <c r="B24" s="478">
        <f t="shared" ca="1" si="2"/>
        <v>144.41284857547072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144.41284857547072</v>
      </c>
    </row>
    <row r="25" spans="1:17">
      <c r="A25" s="477" t="s">
        <v>111</v>
      </c>
      <c r="B25" s="478">
        <f t="shared" ca="1" si="2"/>
        <v>1943.7145895905962</v>
      </c>
      <c r="C25" s="478">
        <f t="shared" ca="1" si="3"/>
        <v>11837.055349827284</v>
      </c>
      <c r="D25" s="478">
        <f t="shared" si="4"/>
        <v>1467.0528462671591</v>
      </c>
      <c r="E25" s="478">
        <f t="shared" si="5"/>
        <v>65.092489972973723</v>
      </c>
      <c r="F25" s="478">
        <f t="shared" si="6"/>
        <v>8669.7638355369454</v>
      </c>
      <c r="G25" s="478">
        <f t="shared" si="7"/>
        <v>0</v>
      </c>
      <c r="H25" s="478">
        <f t="shared" si="8"/>
        <v>0</v>
      </c>
      <c r="I25" s="478">
        <f t="shared" si="9"/>
        <v>0</v>
      </c>
      <c r="J25" s="478">
        <f t="shared" si="10"/>
        <v>896.09002914068253</v>
      </c>
      <c r="K25" s="478">
        <f t="shared" si="11"/>
        <v>0</v>
      </c>
      <c r="L25" s="478">
        <f t="shared" si="12"/>
        <v>0</v>
      </c>
      <c r="M25" s="478">
        <f t="shared" si="13"/>
        <v>0</v>
      </c>
      <c r="N25" s="478">
        <f t="shared" si="14"/>
        <v>0</v>
      </c>
      <c r="O25" s="478">
        <f t="shared" si="15"/>
        <v>0</v>
      </c>
      <c r="P25" s="479">
        <f t="shared" si="16"/>
        <v>0</v>
      </c>
      <c r="Q25" s="477">
        <f t="shared" ca="1" si="17"/>
        <v>24878.76914033564</v>
      </c>
    </row>
    <row r="26" spans="1:17">
      <c r="A26" s="477" t="s">
        <v>629</v>
      </c>
      <c r="B26" s="478">
        <f t="shared" ca="1" si="2"/>
        <v>34074.229974978538</v>
      </c>
      <c r="C26" s="478">
        <f t="shared" ca="1" si="3"/>
        <v>416.55746529876927</v>
      </c>
      <c r="D26" s="478">
        <f t="shared" si="4"/>
        <v>16423.371075846728</v>
      </c>
      <c r="E26" s="478">
        <f t="shared" si="5"/>
        <v>287.76511514300472</v>
      </c>
      <c r="F26" s="478">
        <f t="shared" si="6"/>
        <v>3045.1004660435287</v>
      </c>
      <c r="G26" s="478">
        <f t="shared" si="7"/>
        <v>0</v>
      </c>
      <c r="H26" s="478">
        <f t="shared" si="8"/>
        <v>0</v>
      </c>
      <c r="I26" s="478">
        <f t="shared" si="9"/>
        <v>0</v>
      </c>
      <c r="J26" s="478">
        <f t="shared" si="10"/>
        <v>12.966878943536731</v>
      </c>
      <c r="K26" s="478">
        <f t="shared" si="11"/>
        <v>0</v>
      </c>
      <c r="L26" s="478">
        <f t="shared" si="12"/>
        <v>0</v>
      </c>
      <c r="M26" s="478">
        <f t="shared" si="13"/>
        <v>0</v>
      </c>
      <c r="N26" s="478">
        <f t="shared" si="14"/>
        <v>0</v>
      </c>
      <c r="O26" s="478">
        <f t="shared" si="15"/>
        <v>0</v>
      </c>
      <c r="P26" s="479">
        <f t="shared" si="16"/>
        <v>0</v>
      </c>
      <c r="Q26" s="477">
        <f t="shared" ca="1" si="17"/>
        <v>54259.990976254106</v>
      </c>
    </row>
    <row r="27" spans="1:17" s="483" customFormat="1">
      <c r="A27" s="481" t="s">
        <v>555</v>
      </c>
      <c r="B27" s="801">
        <f t="shared" ca="1" si="2"/>
        <v>6.7451155667098934</v>
      </c>
      <c r="C27" s="482">
        <f t="shared" ca="1" si="3"/>
        <v>0</v>
      </c>
      <c r="D27" s="482">
        <f t="shared" si="4"/>
        <v>29.425044138943278</v>
      </c>
      <c r="E27" s="482">
        <f t="shared" si="5"/>
        <v>25.007420906471175</v>
      </c>
      <c r="F27" s="482">
        <f t="shared" si="6"/>
        <v>0</v>
      </c>
      <c r="G27" s="482">
        <f t="shared" si="7"/>
        <v>12204.035241482408</v>
      </c>
      <c r="H27" s="482">
        <f t="shared" si="8"/>
        <v>2684.7994882273783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14950.01231032191</v>
      </c>
    </row>
    <row r="28" spans="1:17" ht="16.5" customHeight="1">
      <c r="A28" s="477" t="s">
        <v>545</v>
      </c>
      <c r="B28" s="478">
        <f t="shared" ca="1" si="2"/>
        <v>0</v>
      </c>
      <c r="C28" s="478">
        <f t="shared" ca="1" si="3"/>
        <v>0</v>
      </c>
      <c r="D28" s="478">
        <f t="shared" si="4"/>
        <v>0</v>
      </c>
      <c r="E28" s="478">
        <f t="shared" si="5"/>
        <v>0</v>
      </c>
      <c r="F28" s="478">
        <f t="shared" si="6"/>
        <v>0</v>
      </c>
      <c r="G28" s="478">
        <f t="shared" si="7"/>
        <v>289.6729645254739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289.6729645254739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100.98536664154531</v>
      </c>
      <c r="C32" s="478">
        <f t="shared" ca="1" si="3"/>
        <v>0</v>
      </c>
      <c r="D32" s="478">
        <f t="shared" si="4"/>
        <v>187.11486260200002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288.1002292435453</v>
      </c>
    </row>
    <row r="33" spans="1:17" s="489" customFormat="1">
      <c r="A33" s="487" t="s">
        <v>549</v>
      </c>
      <c r="B33" s="488">
        <f ca="1">SUM(B22:B32)</f>
        <v>42255.438665534915</v>
      </c>
      <c r="C33" s="488">
        <f t="shared" ref="C33:Q33" ca="1" si="19">SUM(C22:C32)</f>
        <v>12253.612815126053</v>
      </c>
      <c r="D33" s="488">
        <f t="shared" ca="1" si="19"/>
        <v>31470.817912941187</v>
      </c>
      <c r="E33" s="488">
        <f t="shared" si="19"/>
        <v>4029.8691095216936</v>
      </c>
      <c r="F33" s="488">
        <f t="shared" ca="1" si="19"/>
        <v>15962.357454683983</v>
      </c>
      <c r="G33" s="488">
        <f t="shared" si="19"/>
        <v>12493.708206007883</v>
      </c>
      <c r="H33" s="488">
        <f t="shared" si="19"/>
        <v>2684.7994882273783</v>
      </c>
      <c r="I33" s="488">
        <f t="shared" si="19"/>
        <v>0</v>
      </c>
      <c r="J33" s="488">
        <f t="shared" si="19"/>
        <v>1371.4724043069791</v>
      </c>
      <c r="K33" s="488">
        <f t="shared" si="19"/>
        <v>0</v>
      </c>
      <c r="L33" s="488">
        <f t="shared" ca="1" si="19"/>
        <v>0</v>
      </c>
      <c r="M33" s="488">
        <f t="shared" si="19"/>
        <v>0</v>
      </c>
      <c r="N33" s="488">
        <f t="shared" ca="1" si="19"/>
        <v>0</v>
      </c>
      <c r="O33" s="488">
        <f t="shared" si="19"/>
        <v>0</v>
      </c>
      <c r="P33" s="488">
        <f t="shared" si="19"/>
        <v>0</v>
      </c>
      <c r="Q33" s="488">
        <f t="shared" ca="1" si="19"/>
        <v>122522.07605635007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8830.9425105114315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1348.6308006196016</v>
      </c>
      <c r="C8" s="1062">
        <f>'SEAP template'!C76</f>
        <v>37172.119199380395</v>
      </c>
      <c r="D8" s="1062">
        <f>'SEAP template'!D76</f>
        <v>42463.014705882357</v>
      </c>
      <c r="E8" s="1062">
        <f>'SEAP template'!E76</f>
        <v>0</v>
      </c>
      <c r="F8" s="1062">
        <f>'SEAP template'!F76</f>
        <v>0</v>
      </c>
      <c r="G8" s="1062">
        <f>'SEAP template'!G76</f>
        <v>0</v>
      </c>
      <c r="H8" s="1062">
        <f>'SEAP template'!H76</f>
        <v>0</v>
      </c>
      <c r="I8" s="1062">
        <f>'SEAP template'!I76</f>
        <v>0</v>
      </c>
      <c r="J8" s="1062">
        <f>'SEAP template'!J76</f>
        <v>1540.5882352941178</v>
      </c>
      <c r="K8" s="1062">
        <f>'SEAP template'!K76</f>
        <v>0</v>
      </c>
      <c r="L8" s="1062">
        <f>'SEAP template'!L76</f>
        <v>0</v>
      </c>
      <c r="M8" s="1062">
        <f>'SEAP template'!M76</f>
        <v>0</v>
      </c>
      <c r="N8" s="1062">
        <f>'SEAP template'!N76</f>
        <v>0</v>
      </c>
      <c r="O8" s="1062">
        <f>'SEAP template'!O76</f>
        <v>0</v>
      </c>
      <c r="P8" s="1063">
        <f>'SEAP template'!Q76</f>
        <v>8577.5289705882369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10179.573311131033</v>
      </c>
      <c r="C10" s="1064">
        <f>SUM(C4:C9)</f>
        <v>37172.119199380395</v>
      </c>
      <c r="D10" s="1064">
        <f t="shared" ref="D10:H10" si="0">SUM(D8:D9)</f>
        <v>42463.014705882357</v>
      </c>
      <c r="E10" s="1064">
        <f t="shared" si="0"/>
        <v>0</v>
      </c>
      <c r="F10" s="1064">
        <f t="shared" si="0"/>
        <v>0</v>
      </c>
      <c r="G10" s="1064">
        <f t="shared" si="0"/>
        <v>0</v>
      </c>
      <c r="H10" s="1064">
        <f t="shared" si="0"/>
        <v>0</v>
      </c>
      <c r="I10" s="1064">
        <f>SUM(I8:I9)</f>
        <v>0</v>
      </c>
      <c r="J10" s="1064">
        <f>SUM(J8:J9)</f>
        <v>1540.5882352941178</v>
      </c>
      <c r="K10" s="1064">
        <f t="shared" ref="K10:L10" si="1">SUM(K8:K9)</f>
        <v>0</v>
      </c>
      <c r="L10" s="1064">
        <f t="shared" si="1"/>
        <v>0</v>
      </c>
      <c r="M10" s="1064">
        <f>SUM(M8:M9)</f>
        <v>0</v>
      </c>
      <c r="N10" s="1064">
        <f>SUM(N8:N9)</f>
        <v>0</v>
      </c>
      <c r="O10" s="1064">
        <f>SUM(O8:O9)</f>
        <v>0</v>
      </c>
      <c r="P10" s="1064">
        <f>SUM(P8:P9)</f>
        <v>8577.5289705882369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0.21155176195728137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1926.6154294565736</v>
      </c>
      <c r="C17" s="1065">
        <f>'SEAP template'!C87</f>
        <v>53103.027427686284</v>
      </c>
      <c r="D17" s="1063">
        <f>'SEAP template'!D87</f>
        <v>60661.44957983194</v>
      </c>
      <c r="E17" s="1063">
        <f>'SEAP template'!E87</f>
        <v>0</v>
      </c>
      <c r="F17" s="1063">
        <f>'SEAP template'!F87</f>
        <v>0</v>
      </c>
      <c r="G17" s="1063">
        <f>'SEAP template'!G87</f>
        <v>0</v>
      </c>
      <c r="H17" s="1063">
        <f>'SEAP template'!H87</f>
        <v>0</v>
      </c>
      <c r="I17" s="1063">
        <f>'SEAP template'!I87</f>
        <v>0</v>
      </c>
      <c r="J17" s="1063">
        <f>'SEAP template'!J87</f>
        <v>2200.840336134454</v>
      </c>
      <c r="K17" s="1063">
        <f>'SEAP template'!K87</f>
        <v>0</v>
      </c>
      <c r="L17" s="1063">
        <f>'SEAP template'!L87</f>
        <v>0</v>
      </c>
      <c r="M17" s="1063">
        <f>'SEAP template'!M87</f>
        <v>0</v>
      </c>
      <c r="N17" s="1063">
        <f>'SEAP template'!N87</f>
        <v>0</v>
      </c>
      <c r="O17" s="1063">
        <f>'SEAP template'!O87</f>
        <v>0</v>
      </c>
      <c r="P17" s="1063">
        <f>'SEAP template'!Q87</f>
        <v>12253.612815126053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1926.6154294565736</v>
      </c>
      <c r="C20" s="1064">
        <f>SUM(C17:C19)</f>
        <v>53103.027427686284</v>
      </c>
      <c r="D20" s="1064">
        <f t="shared" ref="D20:H20" si="2">SUM(D17:D19)</f>
        <v>60661.44957983194</v>
      </c>
      <c r="E20" s="1064">
        <f t="shared" si="2"/>
        <v>0</v>
      </c>
      <c r="F20" s="1064">
        <f t="shared" si="2"/>
        <v>0</v>
      </c>
      <c r="G20" s="1064">
        <f t="shared" si="2"/>
        <v>0</v>
      </c>
      <c r="H20" s="1064">
        <f t="shared" si="2"/>
        <v>0</v>
      </c>
      <c r="I20" s="1064">
        <f>SUM(I17:I19)</f>
        <v>0</v>
      </c>
      <c r="J20" s="1064">
        <f>SUM(J17:J19)</f>
        <v>2200.840336134454</v>
      </c>
      <c r="K20" s="1064">
        <f t="shared" ref="K20:L20" si="3">SUM(K17:K19)</f>
        <v>0</v>
      </c>
      <c r="L20" s="1064">
        <f t="shared" si="3"/>
        <v>0</v>
      </c>
      <c r="M20" s="1064">
        <f>SUM(M17:M19)</f>
        <v>0</v>
      </c>
      <c r="N20" s="1064">
        <f>SUM(N17:N19)</f>
        <v>0</v>
      </c>
      <c r="O20" s="1064">
        <f>SUM(O17:O19)</f>
        <v>0</v>
      </c>
      <c r="P20" s="1064">
        <f>SUM(P17:P19)</f>
        <v>12253.612815126053</v>
      </c>
    </row>
    <row r="21" spans="1:16">
      <c r="B21" s="913"/>
    </row>
    <row r="22" spans="1:16">
      <c r="A22" s="490" t="s">
        <v>814</v>
      </c>
      <c r="B22" s="807" t="s">
        <v>812</v>
      </c>
      <c r="C22" s="807">
        <f ca="1">'EF ele_warmte'!B22</f>
        <v>0.22267294823149178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0.21155176195728137</v>
      </c>
      <c r="C17" s="527">
        <f ca="1">'EF ele_warmte'!B22</f>
        <v>0.22267294823149178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0.21155176195728137</v>
      </c>
      <c r="C17" s="527">
        <f ca="1">'EF ele_warmte'!B22</f>
        <v>0.22267294823149178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0.21155176195728137</v>
      </c>
      <c r="C29" s="528">
        <f ca="1">'EF ele_warmte'!B22</f>
        <v>0.22267294823149178</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4580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3256.81</v>
      </c>
    </row>
    <row r="15" spans="1:6">
      <c r="A15" s="348" t="s">
        <v>183</v>
      </c>
      <c r="B15" s="334">
        <v>11</v>
      </c>
    </row>
    <row r="16" spans="1:6">
      <c r="A16" s="348" t="s">
        <v>6</v>
      </c>
      <c r="B16" s="334">
        <v>306</v>
      </c>
    </row>
    <row r="17" spans="1:6">
      <c r="A17" s="348" t="s">
        <v>7</v>
      </c>
      <c r="B17" s="334">
        <v>765</v>
      </c>
    </row>
    <row r="18" spans="1:6">
      <c r="A18" s="348" t="s">
        <v>8</v>
      </c>
      <c r="B18" s="334">
        <v>934</v>
      </c>
    </row>
    <row r="19" spans="1:6">
      <c r="A19" s="348" t="s">
        <v>9</v>
      </c>
      <c r="B19" s="334">
        <v>818</v>
      </c>
    </row>
    <row r="20" spans="1:6">
      <c r="A20" s="348" t="s">
        <v>10</v>
      </c>
      <c r="B20" s="334">
        <v>592</v>
      </c>
    </row>
    <row r="21" spans="1:6">
      <c r="A21" s="348" t="s">
        <v>11</v>
      </c>
      <c r="B21" s="334">
        <v>48545</v>
      </c>
    </row>
    <row r="22" spans="1:6">
      <c r="A22" s="348" t="s">
        <v>12</v>
      </c>
      <c r="B22" s="334">
        <v>107062</v>
      </c>
    </row>
    <row r="23" spans="1:6">
      <c r="A23" s="348" t="s">
        <v>13</v>
      </c>
      <c r="B23" s="334">
        <v>1619</v>
      </c>
    </row>
    <row r="24" spans="1:6">
      <c r="A24" s="348" t="s">
        <v>14</v>
      </c>
      <c r="B24" s="334">
        <v>78</v>
      </c>
    </row>
    <row r="25" spans="1:6">
      <c r="A25" s="348" t="s">
        <v>15</v>
      </c>
      <c r="B25" s="334">
        <v>10727</v>
      </c>
    </row>
    <row r="26" spans="1:6">
      <c r="A26" s="348" t="s">
        <v>16</v>
      </c>
      <c r="B26" s="334">
        <v>307</v>
      </c>
    </row>
    <row r="27" spans="1:6">
      <c r="A27" s="348" t="s">
        <v>17</v>
      </c>
      <c r="B27" s="334">
        <v>0</v>
      </c>
    </row>
    <row r="28" spans="1:6" s="356" customFormat="1">
      <c r="A28" s="355" t="s">
        <v>18</v>
      </c>
      <c r="B28" s="355">
        <v>102080</v>
      </c>
    </row>
    <row r="29" spans="1:6">
      <c r="A29" s="355" t="s">
        <v>713</v>
      </c>
      <c r="B29" s="355">
        <v>41</v>
      </c>
      <c r="C29" s="356"/>
      <c r="D29" s="356"/>
      <c r="E29" s="356"/>
      <c r="F29" s="356"/>
    </row>
    <row r="30" spans="1:6">
      <c r="A30" s="341" t="s">
        <v>714</v>
      </c>
      <c r="B30" s="341">
        <v>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7</v>
      </c>
      <c r="F36" s="334">
        <v>12268.333000000001</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2517</v>
      </c>
      <c r="D39" s="334">
        <v>36702329.340000004</v>
      </c>
      <c r="E39" s="334">
        <v>4149</v>
      </c>
      <c r="F39" s="334">
        <v>14194130.939999999</v>
      </c>
    </row>
    <row r="40" spans="1:6">
      <c r="A40" s="348" t="s">
        <v>29</v>
      </c>
      <c r="B40" s="348" t="s">
        <v>28</v>
      </c>
      <c r="C40" s="334">
        <v>0</v>
      </c>
      <c r="D40" s="334">
        <v>0</v>
      </c>
      <c r="E40" s="334">
        <v>0</v>
      </c>
      <c r="F40" s="334">
        <v>0</v>
      </c>
    </row>
    <row r="41" spans="1:6">
      <c r="A41" s="348" t="s">
        <v>31</v>
      </c>
      <c r="B41" s="348" t="s">
        <v>32</v>
      </c>
      <c r="C41" s="334">
        <v>71</v>
      </c>
      <c r="D41" s="334">
        <v>2409655.1290000002</v>
      </c>
      <c r="E41" s="334">
        <v>160</v>
      </c>
      <c r="F41" s="334">
        <v>2844205.4580000001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41091.129999999997</v>
      </c>
      <c r="E44" s="334">
        <v>25</v>
      </c>
      <c r="F44" s="334">
        <v>1008832.459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26</v>
      </c>
      <c r="D48" s="334">
        <v>7904918.9819999998</v>
      </c>
      <c r="E48" s="334">
        <v>40</v>
      </c>
      <c r="F48" s="334">
        <v>4311099.3279999997</v>
      </c>
    </row>
    <row r="49" spans="1:6">
      <c r="A49" s="348" t="s">
        <v>31</v>
      </c>
      <c r="B49" s="348" t="s">
        <v>39</v>
      </c>
      <c r="C49" s="334">
        <v>0</v>
      </c>
      <c r="D49" s="334">
        <v>0</v>
      </c>
      <c r="E49" s="334">
        <v>3</v>
      </c>
      <c r="F49" s="334">
        <v>70569.312000000005</v>
      </c>
    </row>
    <row r="50" spans="1:6">
      <c r="A50" s="348" t="s">
        <v>31</v>
      </c>
      <c r="B50" s="348" t="s">
        <v>40</v>
      </c>
      <c r="C50" s="334">
        <v>16</v>
      </c>
      <c r="D50" s="334">
        <v>79781604.390000001</v>
      </c>
      <c r="E50" s="334">
        <v>23</v>
      </c>
      <c r="F50" s="334">
        <v>151523844.40000001</v>
      </c>
    </row>
    <row r="51" spans="1:6">
      <c r="A51" s="348" t="s">
        <v>41</v>
      </c>
      <c r="B51" s="348" t="s">
        <v>42</v>
      </c>
      <c r="C51" s="334">
        <v>34</v>
      </c>
      <c r="D51" s="334">
        <v>116136187.5</v>
      </c>
      <c r="E51" s="334">
        <v>283</v>
      </c>
      <c r="F51" s="334">
        <v>8814535.3420000002</v>
      </c>
    </row>
    <row r="52" spans="1:6">
      <c r="A52" s="348" t="s">
        <v>41</v>
      </c>
      <c r="B52" s="348" t="s">
        <v>28</v>
      </c>
      <c r="C52" s="334">
        <v>9</v>
      </c>
      <c r="D52" s="334">
        <v>6244191.8109999998</v>
      </c>
      <c r="E52" s="334">
        <v>12</v>
      </c>
      <c r="F52" s="334">
        <v>373355.94099999999</v>
      </c>
    </row>
    <row r="53" spans="1:6">
      <c r="A53" s="348" t="s">
        <v>43</v>
      </c>
      <c r="B53" s="348" t="s">
        <v>44</v>
      </c>
      <c r="C53" s="334">
        <v>60</v>
      </c>
      <c r="D53" s="334">
        <v>926311.201</v>
      </c>
      <c r="E53" s="334">
        <v>138</v>
      </c>
      <c r="F53" s="334">
        <v>477355.35600000003</v>
      </c>
    </row>
    <row r="54" spans="1:6">
      <c r="A54" s="348" t="s">
        <v>45</v>
      </c>
      <c r="B54" s="348" t="s">
        <v>46</v>
      </c>
      <c r="C54" s="334">
        <v>0</v>
      </c>
      <c r="D54" s="334">
        <v>0</v>
      </c>
      <c r="E54" s="334">
        <v>1</v>
      </c>
      <c r="F54" s="334">
        <v>682636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52</v>
      </c>
      <c r="D57" s="334">
        <v>2991575.23</v>
      </c>
      <c r="E57" s="334">
        <v>96</v>
      </c>
      <c r="F57" s="334">
        <v>2012239.15</v>
      </c>
    </row>
    <row r="58" spans="1:6">
      <c r="A58" s="348" t="s">
        <v>48</v>
      </c>
      <c r="B58" s="348" t="s">
        <v>50</v>
      </c>
      <c r="C58" s="334">
        <v>11</v>
      </c>
      <c r="D58" s="334">
        <v>282076.86700000003</v>
      </c>
      <c r="E58" s="334">
        <v>19</v>
      </c>
      <c r="F58" s="334">
        <v>102017.72</v>
      </c>
    </row>
    <row r="59" spans="1:6">
      <c r="A59" s="348" t="s">
        <v>48</v>
      </c>
      <c r="B59" s="348" t="s">
        <v>51</v>
      </c>
      <c r="C59" s="334">
        <v>31</v>
      </c>
      <c r="D59" s="334">
        <v>1022430.647</v>
      </c>
      <c r="E59" s="334">
        <v>103</v>
      </c>
      <c r="F59" s="334">
        <v>3668070.8110000002</v>
      </c>
    </row>
    <row r="60" spans="1:6">
      <c r="A60" s="348" t="s">
        <v>48</v>
      </c>
      <c r="B60" s="348" t="s">
        <v>52</v>
      </c>
      <c r="C60" s="334">
        <v>25</v>
      </c>
      <c r="D60" s="334">
        <v>831954.40899999999</v>
      </c>
      <c r="E60" s="334">
        <v>42</v>
      </c>
      <c r="F60" s="334">
        <v>684877.429</v>
      </c>
    </row>
    <row r="61" spans="1:6">
      <c r="A61" s="348" t="s">
        <v>48</v>
      </c>
      <c r="B61" s="348" t="s">
        <v>53</v>
      </c>
      <c r="C61" s="334">
        <v>61</v>
      </c>
      <c r="D61" s="334">
        <v>1384487.7120000001</v>
      </c>
      <c r="E61" s="334">
        <v>149</v>
      </c>
      <c r="F61" s="334">
        <v>1214025.0319999999</v>
      </c>
    </row>
    <row r="62" spans="1:6">
      <c r="A62" s="348" t="s">
        <v>48</v>
      </c>
      <c r="B62" s="348" t="s">
        <v>54</v>
      </c>
      <c r="C62" s="334">
        <v>5</v>
      </c>
      <c r="D62" s="334">
        <v>416936.62300000002</v>
      </c>
      <c r="E62" s="334">
        <v>5</v>
      </c>
      <c r="F62" s="334">
        <v>54532.271999999997</v>
      </c>
    </row>
    <row r="63" spans="1:6">
      <c r="A63" s="348" t="s">
        <v>48</v>
      </c>
      <c r="B63" s="348" t="s">
        <v>28</v>
      </c>
      <c r="C63" s="334">
        <v>74</v>
      </c>
      <c r="D63" s="334">
        <v>29713767.359999999</v>
      </c>
      <c r="E63" s="334">
        <v>81</v>
      </c>
      <c r="F63" s="334">
        <v>1797427.432</v>
      </c>
    </row>
    <row r="64" spans="1:6">
      <c r="A64" s="348" t="s">
        <v>55</v>
      </c>
      <c r="B64" s="348" t="s">
        <v>56</v>
      </c>
      <c r="C64" s="334">
        <v>0</v>
      </c>
      <c r="D64" s="334">
        <v>0</v>
      </c>
      <c r="E64" s="334">
        <v>0</v>
      </c>
      <c r="F64" s="334">
        <v>0</v>
      </c>
    </row>
    <row r="65" spans="1:6">
      <c r="A65" s="348" t="s">
        <v>55</v>
      </c>
      <c r="B65" s="348" t="s">
        <v>28</v>
      </c>
      <c r="C65" s="334">
        <v>0</v>
      </c>
      <c r="D65" s="334">
        <v>0</v>
      </c>
      <c r="E65" s="334">
        <v>2</v>
      </c>
      <c r="F65" s="334">
        <v>41094</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3</v>
      </c>
      <c r="D68" s="334">
        <v>46498.576999999997</v>
      </c>
      <c r="E68" s="334">
        <v>15</v>
      </c>
      <c r="F68" s="334">
        <v>106080.26700000001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34768379</v>
      </c>
      <c r="E73" s="476"/>
    </row>
    <row r="74" spans="1:6">
      <c r="A74" s="348" t="s">
        <v>63</v>
      </c>
      <c r="B74" s="348" t="s">
        <v>651</v>
      </c>
      <c r="C74" s="1307" t="s">
        <v>653</v>
      </c>
      <c r="D74" s="476">
        <v>4013869</v>
      </c>
      <c r="E74" s="476"/>
    </row>
    <row r="75" spans="1:6">
      <c r="A75" s="348" t="s">
        <v>64</v>
      </c>
      <c r="B75" s="348" t="s">
        <v>650</v>
      </c>
      <c r="C75" s="1307" t="s">
        <v>654</v>
      </c>
      <c r="D75" s="476">
        <v>23943839</v>
      </c>
      <c r="E75" s="476"/>
    </row>
    <row r="76" spans="1:6">
      <c r="A76" s="348" t="s">
        <v>64</v>
      </c>
      <c r="B76" s="348" t="s">
        <v>651</v>
      </c>
      <c r="C76" s="1307" t="s">
        <v>655</v>
      </c>
      <c r="D76" s="476">
        <v>1879318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318156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4565.285783689922</v>
      </c>
    </row>
    <row r="92" spans="1:6">
      <c r="A92" s="341" t="s">
        <v>68</v>
      </c>
      <c r="B92" s="342">
        <v>4265.6567268215094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1342</v>
      </c>
    </row>
    <row r="98" spans="1:6">
      <c r="A98" s="348" t="s">
        <v>71</v>
      </c>
      <c r="B98" s="334">
        <v>2</v>
      </c>
    </row>
    <row r="99" spans="1:6">
      <c r="A99" s="348" t="s">
        <v>72</v>
      </c>
      <c r="B99" s="334">
        <v>211</v>
      </c>
    </row>
    <row r="100" spans="1:6">
      <c r="A100" s="348" t="s">
        <v>73</v>
      </c>
      <c r="B100" s="334">
        <v>301</v>
      </c>
    </row>
    <row r="101" spans="1:6">
      <c r="A101" s="348" t="s">
        <v>74</v>
      </c>
      <c r="B101" s="334">
        <v>150</v>
      </c>
    </row>
    <row r="102" spans="1:6">
      <c r="A102" s="348" t="s">
        <v>75</v>
      </c>
      <c r="B102" s="334">
        <v>64</v>
      </c>
    </row>
    <row r="103" spans="1:6">
      <c r="A103" s="348" t="s">
        <v>76</v>
      </c>
      <c r="B103" s="334">
        <v>162</v>
      </c>
    </row>
    <row r="104" spans="1:6">
      <c r="A104" s="348" t="s">
        <v>77</v>
      </c>
      <c r="B104" s="334">
        <v>1769</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12</v>
      </c>
      <c r="C123" s="334">
        <v>47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253</v>
      </c>
    </row>
    <row r="130" spans="1:6">
      <c r="A130" s="348" t="s">
        <v>294</v>
      </c>
      <c r="B130" s="334">
        <v>5</v>
      </c>
    </row>
    <row r="131" spans="1:6">
      <c r="A131" s="348" t="s">
        <v>295</v>
      </c>
      <c r="B131" s="334">
        <v>1</v>
      </c>
    </row>
    <row r="132" spans="1:6">
      <c r="A132" s="341" t="s">
        <v>296</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199740.42416185385</v>
      </c>
      <c r="C3" s="43" t="s">
        <v>169</v>
      </c>
      <c r="D3" s="43"/>
      <c r="E3" s="154"/>
      <c r="F3" s="43"/>
      <c r="G3" s="43"/>
      <c r="H3" s="43"/>
      <c r="I3" s="43"/>
      <c r="J3" s="43"/>
      <c r="K3" s="96"/>
    </row>
    <row r="4" spans="1:11">
      <c r="A4" s="383" t="s">
        <v>170</v>
      </c>
      <c r="B4" s="49">
        <f>IF(ISERROR('SEAP template'!B78+'SEAP template'!C78),0,'SEAP template'!B78+'SEAP template'!C78)</f>
        <v>47351.692510511428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8577.5289705882369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0.21155176195728137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12253.612815126053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55029.642857142855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0.22267294823149178</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682.63599999999997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682.63599999999997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0.21155176195728137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144.41284857547072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14194.130939999999</v>
      </c>
      <c r="C5" s="17">
        <f>IF(ISERROR('Eigen informatie GS &amp; warmtenet'!B59),0,'Eigen informatie GS &amp; warmtenet'!B59)</f>
        <v>0</v>
      </c>
      <c r="D5" s="30">
        <f>(SUM(HH_hh_gas_kWh,HH_rest_gas_kWh)/1000)*0.902</f>
        <v>33105.501064680007</v>
      </c>
      <c r="E5" s="17">
        <f>B46*B57</f>
        <v>15944.675215810503</v>
      </c>
      <c r="F5" s="17">
        <f>B51*B62</f>
        <v>14793.520294207847</v>
      </c>
      <c r="G5" s="18"/>
      <c r="H5" s="17"/>
      <c r="I5" s="17"/>
      <c r="J5" s="17">
        <f>B50*B61+C50*C61</f>
        <v>1306.2208593497983</v>
      </c>
      <c r="K5" s="17"/>
      <c r="L5" s="17"/>
      <c r="M5" s="17"/>
      <c r="N5" s="17">
        <f>B48*B59+C48*C59</f>
        <v>19615.756097111909</v>
      </c>
      <c r="O5" s="17">
        <f>B69*B70*B71</f>
        <v>595.18746581610958</v>
      </c>
      <c r="P5" s="17">
        <f>B77*B78*B79/1000-B77*B78*B79/1000/B80</f>
        <v>316.01877923055071</v>
      </c>
    </row>
    <row r="6" spans="1:16">
      <c r="A6" s="16" t="s">
        <v>615</v>
      </c>
      <c r="B6" s="809">
        <f>kWh_PV_kleiner_dan_10kW</f>
        <v>4565.285783689922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18759.416723689923</v>
      </c>
      <c r="C8" s="21">
        <f>C5</f>
        <v>0</v>
      </c>
      <c r="D8" s="21">
        <f>D5</f>
        <v>33105.501064680007</v>
      </c>
      <c r="E8" s="21">
        <f>E5</f>
        <v>15944.675215810503</v>
      </c>
      <c r="F8" s="21">
        <f>F5</f>
        <v>14793.520294207847</v>
      </c>
      <c r="G8" s="21"/>
      <c r="H8" s="21"/>
      <c r="I8" s="21"/>
      <c r="J8" s="21">
        <f>J5</f>
        <v>1306.2208593497983</v>
      </c>
      <c r="K8" s="21"/>
      <c r="L8" s="21">
        <f>L5</f>
        <v>0</v>
      </c>
      <c r="M8" s="21">
        <f>M5</f>
        <v>0</v>
      </c>
      <c r="N8" s="21">
        <f>N5</f>
        <v>19615.756097111909</v>
      </c>
      <c r="O8" s="21">
        <f>O5</f>
        <v>595.18746581610958</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0.21155176195728137</v>
      </c>
      <c r="C10" s="25">
        <f ca="1">'EF ele_warmte'!B22</f>
        <v>0.22267294823149178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3968.5876611874937</v>
      </c>
      <c r="C12" s="23">
        <f ca="1">C10*C8</f>
        <v>0</v>
      </c>
      <c r="D12" s="23">
        <f>D8*D10</f>
        <v>6687.3112150653624</v>
      </c>
      <c r="E12" s="23">
        <f>E10*E8</f>
        <v>3619.4412739889844</v>
      </c>
      <c r="F12" s="23">
        <f>F10*F8</f>
        <v>3949.8699185534952</v>
      </c>
      <c r="G12" s="23"/>
      <c r="H12" s="23"/>
      <c r="I12" s="23"/>
      <c r="J12" s="23">
        <f>J10*J8</f>
        <v>462.40218420982859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1342</v>
      </c>
      <c r="C18" s="166" t="s">
        <v>110</v>
      </c>
      <c r="D18" s="228"/>
      <c r="E18" s="15"/>
    </row>
    <row r="19" spans="1:7">
      <c r="A19" s="171" t="s">
        <v>71</v>
      </c>
      <c r="B19" s="37">
        <f>aantalw2001_ander</f>
        <v>2</v>
      </c>
      <c r="C19" s="166" t="s">
        <v>110</v>
      </c>
      <c r="D19" s="229"/>
      <c r="E19" s="15"/>
    </row>
    <row r="20" spans="1:7">
      <c r="A20" s="171" t="s">
        <v>72</v>
      </c>
      <c r="B20" s="37">
        <f>aantalw2001_propaan</f>
        <v>211</v>
      </c>
      <c r="C20" s="167">
        <f>IF(ISERROR(B20/SUM($B$20,$B$21,$B$22)*100),0,B20/SUM($B$20,$B$21,$B$22)*100)</f>
        <v>31.873111782477341</v>
      </c>
      <c r="D20" s="229"/>
      <c r="E20" s="15"/>
    </row>
    <row r="21" spans="1:7">
      <c r="A21" s="171" t="s">
        <v>73</v>
      </c>
      <c r="B21" s="37">
        <f>aantalw2001_elektriciteit</f>
        <v>301</v>
      </c>
      <c r="C21" s="167">
        <f>IF(ISERROR(B21/SUM($B$20,$B$21,$B$22)*100),0,B21/SUM($B$20,$B$21,$B$22)*100)</f>
        <v>45.468277945619334</v>
      </c>
      <c r="D21" s="229"/>
      <c r="E21" s="15"/>
    </row>
    <row r="22" spans="1:7">
      <c r="A22" s="171" t="s">
        <v>74</v>
      </c>
      <c r="B22" s="37">
        <f>aantalw2001_hout</f>
        <v>150</v>
      </c>
      <c r="C22" s="167">
        <f>IF(ISERROR(B22/SUM($B$20,$B$21,$B$22)*100),0,B22/SUM($B$20,$B$21,$B$22)*100)</f>
        <v>22.658610271903324</v>
      </c>
      <c r="D22" s="229"/>
      <c r="E22" s="15"/>
    </row>
    <row r="23" spans="1:7">
      <c r="A23" s="171" t="s">
        <v>75</v>
      </c>
      <c r="B23" s="37">
        <f>aantalw2001_niet_gespec</f>
        <v>64</v>
      </c>
      <c r="C23" s="166" t="s">
        <v>110</v>
      </c>
      <c r="D23" s="228"/>
      <c r="E23" s="15"/>
    </row>
    <row r="24" spans="1:7">
      <c r="A24" s="171" t="s">
        <v>76</v>
      </c>
      <c r="B24" s="37">
        <f>aantalw2001_steenkool</f>
        <v>162</v>
      </c>
      <c r="C24" s="166" t="s">
        <v>110</v>
      </c>
      <c r="D24" s="229"/>
      <c r="E24" s="15"/>
    </row>
    <row r="25" spans="1:7">
      <c r="A25" s="171" t="s">
        <v>77</v>
      </c>
      <c r="B25" s="37">
        <f>aantalw2001_stookolie</f>
        <v>1769</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4580</v>
      </c>
      <c r="C28" s="36"/>
      <c r="D28" s="228"/>
    </row>
    <row r="29" spans="1:7" s="15" customFormat="1">
      <c r="A29" s="230" t="s">
        <v>837</v>
      </c>
      <c r="B29" s="37">
        <f>SUM(HH_hh_gas_aantal,HH_rest_gas_aantal)</f>
        <v>2517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2517</v>
      </c>
      <c r="C32" s="167">
        <f>IF(ISERROR(B32/SUM($B$32,$B$34,$B$35,$B$36,$B$38,$B$39)*100),0,B32/SUM($B$32,$B$34,$B$35,$B$36,$B$38,$B$39)*100)</f>
        <v>55.318681318681314</v>
      </c>
      <c r="D32" s="233"/>
      <c r="G32" s="15"/>
    </row>
    <row r="33" spans="1:7">
      <c r="A33" s="171" t="s">
        <v>71</v>
      </c>
      <c r="B33" s="34" t="s">
        <v>110</v>
      </c>
      <c r="C33" s="167"/>
      <c r="D33" s="233"/>
      <c r="G33" s="15"/>
    </row>
    <row r="34" spans="1:7">
      <c r="A34" s="171" t="s">
        <v>72</v>
      </c>
      <c r="B34" s="33">
        <f>IF((($B$28-$B$32-$B$39-$B$77-$B$38)*C20/100)&lt;0,0,($B$28-$B$32-$B$39-$B$77-$B$38)*C20/100)</f>
        <v>407.01963746223561</v>
      </c>
      <c r="C34" s="167">
        <f>IF(ISERROR(B34/SUM($B$32,$B$34,$B$35,$B$36,$B$38,$B$39)*100),0,B34/SUM($B$32,$B$34,$B$35,$B$36,$B$38,$B$39)*100)</f>
        <v>8.9454865376315507</v>
      </c>
      <c r="D34" s="233"/>
      <c r="G34" s="15"/>
    </row>
    <row r="35" spans="1:7">
      <c r="A35" s="171" t="s">
        <v>73</v>
      </c>
      <c r="B35" s="33">
        <f>IF((($B$28-$B$32-$B$39-$B$77-$B$38)*C21/100)&lt;0,0,($B$28-$B$32-$B$39-$B$77-$B$38)*C21/100)</f>
        <v>580.62990936555889</v>
      </c>
      <c r="C35" s="167">
        <f>IF(ISERROR(B35/SUM($B$32,$B$34,$B$35,$B$36,$B$38,$B$39)*100),0,B35/SUM($B$32,$B$34,$B$35,$B$36,$B$38,$B$39)*100)</f>
        <v>12.761096909133162</v>
      </c>
      <c r="D35" s="233"/>
      <c r="G35" s="15"/>
    </row>
    <row r="36" spans="1:7">
      <c r="A36" s="171" t="s">
        <v>74</v>
      </c>
      <c r="B36" s="33">
        <f>IF((($B$28-$B$32-$B$39-$B$77-$B$38)*C22/100)&lt;0,0,($B$28-$B$32-$B$39-$B$77-$B$38)*C22/100)</f>
        <v>289.35045317220545</v>
      </c>
      <c r="C36" s="167">
        <f>IF(ISERROR(B36/SUM($B$32,$B$34,$B$35,$B$36,$B$38,$B$39)*100),0,B36/SUM($B$32,$B$34,$B$35,$B$36,$B$38,$B$39)*100)</f>
        <v>6.3593506191693505</v>
      </c>
      <c r="D36" s="233"/>
      <c r="G36" s="15"/>
    </row>
    <row r="37" spans="1:7">
      <c r="A37" s="171" t="s">
        <v>75</v>
      </c>
      <c r="B37" s="34" t="s">
        <v>110</v>
      </c>
      <c r="C37" s="167"/>
      <c r="D37" s="173"/>
      <c r="G37" s="15"/>
    </row>
    <row r="38" spans="1:7">
      <c r="A38" s="171" t="s">
        <v>76</v>
      </c>
      <c r="B38" s="33">
        <f>IF((B24-(B29-B18)*0.1)&lt;0,0,B24-(B29-B18)*0.1)</f>
        <v>44.5</v>
      </c>
      <c r="C38" s="167">
        <f>IF(ISERROR(B38/SUM($B$32,$B$34,$B$35,$B$36,$B$38,$B$39)*100),0,B38/SUM($B$32,$B$34,$B$35,$B$36,$B$38,$B$39)*100)</f>
        <v>0.9780219780219781</v>
      </c>
      <c r="D38" s="234"/>
      <c r="G38" s="15"/>
    </row>
    <row r="39" spans="1:7">
      <c r="A39" s="171" t="s">
        <v>77</v>
      </c>
      <c r="B39" s="33">
        <f>IF((B25-(B29-B18))&lt;0,0,B25-(B29-B18)*0.9)</f>
        <v>711.5</v>
      </c>
      <c r="C39" s="167">
        <f>IF(ISERROR(B39/SUM($B$32,$B$34,$B$35,$B$36,$B$38,$B$39)*100),0,B39/SUM($B$32,$B$34,$B$35,$B$36,$B$38,$B$39)*100)</f>
        <v>15.637362637362637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2517</v>
      </c>
      <c r="C44" s="34" t="s">
        <v>110</v>
      </c>
      <c r="D44" s="174"/>
    </row>
    <row r="45" spans="1:7">
      <c r="A45" s="171" t="s">
        <v>71</v>
      </c>
      <c r="B45" s="33" t="str">
        <f t="shared" si="0"/>
        <v>-</v>
      </c>
      <c r="C45" s="34" t="s">
        <v>110</v>
      </c>
      <c r="D45" s="174"/>
    </row>
    <row r="46" spans="1:7">
      <c r="A46" s="171" t="s">
        <v>72</v>
      </c>
      <c r="B46" s="33">
        <f t="shared" si="0"/>
        <v>407.01963746223561</v>
      </c>
      <c r="C46" s="34" t="s">
        <v>110</v>
      </c>
      <c r="D46" s="174"/>
    </row>
    <row r="47" spans="1:7">
      <c r="A47" s="171" t="s">
        <v>73</v>
      </c>
      <c r="B47" s="33">
        <f t="shared" si="0"/>
        <v>580.62990936555889</v>
      </c>
      <c r="C47" s="34" t="s">
        <v>110</v>
      </c>
      <c r="D47" s="174"/>
    </row>
    <row r="48" spans="1:7">
      <c r="A48" s="171" t="s">
        <v>74</v>
      </c>
      <c r="B48" s="33">
        <f t="shared" si="0"/>
        <v>289.35045317220545</v>
      </c>
      <c r="C48" s="33">
        <f>B48*10</f>
        <v>2893.5045317220547</v>
      </c>
      <c r="D48" s="234"/>
    </row>
    <row r="49" spans="1:6">
      <c r="A49" s="171" t="s">
        <v>75</v>
      </c>
      <c r="B49" s="33" t="str">
        <f t="shared" si="0"/>
        <v>-</v>
      </c>
      <c r="C49" s="34" t="s">
        <v>110</v>
      </c>
      <c r="D49" s="234"/>
    </row>
    <row r="50" spans="1:6">
      <c r="A50" s="171" t="s">
        <v>76</v>
      </c>
      <c r="B50" s="33">
        <f t="shared" si="0"/>
        <v>44.5</v>
      </c>
      <c r="C50" s="33">
        <f>B50*2</f>
        <v>89</v>
      </c>
      <c r="D50" s="234"/>
    </row>
    <row r="51" spans="1:6">
      <c r="A51" s="171" t="s">
        <v>77</v>
      </c>
      <c r="B51" s="33">
        <f t="shared" si="0"/>
        <v>711.5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300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9533.1898459999993</v>
      </c>
      <c r="C5" s="17">
        <f>IF(ISERROR('Eigen informatie GS &amp; warmtenet'!B60),0,'Eigen informatie GS &amp; warmtenet'!B60)</f>
        <v>0</v>
      </c>
      <c r="D5" s="30">
        <f>SUM(D6:D12)</f>
        <v>33052.192420895997</v>
      </c>
      <c r="E5" s="17">
        <f>SUM(E6:E12)</f>
        <v>143.44850004519731</v>
      </c>
      <c r="F5" s="17">
        <f>SUM(F6:F12)</f>
        <v>1114.6937623596014</v>
      </c>
      <c r="G5" s="18"/>
      <c r="H5" s="17"/>
      <c r="I5" s="17"/>
      <c r="J5" s="17">
        <f>SUM(J6:J12)</f>
        <v>3.7604556302933911E-2</v>
      </c>
      <c r="K5" s="17"/>
      <c r="L5" s="17"/>
      <c r="M5" s="17"/>
      <c r="N5" s="17">
        <f>SUM(N6:N12)</f>
        <v>1470.4527155277242</v>
      </c>
      <c r="O5" s="17">
        <f>B38*B39*B40</f>
        <v>24.486303829205774</v>
      </c>
      <c r="P5" s="17">
        <f>B46*B47*B48/1000-B46*B47*B48/1000/B49</f>
        <v>105.07827661299004</v>
      </c>
      <c r="R5" s="32"/>
    </row>
    <row r="6" spans="1:18">
      <c r="A6" s="32" t="s">
        <v>53</v>
      </c>
      <c r="B6" s="37">
        <f>B26</f>
        <v>1214.0250319999998</v>
      </c>
      <c r="C6" s="33"/>
      <c r="D6" s="37">
        <f>IF(ISERROR(TER_kantoor_gas_kWh/1000),0,TER_kantoor_gas_kWh/1000)*0.902</f>
        <v>1248.8079162240001</v>
      </c>
      <c r="E6" s="33">
        <f>$C$26*'E Balans VL '!I12/100/3.6*1000000</f>
        <v>9.7688701854129221</v>
      </c>
      <c r="F6" s="33">
        <f>$C$26*('E Balans VL '!L12+'E Balans VL '!N12)/100/3.6*1000000</f>
        <v>148.42733129646035</v>
      </c>
      <c r="G6" s="34"/>
      <c r="H6" s="33"/>
      <c r="I6" s="33"/>
      <c r="J6" s="33">
        <f>$C$26*('E Balans VL '!D12+'E Balans VL '!E12)/100/3.6*1000000</f>
        <v>0</v>
      </c>
      <c r="K6" s="33"/>
      <c r="L6" s="33"/>
      <c r="M6" s="33"/>
      <c r="N6" s="33">
        <f>$C$26*'E Balans VL '!Y12/100/3.6*1000000</f>
        <v>0.65247867043789343</v>
      </c>
      <c r="O6" s="33"/>
      <c r="P6" s="33"/>
      <c r="R6" s="32"/>
    </row>
    <row r="7" spans="1:18">
      <c r="A7" s="32" t="s">
        <v>52</v>
      </c>
      <c r="B7" s="37">
        <f t="shared" ref="B7:B12" si="0">B27</f>
        <v>684.87742900000001</v>
      </c>
      <c r="C7" s="33"/>
      <c r="D7" s="37">
        <f>IF(ISERROR(TER_horeca_gas_kWh/1000),0,TER_horeca_gas_kWh/1000)*0.902</f>
        <v>750.42287691799993</v>
      </c>
      <c r="E7" s="33">
        <f>$C$27*'E Balans VL '!I9/100/3.6*1000000</f>
        <v>7.3539018225144286</v>
      </c>
      <c r="F7" s="33">
        <f>$C$27*('E Balans VL '!L9+'E Balans VL '!N9)/100/3.6*1000000</f>
        <v>82.374147326383294</v>
      </c>
      <c r="G7" s="34"/>
      <c r="H7" s="33"/>
      <c r="I7" s="33"/>
      <c r="J7" s="33">
        <f>$C$27*('E Balans VL '!D9+'E Balans VL '!E9)/100/3.6*1000000</f>
        <v>0</v>
      </c>
      <c r="K7" s="33"/>
      <c r="L7" s="33"/>
      <c r="M7" s="33"/>
      <c r="N7" s="33">
        <f>$C$27*'E Balans VL '!Y9/100/3.6*1000000</f>
        <v>0.10267700746103904</v>
      </c>
      <c r="O7" s="33"/>
      <c r="P7" s="33"/>
      <c r="R7" s="32"/>
    </row>
    <row r="8" spans="1:18">
      <c r="A8" s="6" t="s">
        <v>51</v>
      </c>
      <c r="B8" s="37">
        <f t="shared" si="0"/>
        <v>3668.070811</v>
      </c>
      <c r="C8" s="33"/>
      <c r="D8" s="37">
        <f>IF(ISERROR(TER_handel_gas_kWh/1000),0,TER_handel_gas_kWh/1000)*0.902</f>
        <v>922.23244359400007</v>
      </c>
      <c r="E8" s="33">
        <f>$C$28*'E Balans VL '!I13/100/3.6*1000000</f>
        <v>98.439790877389015</v>
      </c>
      <c r="F8" s="33">
        <f>$C$28*('E Balans VL '!L13+'E Balans VL '!N13)/100/3.6*1000000</f>
        <v>350.04700822683509</v>
      </c>
      <c r="G8" s="34"/>
      <c r="H8" s="33"/>
      <c r="I8" s="33"/>
      <c r="J8" s="33">
        <f>$C$28*('E Balans VL '!D13+'E Balans VL '!E13)/100/3.6*1000000</f>
        <v>0</v>
      </c>
      <c r="K8" s="33"/>
      <c r="L8" s="33"/>
      <c r="M8" s="33"/>
      <c r="N8" s="33">
        <f>$C$28*'E Balans VL '!Y13/100/3.6*1000000</f>
        <v>1.4540649768594918</v>
      </c>
      <c r="O8" s="33"/>
      <c r="P8" s="33"/>
      <c r="R8" s="32"/>
    </row>
    <row r="9" spans="1:18">
      <c r="A9" s="32" t="s">
        <v>50</v>
      </c>
      <c r="B9" s="37">
        <f t="shared" si="0"/>
        <v>102.01772</v>
      </c>
      <c r="C9" s="33"/>
      <c r="D9" s="37">
        <f>IF(ISERROR(TER_gezond_gas_kWh/1000),0,TER_gezond_gas_kWh/1000)*0.902</f>
        <v>254.43333403400004</v>
      </c>
      <c r="E9" s="33">
        <f>$C$29*'E Balans VL '!I10/100/3.6*1000000</f>
        <v>0.19121442569210162</v>
      </c>
      <c r="F9" s="33">
        <f>$C$29*('E Balans VL '!L10+'E Balans VL '!N10)/100/3.6*1000000</f>
        <v>8.386787423970695</v>
      </c>
      <c r="G9" s="34"/>
      <c r="H9" s="33"/>
      <c r="I9" s="33"/>
      <c r="J9" s="33">
        <f>$C$29*('E Balans VL '!D10+'E Balans VL '!E10)/100/3.6*1000000</f>
        <v>0</v>
      </c>
      <c r="K9" s="33"/>
      <c r="L9" s="33"/>
      <c r="M9" s="33"/>
      <c r="N9" s="33">
        <f>$C$29*'E Balans VL '!Y10/100/3.6*1000000</f>
        <v>0.79377397775601855</v>
      </c>
      <c r="O9" s="33"/>
      <c r="P9" s="33"/>
      <c r="R9" s="32"/>
    </row>
    <row r="10" spans="1:18">
      <c r="A10" s="32" t="s">
        <v>49</v>
      </c>
      <c r="B10" s="37">
        <f t="shared" si="0"/>
        <v>2012.2391499999999</v>
      </c>
      <c r="C10" s="33"/>
      <c r="D10" s="37">
        <f>IF(ISERROR(TER_ander_gas_kWh/1000),0,TER_ander_gas_kWh/1000)*0.902</f>
        <v>2698.4008574600002</v>
      </c>
      <c r="E10" s="33">
        <f>$C$30*'E Balans VL '!I14/100/3.6*1000000</f>
        <v>3.1018870394292595</v>
      </c>
      <c r="F10" s="33">
        <f>$C$30*('E Balans VL '!L14+'E Balans VL '!N14)/100/3.6*1000000</f>
        <v>312.40068354665857</v>
      </c>
      <c r="G10" s="34"/>
      <c r="H10" s="33"/>
      <c r="I10" s="33"/>
      <c r="J10" s="33">
        <f>$C$30*('E Balans VL '!D14+'E Balans VL '!E14)/100/3.6*1000000</f>
        <v>3.4159881728560777E-2</v>
      </c>
      <c r="K10" s="33"/>
      <c r="L10" s="33"/>
      <c r="M10" s="33"/>
      <c r="N10" s="33">
        <f>$C$30*'E Balans VL '!Y14/100/3.6*1000000</f>
        <v>1331.2329298593418</v>
      </c>
      <c r="O10" s="33"/>
      <c r="P10" s="33"/>
      <c r="R10" s="32"/>
    </row>
    <row r="11" spans="1:18">
      <c r="A11" s="32" t="s">
        <v>54</v>
      </c>
      <c r="B11" s="37">
        <f t="shared" si="0"/>
        <v>54.532271999999999</v>
      </c>
      <c r="C11" s="33"/>
      <c r="D11" s="37">
        <f>IF(ISERROR(TER_onderwijs_gas_kWh/1000),0,TER_onderwijs_gas_kWh/1000)*0.902</f>
        <v>376.07683394600002</v>
      </c>
      <c r="E11" s="33">
        <f>$C$31*'E Balans VL '!I11/100/3.6*1000000</f>
        <v>1.3909453944951986</v>
      </c>
      <c r="F11" s="33">
        <f>$C$31*('E Balans VL '!L11+'E Balans VL '!N11)/100/3.6*1000000</f>
        <v>6.5580189852903468</v>
      </c>
      <c r="G11" s="34"/>
      <c r="H11" s="33"/>
      <c r="I11" s="33"/>
      <c r="J11" s="33">
        <f>$C$31*('E Balans VL '!D11+'E Balans VL '!E11)/100/3.6*1000000</f>
        <v>0</v>
      </c>
      <c r="K11" s="33"/>
      <c r="L11" s="33"/>
      <c r="M11" s="33"/>
      <c r="N11" s="33">
        <f>$C$31*'E Balans VL '!Y11/100/3.6*1000000</f>
        <v>0.12127844232909785</v>
      </c>
      <c r="O11" s="33"/>
      <c r="P11" s="33"/>
      <c r="R11" s="32"/>
    </row>
    <row r="12" spans="1:18">
      <c r="A12" s="32" t="s">
        <v>259</v>
      </c>
      <c r="B12" s="37">
        <f t="shared" si="0"/>
        <v>1797.427432</v>
      </c>
      <c r="C12" s="33"/>
      <c r="D12" s="37">
        <f>IF(ISERROR(TER_rest_gas_kWh/1000),0,TER_rest_gas_kWh/1000)*0.902</f>
        <v>26801.818158719998</v>
      </c>
      <c r="E12" s="33">
        <f>$C$32*'E Balans VL '!I8/100/3.6*1000000</f>
        <v>23.201890300264374</v>
      </c>
      <c r="F12" s="33">
        <f>$C$32*('E Balans VL '!L8+'E Balans VL '!N8)/100/3.6*1000000</f>
        <v>206.4997855540031</v>
      </c>
      <c r="G12" s="34"/>
      <c r="H12" s="33"/>
      <c r="I12" s="33"/>
      <c r="J12" s="33">
        <f>$C$32*('E Balans VL '!D8+'E Balans VL '!E8)/100/3.6*1000000</f>
        <v>3.4446745743731372E-3</v>
      </c>
      <c r="K12" s="33"/>
      <c r="L12" s="33"/>
      <c r="M12" s="33"/>
      <c r="N12" s="33">
        <f>$C$32*'E Balans VL '!Y8/100/3.6*1000000</f>
        <v>136.09551259353881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9533.1898459999993</v>
      </c>
      <c r="C16" s="21">
        <f t="shared" ca="1" si="1"/>
        <v>0</v>
      </c>
      <c r="D16" s="21">
        <f t="shared" ca="1" si="1"/>
        <v>33052.192420895997</v>
      </c>
      <c r="E16" s="21">
        <f t="shared" si="1"/>
        <v>143.44850004519731</v>
      </c>
      <c r="F16" s="21">
        <f t="shared" ca="1" si="1"/>
        <v>1114.6937623596014</v>
      </c>
      <c r="G16" s="21">
        <f t="shared" si="1"/>
        <v>0</v>
      </c>
      <c r="H16" s="21">
        <f t="shared" si="1"/>
        <v>0</v>
      </c>
      <c r="I16" s="21">
        <f t="shared" si="1"/>
        <v>0</v>
      </c>
      <c r="J16" s="21">
        <f t="shared" si="1"/>
        <v>3.7604556302933911E-2</v>
      </c>
      <c r="K16" s="21">
        <f t="shared" si="1"/>
        <v>0</v>
      </c>
      <c r="L16" s="21">
        <f t="shared" ca="1" si="1"/>
        <v>0</v>
      </c>
      <c r="M16" s="21">
        <f t="shared" si="1"/>
        <v>0</v>
      </c>
      <c r="N16" s="21">
        <f t="shared" ca="1" si="1"/>
        <v>1470.4527155277242</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0.21155176195728137</v>
      </c>
      <c r="C18" s="25">
        <f ca="1">'EF ele_warmte'!B22</f>
        <v>0.22267294823149178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2016.7631089945637</v>
      </c>
      <c r="C20" s="23">
        <f t="shared" ref="C20:P20" ca="1" si="2">C16*C18</f>
        <v>0</v>
      </c>
      <c r="D20" s="23">
        <f t="shared" ca="1" si="2"/>
        <v>6676.5428690209919</v>
      </c>
      <c r="E20" s="23">
        <f t="shared" si="2"/>
        <v>32.56280951025979</v>
      </c>
      <c r="F20" s="23">
        <f t="shared" ca="1" si="2"/>
        <v>297.62323455001359</v>
      </c>
      <c r="G20" s="23">
        <f t="shared" si="2"/>
        <v>0</v>
      </c>
      <c r="H20" s="23">
        <f t="shared" si="2"/>
        <v>0</v>
      </c>
      <c r="I20" s="23">
        <f t="shared" si="2"/>
        <v>0</v>
      </c>
      <c r="J20" s="23">
        <f t="shared" si="2"/>
        <v>1.3312012931238603E-2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1214.0250319999998</v>
      </c>
      <c r="C26" s="39">
        <f>IF(ISERROR(B26*3.6/1000000/'E Balans VL '!Z12*100),0,B26*3.6/1000000/'E Balans VL '!Z12*100)</f>
        <v>2.5754430348522084E-2</v>
      </c>
      <c r="D26" s="237" t="s">
        <v>716</v>
      </c>
      <c r="F26" s="6"/>
    </row>
    <row r="27" spans="1:18">
      <c r="A27" s="231" t="s">
        <v>52</v>
      </c>
      <c r="B27" s="33">
        <f>IF(ISERROR(TER_horeca_ele_kWh/1000),0,TER_horeca_ele_kWh/1000)</f>
        <v>684.87742900000001</v>
      </c>
      <c r="C27" s="39">
        <f>IF(ISERROR(B27*3.6/1000000/'E Balans VL '!Z9*100),0,B27*3.6/1000000/'E Balans VL '!Z9*100)</f>
        <v>5.1577337394895943E-2</v>
      </c>
      <c r="D27" s="237" t="s">
        <v>716</v>
      </c>
      <c r="F27" s="6"/>
    </row>
    <row r="28" spans="1:18">
      <c r="A28" s="171" t="s">
        <v>51</v>
      </c>
      <c r="B28" s="33">
        <f>IF(ISERROR(TER_handel_ele_kWh/1000),0,TER_handel_ele_kWh/1000)</f>
        <v>3668.070811</v>
      </c>
      <c r="C28" s="39">
        <f>IF(ISERROR(B28*3.6/1000000/'E Balans VL '!Z13*100),0,B28*3.6/1000000/'E Balans VL '!Z13*100)</f>
        <v>0.10647109865439812</v>
      </c>
      <c r="D28" s="237" t="s">
        <v>716</v>
      </c>
      <c r="F28" s="6"/>
    </row>
    <row r="29" spans="1:18">
      <c r="A29" s="231" t="s">
        <v>50</v>
      </c>
      <c r="B29" s="33">
        <f>IF(ISERROR(TER_gezond_ele_kWh/1000),0,TER_gezond_ele_kWh/1000)</f>
        <v>102.01772</v>
      </c>
      <c r="C29" s="39">
        <f>IF(ISERROR(B29*3.6/1000000/'E Balans VL '!Z10*100),0,B29*3.6/1000000/'E Balans VL '!Z10*100)</f>
        <v>1.0288608723086248E-2</v>
      </c>
      <c r="D29" s="237" t="s">
        <v>716</v>
      </c>
      <c r="F29" s="6"/>
    </row>
    <row r="30" spans="1:18">
      <c r="A30" s="231" t="s">
        <v>49</v>
      </c>
      <c r="B30" s="33">
        <f>IF(ISERROR(TER_ander_ele_kWh/1000),0,TER_ander_ele_kWh/1000)</f>
        <v>2012.2391499999999</v>
      </c>
      <c r="C30" s="39">
        <f>IF(ISERROR(B30*3.6/1000000/'E Balans VL '!Z14*100),0,B30*3.6/1000000/'E Balans VL '!Z14*100)</f>
        <v>0.14601540230796525</v>
      </c>
      <c r="D30" s="237" t="s">
        <v>716</v>
      </c>
      <c r="F30" s="6"/>
    </row>
    <row r="31" spans="1:18">
      <c r="A31" s="231" t="s">
        <v>54</v>
      </c>
      <c r="B31" s="33">
        <f>IF(ISERROR(TER_onderwijs_ele_kWh/1000),0,TER_onderwijs_ele_kWh/1000)</f>
        <v>54.532271999999999</v>
      </c>
      <c r="C31" s="39">
        <f>IF(ISERROR(B31*3.6/1000000/'E Balans VL '!Z11*100),0,B31*3.6/1000000/'E Balans VL '!Z11*100)</f>
        <v>1.5543918177517706E-2</v>
      </c>
      <c r="D31" s="237" t="s">
        <v>716</v>
      </c>
    </row>
    <row r="32" spans="1:18">
      <c r="A32" s="231" t="s">
        <v>259</v>
      </c>
      <c r="B32" s="33">
        <f>IF(ISERROR(TER_rest_ele_kWh/1000),0,TER_rest_ele_kWh/1000)</f>
        <v>1797.427432</v>
      </c>
      <c r="C32" s="39">
        <f>IF(ISERROR(B32*3.6/1000000/'E Balans VL '!Z8*100),0,B32*3.6/1000000/'E Balans VL '!Z8*100)</f>
        <v>1.4724159404116997E-2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159758.55095700003</v>
      </c>
      <c r="C5" s="17">
        <f>IF(ISERROR('Eigen informatie GS &amp; warmtenet'!B61),0,'Eigen informatie GS &amp; warmtenet'!B61)</f>
        <v>0</v>
      </c>
      <c r="D5" s="30">
        <f>SUM(D6:D15)</f>
        <v>81303.817207162007</v>
      </c>
      <c r="E5" s="17">
        <f>SUM(E6:E15)</f>
        <v>1267.6877319075097</v>
      </c>
      <c r="F5" s="17">
        <f>SUM(F6:F15)</f>
        <v>11404.870659339058</v>
      </c>
      <c r="G5" s="18"/>
      <c r="H5" s="17"/>
      <c r="I5" s="17"/>
      <c r="J5" s="17">
        <f>SUM(J6:J15)</f>
        <v>36.629601535414494</v>
      </c>
      <c r="K5" s="17"/>
      <c r="L5" s="17"/>
      <c r="M5" s="17"/>
      <c r="N5" s="17">
        <f>SUM(N6:N15)</f>
        <v>9194.7936561639654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1008.8324590000001</v>
      </c>
      <c r="C8" s="33"/>
      <c r="D8" s="37">
        <f>IF( ISERROR(IND_metaal_Gas_kWH/1000),0,IND_metaal_Gas_kWH/1000)*0.902</f>
        <v>37.064199260000002</v>
      </c>
      <c r="E8" s="33">
        <f>C30*'E Balans VL '!I18/100/3.6*1000000</f>
        <v>7.2780181268898465</v>
      </c>
      <c r="F8" s="33">
        <f>C30*'E Balans VL '!L18/100/3.6*1000000+C30*'E Balans VL '!N18/100/3.6*1000000</f>
        <v>95.416949053899785</v>
      </c>
      <c r="G8" s="34"/>
      <c r="H8" s="33"/>
      <c r="I8" s="33"/>
      <c r="J8" s="40">
        <f>C30*'E Balans VL '!D18/100/3.6*1000000+C30*'E Balans VL '!E18/100/3.6*1000000</f>
        <v>1.0146895497874859</v>
      </c>
      <c r="K8" s="33"/>
      <c r="L8" s="33"/>
      <c r="M8" s="33"/>
      <c r="N8" s="33">
        <f>C30*'E Balans VL '!Y18/100/3.6*1000000</f>
        <v>12.754311388935035</v>
      </c>
      <c r="O8" s="33"/>
      <c r="P8" s="33"/>
      <c r="R8" s="32"/>
    </row>
    <row r="9" spans="1:18">
      <c r="A9" s="6" t="s">
        <v>32</v>
      </c>
      <c r="B9" s="37">
        <f t="shared" si="0"/>
        <v>2844.2054579999999</v>
      </c>
      <c r="C9" s="33"/>
      <c r="D9" s="37">
        <f>IF( ISERROR(IND_andere_gas_kWh/1000),0,IND_andere_gas_kWh/1000)*0.902</f>
        <v>2173.5089263580003</v>
      </c>
      <c r="E9" s="33">
        <f>C31*'E Balans VL '!I19/100/3.6*1000000</f>
        <v>788.16736420348104</v>
      </c>
      <c r="F9" s="33">
        <f>C31*'E Balans VL '!L19/100/3.6*1000000+C31*'E Balans VL '!N19/100/3.6*1000000</f>
        <v>2357.2836299657642</v>
      </c>
      <c r="G9" s="34"/>
      <c r="H9" s="33"/>
      <c r="I9" s="33"/>
      <c r="J9" s="40">
        <f>C31*'E Balans VL '!D19/100/3.6*1000000+C31*'E Balans VL '!E19/100/3.6*1000000</f>
        <v>0</v>
      </c>
      <c r="K9" s="33"/>
      <c r="L9" s="33"/>
      <c r="M9" s="33"/>
      <c r="N9" s="33">
        <f>C31*'E Balans VL '!Y19/100/3.6*1000000</f>
        <v>206.45452785191702</v>
      </c>
      <c r="O9" s="33"/>
      <c r="P9" s="33"/>
      <c r="R9" s="32"/>
    </row>
    <row r="10" spans="1:18">
      <c r="A10" s="6" t="s">
        <v>40</v>
      </c>
      <c r="B10" s="37">
        <f t="shared" si="0"/>
        <v>151523.8444</v>
      </c>
      <c r="C10" s="33"/>
      <c r="D10" s="37">
        <f>IF( ISERROR(IND_voed_gas_kWh/1000),0,IND_voed_gas_kWh/1000)*0.902</f>
        <v>71963.007159780012</v>
      </c>
      <c r="E10" s="33">
        <f>C32*'E Balans VL '!I20/100/3.6*1000000</f>
        <v>268.24852900465362</v>
      </c>
      <c r="F10" s="33">
        <f>C32*'E Balans VL '!L20/100/3.6*1000000+C32*'E Balans VL '!N20/100/3.6*1000000</f>
        <v>8183.630541386513</v>
      </c>
      <c r="G10" s="34"/>
      <c r="H10" s="33"/>
      <c r="I10" s="33"/>
      <c r="J10" s="40">
        <f>C32*'E Balans VL '!D20/100/3.6*1000000+C32*'E Balans VL '!E20/100/3.6*1000000</f>
        <v>0</v>
      </c>
      <c r="K10" s="33"/>
      <c r="L10" s="33"/>
      <c r="M10" s="33"/>
      <c r="N10" s="33">
        <f>C32*'E Balans VL '!Y20/100/3.6*1000000</f>
        <v>8804.6925616594472</v>
      </c>
      <c r="O10" s="33"/>
      <c r="P10" s="33"/>
      <c r="R10" s="32"/>
    </row>
    <row r="11" spans="1:18">
      <c r="A11" s="6" t="s">
        <v>39</v>
      </c>
      <c r="B11" s="37">
        <f t="shared" si="0"/>
        <v>70.569312000000011</v>
      </c>
      <c r="C11" s="33"/>
      <c r="D11" s="37">
        <f>IF( ISERROR(IND_textiel_gas_kWh/1000),0,IND_textiel_gas_kWh/1000)*0.902</f>
        <v>0</v>
      </c>
      <c r="E11" s="33">
        <f>C33*'E Balans VL '!I21/100/3.6*1000000</f>
        <v>0.24876414953962883</v>
      </c>
      <c r="F11" s="33">
        <f>C33*'E Balans VL '!L21/100/3.6*1000000+C33*'E Balans VL '!N21/100/3.6*1000000</f>
        <v>2.0713148338210092</v>
      </c>
      <c r="G11" s="34"/>
      <c r="H11" s="33"/>
      <c r="I11" s="33"/>
      <c r="J11" s="40">
        <f>C33*'E Balans VL '!D21/100/3.6*1000000+C33*'E Balans VL '!E21/100/3.6*1000000</f>
        <v>0</v>
      </c>
      <c r="K11" s="33"/>
      <c r="L11" s="33"/>
      <c r="M11" s="33"/>
      <c r="N11" s="33">
        <f>C33*'E Balans VL '!Y21/100/3.6*1000000</f>
        <v>3.1092737849857506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4311.0993279999993</v>
      </c>
      <c r="C15" s="33"/>
      <c r="D15" s="37">
        <f>IF( ISERROR(IND_rest_gas_kWh/1000),0,IND_rest_gas_kWh/1000)*0.902</f>
        <v>7130.2369217640007</v>
      </c>
      <c r="E15" s="33">
        <f>C37*'E Balans VL '!I15/100/3.6*1000000</f>
        <v>203.74505642294559</v>
      </c>
      <c r="F15" s="33">
        <f>C37*'E Balans VL '!L15/100/3.6*1000000+C37*'E Balans VL '!N15/100/3.6*1000000</f>
        <v>766.46822409905838</v>
      </c>
      <c r="G15" s="34"/>
      <c r="H15" s="33"/>
      <c r="I15" s="33"/>
      <c r="J15" s="40">
        <f>C37*'E Balans VL '!D15/100/3.6*1000000+C37*'E Balans VL '!E15/100/3.6*1000000</f>
        <v>35.61491198562701</v>
      </c>
      <c r="K15" s="33"/>
      <c r="L15" s="33"/>
      <c r="M15" s="33"/>
      <c r="N15" s="33">
        <f>C37*'E Balans VL '!Y15/100/3.6*1000000</f>
        <v>167.78298147868253</v>
      </c>
      <c r="O15" s="33"/>
      <c r="P15" s="33"/>
      <c r="R15" s="32"/>
    </row>
    <row r="16" spans="1:18">
      <c r="A16" s="16" t="s">
        <v>482</v>
      </c>
      <c r="B16" s="247">
        <f>'lokale energieproductie'!N90+'lokale energieproductie'!N59</f>
        <v>1309.5</v>
      </c>
      <c r="C16" s="247">
        <f>'lokale energieproductie'!O90+'lokale energieproductie'!O59</f>
        <v>1870.7142857142858</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161068.05095700003</v>
      </c>
      <c r="C18" s="21">
        <f>C5+C16</f>
        <v>1870.7142857142858</v>
      </c>
      <c r="D18" s="21">
        <f>MAX((D5+D16),0)</f>
        <v>81303.817207162007</v>
      </c>
      <c r="E18" s="21">
        <f>MAX((E5+E16),0)</f>
        <v>1267.6877319075097</v>
      </c>
      <c r="F18" s="21">
        <f>MAX((F5+F16),0)</f>
        <v>11404.870659339058</v>
      </c>
      <c r="G18" s="21"/>
      <c r="H18" s="21"/>
      <c r="I18" s="21"/>
      <c r="J18" s="21">
        <f>MAX((J5+J16),0)</f>
        <v>36.629601535414494</v>
      </c>
      <c r="K18" s="21"/>
      <c r="L18" s="21">
        <f>MAX((L5+L16),0)</f>
        <v>0</v>
      </c>
      <c r="M18" s="21"/>
      <c r="N18" s="21">
        <f>MAX((N5+N16),0)</f>
        <v>5453.3650847353938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0.21155176195728137</v>
      </c>
      <c r="C20" s="25">
        <f ca="1">'EF ele_warmte'!B22</f>
        <v>0.22267294823149178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34074.229974978538</v>
      </c>
      <c r="C22" s="23">
        <f ca="1">C18*C20</f>
        <v>416.55746529876927</v>
      </c>
      <c r="D22" s="23">
        <f>D18*D20</f>
        <v>16423.371075846728</v>
      </c>
      <c r="E22" s="23">
        <f>E18*E20</f>
        <v>287.76511514300472</v>
      </c>
      <c r="F22" s="23">
        <f>F18*F20</f>
        <v>3045.1004660435287</v>
      </c>
      <c r="G22" s="23"/>
      <c r="H22" s="23"/>
      <c r="I22" s="23"/>
      <c r="J22" s="23">
        <f>J18*J20</f>
        <v>12.966878943536731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1008.8324590000001</v>
      </c>
      <c r="C30" s="39">
        <f>IF(ISERROR(B30*3.6/1000000/'E Balans VL '!Z18*100),0,B30*3.6/1000000/'E Balans VL '!Z18*100)</f>
        <v>5.8238323728695397E-2</v>
      </c>
      <c r="D30" s="237" t="s">
        <v>716</v>
      </c>
    </row>
    <row r="31" spans="1:18">
      <c r="A31" s="6" t="s">
        <v>32</v>
      </c>
      <c r="B31" s="37">
        <f>IF( ISERROR(IND_ander_ele_kWh/1000),0,IND_ander_ele_kWh/1000)</f>
        <v>2844.2054579999999</v>
      </c>
      <c r="C31" s="39">
        <f>IF(ISERROR(B31*3.6/1000000/'E Balans VL '!Z19*100),0,B31*3.6/1000000/'E Balans VL '!Z19*100)</f>
        <v>0.14305431540238178</v>
      </c>
      <c r="D31" s="237" t="s">
        <v>716</v>
      </c>
    </row>
    <row r="32" spans="1:18">
      <c r="A32" s="171" t="s">
        <v>40</v>
      </c>
      <c r="B32" s="37">
        <f>IF( ISERROR(IND_voed_ele_kWh/1000),0,IND_voed_ele_kWh/1000)</f>
        <v>151523.8444</v>
      </c>
      <c r="C32" s="39">
        <f>IF(ISERROR(B32*3.6/1000000/'E Balans VL '!Z20*100),0,B32*3.6/1000000/'E Balans VL '!Z20*100)</f>
        <v>5.0466438046988955</v>
      </c>
      <c r="D32" s="237" t="s">
        <v>716</v>
      </c>
    </row>
    <row r="33" spans="1:5">
      <c r="A33" s="171" t="s">
        <v>39</v>
      </c>
      <c r="B33" s="37">
        <f>IF( ISERROR(IND_textiel_ele_kWh/1000),0,IND_textiel_ele_kWh/1000)</f>
        <v>70.569312000000011</v>
      </c>
      <c r="C33" s="39">
        <f>IF(ISERROR(B33*3.6/1000000/'E Balans VL '!Z21*100),0,B33*3.6/1000000/'E Balans VL '!Z21*100)</f>
        <v>1.1002653906886246E-2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4311.0993279999993</v>
      </c>
      <c r="C37" s="39">
        <f>IF(ISERROR(B37*3.6/1000000/'E Balans VL '!Z15*100),0,B37*3.6/1000000/'E Balans VL '!Z15*100)</f>
        <v>3.3638364025098941E-2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9187.891282999999</v>
      </c>
      <c r="C5" s="17">
        <f>'Eigen informatie GS &amp; warmtenet'!B62</f>
        <v>0</v>
      </c>
      <c r="D5" s="30">
        <f>IF(ISERROR(SUM(LB_lb_gas_kWh,LB_rest_gas_kWh)/1000),0,SUM(LB_lb_gas_kWh,LB_rest_gas_kWh)/1000)*0.902</f>
        <v>110387.10213852201</v>
      </c>
      <c r="E5" s="17">
        <f>B17*'E Balans VL '!I25/3.6*1000000/100</f>
        <v>286.75105714966395</v>
      </c>
      <c r="F5" s="17">
        <f>B17*('E Balans VL '!L25/3.6*1000000+'E Balans VL '!N25/3.6*1000000)/100</f>
        <v>32471.025601261965</v>
      </c>
      <c r="G5" s="18"/>
      <c r="H5" s="17"/>
      <c r="I5" s="17"/>
      <c r="J5" s="17">
        <f>('E Balans VL '!D25+'E Balans VL '!E25)/3.6*1000000*landbouw!B17/100</f>
        <v>2531.3277659341315</v>
      </c>
      <c r="K5" s="17"/>
      <c r="L5" s="17">
        <f>L6*(-1)</f>
        <v>0</v>
      </c>
      <c r="M5" s="17"/>
      <c r="N5" s="17">
        <f>N6*(-1)</f>
        <v>0</v>
      </c>
      <c r="O5" s="17"/>
      <c r="P5" s="17"/>
      <c r="R5" s="32"/>
    </row>
    <row r="6" spans="1:18">
      <c r="A6" s="16" t="s">
        <v>482</v>
      </c>
      <c r="B6" s="17" t="s">
        <v>210</v>
      </c>
      <c r="C6" s="17">
        <f>'lokale energieproductie'!O92+'lokale energieproductie'!O61</f>
        <v>53158.928571428572</v>
      </c>
      <c r="D6" s="310">
        <f>('lokale energieproductie'!P61+'lokale energieproductie'!P92)*(-1)</f>
        <v>-103124.46428571429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9187.891282999999</v>
      </c>
      <c r="C8" s="21">
        <f>C5+C6</f>
        <v>53158.928571428572</v>
      </c>
      <c r="D8" s="21">
        <f>MAX((D5+D6),0)</f>
        <v>7262.6378528077184</v>
      </c>
      <c r="E8" s="21">
        <f>MAX((E5+E6),0)</f>
        <v>286.75105714966395</v>
      </c>
      <c r="F8" s="21">
        <f>MAX((F5+F6),0)</f>
        <v>32471.025601261965</v>
      </c>
      <c r="G8" s="21"/>
      <c r="H8" s="21"/>
      <c r="I8" s="21"/>
      <c r="J8" s="21">
        <f>MAX((J5+J6),0)</f>
        <v>2531.3277659341315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0.21155176195728137</v>
      </c>
      <c r="C10" s="31">
        <f ca="1">'EF ele_warmte'!B22</f>
        <v>0.22267294823149178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1943.7145895905962</v>
      </c>
      <c r="C12" s="23">
        <f ca="1">C8*C10</f>
        <v>11837.055349827284</v>
      </c>
      <c r="D12" s="23">
        <f>D8*D10</f>
        <v>1467.0528462671591</v>
      </c>
      <c r="E12" s="23">
        <f>E8*E10</f>
        <v>65.092489972973723</v>
      </c>
      <c r="F12" s="23">
        <f>F8*F10</f>
        <v>8669.7638355369454</v>
      </c>
      <c r="G12" s="23"/>
      <c r="H12" s="23"/>
      <c r="I12" s="23"/>
      <c r="J12" s="23">
        <f>J8*J10</f>
        <v>896.09002914068253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1.3658459042615467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472.09203125915354</v>
      </c>
      <c r="C26" s="247">
        <f>B26*'GWP N2O_CH4'!B5</f>
        <v>9913.9326564422245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761.30854178559503</v>
      </c>
      <c r="C27" s="247">
        <f>B27*'GWP N2O_CH4'!B5</f>
        <v>15987.479377497495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8.3871814153134139</v>
      </c>
      <c r="C28" s="247">
        <f>B28*'GWP N2O_CH4'!B4</f>
        <v>2600.0262387471585</v>
      </c>
      <c r="D28" s="50"/>
    </row>
    <row r="29" spans="1:4">
      <c r="A29" s="41" t="s">
        <v>276</v>
      </c>
      <c r="B29" s="247">
        <f>B34*'ha_N2O bodem landbouw'!B4</f>
        <v>21.989520705663441</v>
      </c>
      <c r="C29" s="247">
        <f>B29*'GWP N2O_CH4'!B4</f>
        <v>6816.7514187556671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4.8219059783337053E-3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1.1478238619E-4</v>
      </c>
      <c r="C5" s="463" t="s">
        <v>210</v>
      </c>
      <c r="D5" s="448">
        <f>SUM(D6:D11)</f>
        <v>5.2440672722869203E-4</v>
      </c>
      <c r="E5" s="448">
        <f>SUM(E6:E11)</f>
        <v>3.9659345930967503E-4</v>
      </c>
      <c r="F5" s="461" t="s">
        <v>210</v>
      </c>
      <c r="G5" s="448">
        <f>SUM(G6:G11)</f>
        <v>0.16454878977279652</v>
      </c>
      <c r="H5" s="448">
        <f>SUM(H6:H11)</f>
        <v>3.8816378143046441E-2</v>
      </c>
      <c r="I5" s="463" t="s">
        <v>210</v>
      </c>
      <c r="J5" s="463" t="s">
        <v>210</v>
      </c>
      <c r="K5" s="463" t="s">
        <v>210</v>
      </c>
      <c r="L5" s="463" t="s">
        <v>210</v>
      </c>
      <c r="M5" s="448">
        <f>SUM(M6:M11)</f>
        <v>1.2039215015219311E-2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6.7972180944999997E-5</v>
      </c>
      <c r="C6" s="449"/>
      <c r="D6" s="917">
        <f>vkm_2011_GW_PW*SUMIFS(TableVerdeelsleutelVkm[CNG],TableVerdeelsleutelVkm[Voertuigtype],"Lichte voertuigen")*SUMIFS(TableECFTransport[EnergieConsumptieFactor (PJ per km)],TableECFTransport[Index],CONCATENATE($A6,"_CNG_CNG"))</f>
        <v>2.3635085101597202E-4</v>
      </c>
      <c r="E6" s="917">
        <f>vkm_2011_GW_PW*SUMIFS(TableVerdeelsleutelVkm[LPG],TableVerdeelsleutelVkm[Voertuigtype],"Lichte voertuigen")*SUMIFS(TableECFTransport[EnergieConsumptieFactor (PJ per km)],TableECFTransport[Index],CONCATENATE($A6,"_LPG_LPG"))</f>
        <v>1.8620553057239998E-4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5.0687310515587218E-2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1.7737192108411015E-2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4.0887941036018231E-3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3.7971807308034587E-2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9.5663218969922898E-6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2.189573041568599E-3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4.6810205244999999E-5</v>
      </c>
      <c r="C8" s="449"/>
      <c r="D8" s="451">
        <f>vkm_2011_NGW_PW*SUMIFS(TableVerdeelsleutelVkm[CNG],TableVerdeelsleutelVkm[Voertuigtype],"Lichte voertuigen")*SUMIFS(TableECFTransport[EnergieConsumptieFactor (PJ per km)],TableECFTransport[Index],CONCATENATE($A8,"_CNG_CNG"))</f>
        <v>2.8805587621272006E-4</v>
      </c>
      <c r="E8" s="451">
        <f>vkm_2011_NGW_PW*SUMIFS(TableVerdeelsleutelVkm[LPG],TableVerdeelsleutelVkm[Voertuigtype],"Lichte voertuigen")*SUMIFS(TableECFTransport[EnergieConsumptieFactor (PJ per km)],TableECFTransport[Index],CONCATENATE($A8,"_LPG_LPG"))</f>
        <v>2.1038792873727502E-4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5.3144851963465217E-2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2.106421299974303E-2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4.44933176749269E-3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2.2744819985709486E-2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5.4067129954075788E-6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1.311516102556199E-3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31.883996163888884</v>
      </c>
      <c r="C14" s="21"/>
      <c r="D14" s="21">
        <f t="shared" ref="D14:M14" si="0">((D5)*10^9/3600)+D12</f>
        <v>145.66853534130334</v>
      </c>
      <c r="E14" s="21">
        <f t="shared" si="0"/>
        <v>110.16484980824306</v>
      </c>
      <c r="F14" s="21"/>
      <c r="G14" s="21">
        <f t="shared" si="0"/>
        <v>45707.997159110142</v>
      </c>
      <c r="H14" s="21">
        <f t="shared" si="0"/>
        <v>10782.327261957344</v>
      </c>
      <c r="I14" s="21"/>
      <c r="J14" s="21"/>
      <c r="K14" s="21"/>
      <c r="L14" s="21"/>
      <c r="M14" s="21">
        <f t="shared" si="0"/>
        <v>3344.2263931164753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0.21155176195728137</v>
      </c>
      <c r="C16" s="56">
        <f ca="1">'EF ele_warmte'!B22</f>
        <v>0.22267294823149178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6.7451155667098934</v>
      </c>
      <c r="C18" s="23"/>
      <c r="D18" s="23">
        <f t="shared" ref="D18:M18" si="1">D14*D16</f>
        <v>29.425044138943278</v>
      </c>
      <c r="E18" s="23">
        <f t="shared" si="1"/>
        <v>25.007420906471175</v>
      </c>
      <c r="F18" s="23"/>
      <c r="G18" s="23">
        <f t="shared" si="1"/>
        <v>12204.035241482408</v>
      </c>
      <c r="H18" s="23">
        <f t="shared" si="1"/>
        <v>2684.7994882273783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3.9057028924782988E-3</v>
      </c>
      <c r="H50" s="321">
        <f t="shared" si="2"/>
        <v>0</v>
      </c>
      <c r="I50" s="321">
        <f t="shared" si="2"/>
        <v>0</v>
      </c>
      <c r="J50" s="321">
        <f t="shared" si="2"/>
        <v>0</v>
      </c>
      <c r="K50" s="321">
        <f t="shared" si="2"/>
        <v>0</v>
      </c>
      <c r="L50" s="321">
        <f t="shared" si="2"/>
        <v>0</v>
      </c>
      <c r="M50" s="321">
        <f t="shared" si="2"/>
        <v>2.1707939890622916E-4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3.9057028924782988E-3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2.1707939890622916E-4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1084.9174701328609</v>
      </c>
      <c r="H54" s="21">
        <f t="shared" si="3"/>
        <v>0</v>
      </c>
      <c r="I54" s="21">
        <f t="shared" si="3"/>
        <v>0</v>
      </c>
      <c r="J54" s="21">
        <f t="shared" si="3"/>
        <v>0</v>
      </c>
      <c r="K54" s="21">
        <f t="shared" si="3"/>
        <v>0</v>
      </c>
      <c r="L54" s="21">
        <f t="shared" si="3"/>
        <v>0</v>
      </c>
      <c r="M54" s="21">
        <f t="shared" si="3"/>
        <v>60.2998330295081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0.21155176195728137</v>
      </c>
      <c r="C56" s="56">
        <f ca="1">'EF ele_warmte'!B22</f>
        <v>0.22267294823149178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289.6729645254739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8830.9425105114315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38520.75</v>
      </c>
      <c r="C8" s="574">
        <f>B101</f>
        <v>42463.014705882357</v>
      </c>
      <c r="D8" s="575"/>
      <c r="E8" s="575">
        <f>E101</f>
        <v>0</v>
      </c>
      <c r="F8" s="576"/>
      <c r="G8" s="577"/>
      <c r="H8" s="575">
        <f>I101</f>
        <v>0</v>
      </c>
      <c r="I8" s="575">
        <f>G101+F101</f>
        <v>0</v>
      </c>
      <c r="J8" s="575">
        <f>H101+D101+C101</f>
        <v>1540.5882352941178</v>
      </c>
      <c r="K8" s="575"/>
      <c r="L8" s="575"/>
      <c r="M8" s="575"/>
      <c r="N8" s="578"/>
      <c r="O8" s="579">
        <f>C8*$C$12+D8*$D$12+E8*$E$12+F8*$F$12+G8*$G$12+H8*$H$12+I8*$I$12+J8*$J$12</f>
        <v>8577.5289705882369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47351.692510511435</v>
      </c>
      <c r="C10" s="589">
        <f t="shared" ref="C10:L10" si="0">SUM(C8:C9)</f>
        <v>42463.014705882357</v>
      </c>
      <c r="D10" s="589">
        <f t="shared" si="0"/>
        <v>0</v>
      </c>
      <c r="E10" s="589">
        <f t="shared" si="0"/>
        <v>0</v>
      </c>
      <c r="F10" s="589">
        <f t="shared" si="0"/>
        <v>0</v>
      </c>
      <c r="G10" s="589">
        <f t="shared" si="0"/>
        <v>0</v>
      </c>
      <c r="H10" s="589">
        <f t="shared" si="0"/>
        <v>0</v>
      </c>
      <c r="I10" s="589">
        <f t="shared" si="0"/>
        <v>0</v>
      </c>
      <c r="J10" s="589">
        <f t="shared" si="0"/>
        <v>1540.5882352941178</v>
      </c>
      <c r="K10" s="589">
        <f t="shared" si="0"/>
        <v>0</v>
      </c>
      <c r="L10" s="589">
        <f t="shared" si="0"/>
        <v>0</v>
      </c>
      <c r="M10" s="1004"/>
      <c r="N10" s="1004"/>
      <c r="O10" s="590">
        <f>SUM(O4:O9)</f>
        <v>8577.5289705882369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55029.642857142855</v>
      </c>
      <c r="C17" s="605">
        <f>B102</f>
        <v>60661.44957983194</v>
      </c>
      <c r="D17" s="606"/>
      <c r="E17" s="606">
        <f>E102</f>
        <v>0</v>
      </c>
      <c r="F17" s="607"/>
      <c r="G17" s="608"/>
      <c r="H17" s="605">
        <f>I102</f>
        <v>0</v>
      </c>
      <c r="I17" s="606">
        <f>G102+F102</f>
        <v>0</v>
      </c>
      <c r="J17" s="606">
        <f>H102+D102+C102</f>
        <v>2200.840336134454</v>
      </c>
      <c r="K17" s="606"/>
      <c r="L17" s="606"/>
      <c r="M17" s="606"/>
      <c r="N17" s="1005"/>
      <c r="O17" s="609">
        <f>C17*$C$22+E17*$E$22+H17*$H$22+I17*$I$22+J17*$J$22+D17*$D$22+F17*$F$22+G17*$G$22+K17*$K$22+L17*$L$22</f>
        <v>12253.612815126053</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55029.642857142855</v>
      </c>
      <c r="C20" s="588">
        <f>SUM(C17:C19)</f>
        <v>60661.44957983194</v>
      </c>
      <c r="D20" s="588">
        <f t="shared" ref="D20:L20" si="1">SUM(D17:D19)</f>
        <v>0</v>
      </c>
      <c r="E20" s="588">
        <f t="shared" si="1"/>
        <v>0</v>
      </c>
      <c r="F20" s="588">
        <f t="shared" si="1"/>
        <v>0</v>
      </c>
      <c r="G20" s="588">
        <f t="shared" si="1"/>
        <v>0</v>
      </c>
      <c r="H20" s="588">
        <f t="shared" si="1"/>
        <v>0</v>
      </c>
      <c r="I20" s="588">
        <f t="shared" si="1"/>
        <v>0</v>
      </c>
      <c r="J20" s="588">
        <f t="shared" si="1"/>
        <v>2200.840336134454</v>
      </c>
      <c r="K20" s="588">
        <f t="shared" si="1"/>
        <v>0</v>
      </c>
      <c r="L20" s="588">
        <f t="shared" si="1"/>
        <v>0</v>
      </c>
      <c r="M20" s="588"/>
      <c r="N20" s="588"/>
      <c r="O20" s="614">
        <f>SUM(O17:O19)</f>
        <v>12253.612815126053</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36019</v>
      </c>
      <c r="C28" s="817">
        <v>8840</v>
      </c>
      <c r="D28" s="666" t="s">
        <v>886</v>
      </c>
      <c r="E28" s="665" t="s">
        <v>887</v>
      </c>
      <c r="F28" s="665" t="s">
        <v>888</v>
      </c>
      <c r="G28" s="665" t="s">
        <v>889</v>
      </c>
      <c r="H28" s="665" t="s">
        <v>890</v>
      </c>
      <c r="I28" s="665" t="s">
        <v>891</v>
      </c>
      <c r="J28" s="816">
        <v>38625</v>
      </c>
      <c r="K28" s="816">
        <v>38412</v>
      </c>
      <c r="L28" s="665" t="s">
        <v>892</v>
      </c>
      <c r="M28" s="665">
        <v>291</v>
      </c>
      <c r="N28" s="665">
        <v>1309.5</v>
      </c>
      <c r="O28" s="665">
        <v>1870.7142857142858</v>
      </c>
      <c r="P28" s="665">
        <v>0</v>
      </c>
      <c r="Q28" s="665">
        <v>3741.4285714285716</v>
      </c>
      <c r="R28" s="665">
        <v>0</v>
      </c>
      <c r="S28" s="665">
        <v>0</v>
      </c>
      <c r="T28" s="665">
        <v>0</v>
      </c>
      <c r="U28" s="665">
        <v>0</v>
      </c>
      <c r="V28" s="665">
        <v>0</v>
      </c>
      <c r="W28" s="665">
        <v>0</v>
      </c>
      <c r="X28" s="665">
        <v>500</v>
      </c>
      <c r="Y28" s="665" t="s">
        <v>40</v>
      </c>
      <c r="Z28" s="667" t="s">
        <v>388</v>
      </c>
    </row>
    <row r="29" spans="1:26" s="619" customFormat="1" ht="25.5">
      <c r="A29" s="618"/>
      <c r="B29" s="817">
        <v>36019</v>
      </c>
      <c r="C29" s="817">
        <v>8840</v>
      </c>
      <c r="D29" s="666" t="s">
        <v>893</v>
      </c>
      <c r="E29" s="665" t="s">
        <v>894</v>
      </c>
      <c r="F29" s="665" t="s">
        <v>895</v>
      </c>
      <c r="G29" s="665" t="s">
        <v>889</v>
      </c>
      <c r="H29" s="665" t="s">
        <v>890</v>
      </c>
      <c r="I29" s="665" t="s">
        <v>894</v>
      </c>
      <c r="J29" s="816">
        <v>40910</v>
      </c>
      <c r="K29" s="816">
        <v>39792</v>
      </c>
      <c r="L29" s="665" t="s">
        <v>892</v>
      </c>
      <c r="M29" s="665">
        <v>3938</v>
      </c>
      <c r="N29" s="665">
        <v>17721</v>
      </c>
      <c r="O29" s="665">
        <v>25315.714285714286</v>
      </c>
      <c r="P29" s="665">
        <v>50631.428571428572</v>
      </c>
      <c r="Q29" s="665">
        <v>0</v>
      </c>
      <c r="R29" s="665">
        <v>0</v>
      </c>
      <c r="S29" s="665">
        <v>0</v>
      </c>
      <c r="T29" s="665">
        <v>0</v>
      </c>
      <c r="U29" s="665">
        <v>0</v>
      </c>
      <c r="V29" s="665">
        <v>0</v>
      </c>
      <c r="W29" s="665">
        <v>0</v>
      </c>
      <c r="X29" s="665">
        <v>10</v>
      </c>
      <c r="Y29" s="665" t="s">
        <v>111</v>
      </c>
      <c r="Z29" s="667" t="s">
        <v>111</v>
      </c>
    </row>
    <row r="30" spans="1:26" s="619" customFormat="1" ht="25.5">
      <c r="A30" s="618"/>
      <c r="B30" s="817">
        <v>36019</v>
      </c>
      <c r="C30" s="817">
        <v>8840</v>
      </c>
      <c r="D30" s="666" t="s">
        <v>896</v>
      </c>
      <c r="E30" s="665" t="s">
        <v>897</v>
      </c>
      <c r="F30" s="665" t="s">
        <v>898</v>
      </c>
      <c r="G30" s="665" t="s">
        <v>889</v>
      </c>
      <c r="H30" s="665" t="s">
        <v>890</v>
      </c>
      <c r="I30" s="665" t="s">
        <v>897</v>
      </c>
      <c r="J30" s="816">
        <v>39912</v>
      </c>
      <c r="K30" s="816">
        <v>39923</v>
      </c>
      <c r="L30" s="665" t="s">
        <v>892</v>
      </c>
      <c r="M30" s="665">
        <v>2000</v>
      </c>
      <c r="N30" s="665">
        <v>9000</v>
      </c>
      <c r="O30" s="665">
        <v>12857.142857142857</v>
      </c>
      <c r="P30" s="665">
        <v>25714.285714285717</v>
      </c>
      <c r="Q30" s="665">
        <v>0</v>
      </c>
      <c r="R30" s="665">
        <v>0</v>
      </c>
      <c r="S30" s="665">
        <v>0</v>
      </c>
      <c r="T30" s="665">
        <v>0</v>
      </c>
      <c r="U30" s="665">
        <v>0</v>
      </c>
      <c r="V30" s="665">
        <v>0</v>
      </c>
      <c r="W30" s="665">
        <v>0</v>
      </c>
      <c r="X30" s="665">
        <v>10</v>
      </c>
      <c r="Y30" s="665" t="s">
        <v>111</v>
      </c>
      <c r="Z30" s="667" t="s">
        <v>111</v>
      </c>
    </row>
    <row r="31" spans="1:26" s="619" customFormat="1" ht="25.5">
      <c r="A31" s="618"/>
      <c r="B31" s="817">
        <v>36019</v>
      </c>
      <c r="C31" s="817">
        <v>8840</v>
      </c>
      <c r="D31" s="666" t="s">
        <v>896</v>
      </c>
      <c r="E31" s="665" t="s">
        <v>897</v>
      </c>
      <c r="F31" s="665" t="s">
        <v>899</v>
      </c>
      <c r="G31" s="665" t="s">
        <v>889</v>
      </c>
      <c r="H31" s="665" t="s">
        <v>890</v>
      </c>
      <c r="I31" s="665" t="s">
        <v>900</v>
      </c>
      <c r="J31" s="816">
        <v>40557</v>
      </c>
      <c r="K31" s="816">
        <v>40576</v>
      </c>
      <c r="L31" s="665" t="s">
        <v>892</v>
      </c>
      <c r="M31" s="665">
        <v>2000</v>
      </c>
      <c r="N31" s="665">
        <v>9000</v>
      </c>
      <c r="O31" s="665">
        <v>12857.142857142857</v>
      </c>
      <c r="P31" s="665">
        <v>25714.285714285717</v>
      </c>
      <c r="Q31" s="665">
        <v>0</v>
      </c>
      <c r="R31" s="665">
        <v>0</v>
      </c>
      <c r="S31" s="665">
        <v>0</v>
      </c>
      <c r="T31" s="665">
        <v>0</v>
      </c>
      <c r="U31" s="665">
        <v>0</v>
      </c>
      <c r="V31" s="665">
        <v>0</v>
      </c>
      <c r="W31" s="665">
        <v>0</v>
      </c>
      <c r="X31" s="665">
        <v>10</v>
      </c>
      <c r="Y31" s="665" t="s">
        <v>111</v>
      </c>
      <c r="Z31" s="667" t="s">
        <v>111</v>
      </c>
    </row>
    <row r="32" spans="1:26" s="619" customFormat="1" ht="25.5">
      <c r="A32" s="618"/>
      <c r="B32" s="817">
        <v>36019</v>
      </c>
      <c r="C32" s="817">
        <v>8840</v>
      </c>
      <c r="D32" s="666" t="s">
        <v>901</v>
      </c>
      <c r="E32" s="665"/>
      <c r="F32" s="665" t="s">
        <v>902</v>
      </c>
      <c r="G32" s="665" t="s">
        <v>903</v>
      </c>
      <c r="H32" s="665" t="s">
        <v>890</v>
      </c>
      <c r="I32" s="665" t="s">
        <v>904</v>
      </c>
      <c r="J32" s="816">
        <v>43025</v>
      </c>
      <c r="K32" s="816">
        <v>43025</v>
      </c>
      <c r="L32" s="665" t="s">
        <v>905</v>
      </c>
      <c r="M32" s="665">
        <v>1987</v>
      </c>
      <c r="N32" s="665">
        <v>1490.25</v>
      </c>
      <c r="O32" s="665">
        <v>2128.9285714285716</v>
      </c>
      <c r="P32" s="665">
        <v>1064.4642857142858</v>
      </c>
      <c r="Q32" s="665">
        <v>0</v>
      </c>
      <c r="R32" s="665">
        <v>0</v>
      </c>
      <c r="S32" s="665">
        <v>0</v>
      </c>
      <c r="T32" s="665">
        <v>0</v>
      </c>
      <c r="U32" s="665">
        <v>0</v>
      </c>
      <c r="V32" s="665">
        <v>0</v>
      </c>
      <c r="W32" s="665">
        <v>0</v>
      </c>
      <c r="X32" s="665">
        <v>10</v>
      </c>
      <c r="Y32" s="665" t="s">
        <v>111</v>
      </c>
      <c r="Z32" s="667" t="s">
        <v>111</v>
      </c>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10216</v>
      </c>
      <c r="N58" s="623">
        <f>SUM(N28:N57)</f>
        <v>38520.75</v>
      </c>
      <c r="O58" s="623">
        <f t="shared" ref="O58:W58" si="2">SUM(O28:O57)</f>
        <v>55029.642857142855</v>
      </c>
      <c r="P58" s="623">
        <f t="shared" si="2"/>
        <v>103124.46428571429</v>
      </c>
      <c r="Q58" s="623">
        <f t="shared" si="2"/>
        <v>3741.4285714285716</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291</v>
      </c>
      <c r="N59" s="623">
        <f t="shared" si="3"/>
        <v>1309.5</v>
      </c>
      <c r="O59" s="623">
        <f t="shared" si="3"/>
        <v>1870.7142857142858</v>
      </c>
      <c r="P59" s="623">
        <f t="shared" si="3"/>
        <v>0</v>
      </c>
      <c r="Q59" s="623">
        <f t="shared" si="3"/>
        <v>3741.4285714285716</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9925</v>
      </c>
      <c r="N61" s="628">
        <f t="shared" si="4"/>
        <v>37211.25</v>
      </c>
      <c r="O61" s="628">
        <f t="shared" si="4"/>
        <v>53158.928571428572</v>
      </c>
      <c r="P61" s="628">
        <f t="shared" si="4"/>
        <v>103124.46428571429</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42463.014705882357</v>
      </c>
      <c r="C101" s="657">
        <f t="shared" si="9"/>
        <v>1540.5882352941178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60661.44957983194</v>
      </c>
      <c r="C102" s="660">
        <f t="shared" si="10"/>
        <v>2200.840336134454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2019-08-12T08:40:09Z</dcterms:modified>
</cp:coreProperties>
</file>