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N61"/>
  <c r="M61"/>
  <c r="W60"/>
  <c r="V60"/>
  <c r="U60"/>
  <c r="T60"/>
  <c r="S60"/>
  <c r="R60"/>
  <c r="Q60"/>
  <c r="P60"/>
  <c r="O60"/>
  <c r="N60"/>
  <c r="M60"/>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O20" i="59" l="1"/>
  <c r="E20"/>
  <c r="K15" i="48"/>
  <c r="B13" i="15"/>
  <c r="F6" i="17"/>
  <c r="D16" i="16"/>
  <c r="J15"/>
  <c r="J30" i="48"/>
  <c r="J32"/>
  <c r="F30"/>
  <c r="F32"/>
  <c r="N30"/>
  <c r="N32"/>
  <c r="N20" i="59"/>
  <c r="G20"/>
  <c r="C13" i="15"/>
  <c r="L6" i="17"/>
  <c r="L5" s="1"/>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K33" s="1"/>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G78" i="14" l="1"/>
  <c r="G9" i="59"/>
  <c r="G10" s="1"/>
  <c r="I33" i="48"/>
  <c r="I20" i="15"/>
  <c r="J40" i="14" s="1"/>
  <c r="J27"/>
  <c r="I15" i="48"/>
  <c r="H90" i="14"/>
  <c r="H18" i="59"/>
  <c r="H20" s="1"/>
  <c r="H78" i="14"/>
  <c r="H9" i="59"/>
  <c r="H10" s="1"/>
  <c r="N78" i="14"/>
  <c r="N9" i="59"/>
  <c r="N10" s="1"/>
  <c r="M24" i="48"/>
  <c r="M32"/>
  <c r="E78" i="14"/>
  <c r="E9" i="59"/>
  <c r="E10" s="1"/>
  <c r="O78" i="14"/>
  <c r="O9" i="59"/>
  <c r="O10" s="1"/>
  <c r="P22" i="48"/>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H5"/>
  <c r="H14" s="1"/>
  <c r="E5" i="15"/>
  <c r="O20"/>
  <c r="P40" i="14" s="1"/>
  <c r="P10"/>
  <c r="P20" i="15"/>
  <c r="Q40" i="14" s="1"/>
  <c r="Q46" s="1"/>
  <c r="Q61" s="1"/>
  <c r="Q10"/>
  <c r="Q16" s="1"/>
  <c r="Q27" s="1"/>
  <c r="J5" i="15"/>
  <c r="F4" i="48"/>
  <c r="F22" s="1"/>
  <c r="F5" i="15"/>
  <c r="F16" s="1"/>
  <c r="B5"/>
  <c r="B16" s="1"/>
  <c r="E13" i="14"/>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90" i="14" l="1"/>
  <c r="F17" i="59"/>
  <c r="F20" s="1"/>
  <c r="F78" i="14"/>
  <c r="F8" i="59"/>
  <c r="F10" s="1"/>
  <c r="G14" i="22"/>
  <c r="G9" i="48" s="1"/>
  <c r="P15"/>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D15" s="1"/>
  <c r="I76" i="14"/>
  <c r="I8" i="59" s="1"/>
  <c r="I10" s="1"/>
  <c r="I10" i="18"/>
  <c r="G58" i="22"/>
  <c r="H49" i="14" s="1"/>
  <c r="G10" i="48"/>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J20" i="15"/>
  <c r="K40" i="14" s="1"/>
  <c r="E27"/>
  <c r="C10" i="18"/>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5" i="48"/>
  <c r="Q4"/>
  <c r="N23"/>
  <c r="R11" i="14"/>
  <c r="J22" i="48"/>
  <c r="R10" i="14"/>
  <c r="J90" l="1"/>
  <c r="J17" i="59"/>
  <c r="J20" s="1"/>
  <c r="Q90" i="14"/>
  <c r="B17" i="6" s="1"/>
  <c r="B22" s="1"/>
  <c r="P17" i="59"/>
  <c r="P20" s="1"/>
  <c r="G33" i="48"/>
  <c r="Q9"/>
  <c r="H15"/>
  <c r="F22" i="16"/>
  <c r="G43" i="14" s="1"/>
  <c r="G46" s="1"/>
  <c r="G61" s="1"/>
  <c r="G63" s="1"/>
  <c r="Q78" s="1"/>
  <c r="B9" i="6" s="1"/>
  <c r="F8" i="48"/>
  <c r="F15" s="1"/>
  <c r="O13" i="14"/>
  <c r="O16" s="1"/>
  <c r="O27" s="1"/>
  <c r="C87"/>
  <c r="B87"/>
  <c r="I52"/>
  <c r="I61" s="1"/>
  <c r="I63" s="1"/>
  <c r="F46"/>
  <c r="F61" s="1"/>
  <c r="M46"/>
  <c r="M61" s="1"/>
  <c r="M63" s="1"/>
  <c r="B3" i="6"/>
  <c r="N22" i="16"/>
  <c r="O43" i="14" s="1"/>
  <c r="E8" i="48"/>
  <c r="E26" s="1"/>
  <c r="E33" s="1"/>
  <c r="F13" i="14"/>
  <c r="J22" i="16"/>
  <c r="K43" i="14" s="1"/>
  <c r="J8" i="48"/>
  <c r="N26"/>
  <c r="N33" s="1"/>
  <c r="N63" i="14"/>
  <c r="H63"/>
  <c r="R20"/>
  <c r="R22" s="1"/>
  <c r="H27" i="48"/>
  <c r="H33" s="1"/>
  <c r="C17" i="19" l="1"/>
  <c r="C19" s="1"/>
  <c r="D39" i="14" s="1"/>
  <c r="C22" i="59"/>
  <c r="C29" i="20"/>
  <c r="C18" i="15"/>
  <c r="C20" s="1"/>
  <c r="D40" i="14" s="1"/>
  <c r="C10" i="13"/>
  <c r="C12" s="1"/>
  <c r="C17" i="49"/>
  <c r="C10" i="17"/>
  <c r="C12" s="1"/>
  <c r="D54" i="14" s="1"/>
  <c r="D56" s="1"/>
  <c r="C20" i="16"/>
  <c r="C22" s="1"/>
  <c r="D43" i="14" s="1"/>
  <c r="C16" i="22"/>
  <c r="C56"/>
  <c r="C58" s="1"/>
  <c r="D49" i="14" s="1"/>
  <c r="D52" s="1"/>
  <c r="C90"/>
  <c r="C17" i="59"/>
  <c r="C20" s="1"/>
  <c r="B90" i="14"/>
  <c r="B17" i="59"/>
  <c r="B20" s="1"/>
  <c r="F26" i="48"/>
  <c r="F33" s="1"/>
  <c r="J26"/>
  <c r="J33" s="1"/>
  <c r="J15"/>
  <c r="E15"/>
  <c r="D41" i="14"/>
  <c r="D46" s="1"/>
  <c r="D61" s="1"/>
  <c r="D63" s="1"/>
  <c r="O46"/>
  <c r="O61" s="1"/>
  <c r="O63" s="1"/>
  <c r="K46"/>
  <c r="K61" s="1"/>
  <c r="K63" s="1"/>
  <c r="F16"/>
  <c r="R13"/>
  <c r="R16" s="1"/>
  <c r="R27" s="1"/>
  <c r="Q8" i="48"/>
  <c r="Q15" s="1"/>
  <c r="C17" l="1"/>
  <c r="C24" s="1"/>
  <c r="C26"/>
  <c r="F27" i="14"/>
  <c r="F63" s="1"/>
  <c r="C78"/>
  <c r="B78"/>
  <c r="B12" i="6" l="1"/>
  <c r="B10" i="17" s="1"/>
  <c r="B12" s="1"/>
  <c r="B4" i="6"/>
  <c r="C22" i="48"/>
  <c r="C33" s="1"/>
  <c r="C28"/>
  <c r="C23"/>
  <c r="C30"/>
  <c r="C27"/>
  <c r="C29"/>
  <c r="C32"/>
  <c r="C25"/>
  <c r="C31"/>
  <c r="B16" i="22" l="1"/>
  <c r="B18" s="1"/>
  <c r="C50" i="14" s="1"/>
  <c r="R50" s="1"/>
  <c r="B18" i="15"/>
  <c r="B20" s="1"/>
  <c r="C40" i="14" s="1"/>
  <c r="R40" s="1"/>
  <c r="B20" i="16"/>
  <c r="B22" s="1"/>
  <c r="C43" i="14" s="1"/>
  <c r="R43" s="1"/>
  <c r="B17" i="19"/>
  <c r="B19" s="1"/>
  <c r="C39" i="14" s="1"/>
  <c r="R39" s="1"/>
  <c r="C12" i="59"/>
  <c r="B29" i="20"/>
  <c r="B31" s="1"/>
  <c r="B10" i="9"/>
  <c r="B12" s="1"/>
  <c r="C55" i="14"/>
  <c r="R55" s="1"/>
  <c r="B10" i="13"/>
  <c r="B12" s="1"/>
  <c r="B56" i="22"/>
  <c r="B58" s="1"/>
  <c r="C49" i="14" s="1"/>
  <c r="R49" s="1"/>
  <c r="B17" i="49"/>
  <c r="B19" s="1"/>
  <c r="C42" i="14" s="1"/>
  <c r="R42" s="1"/>
  <c r="C54"/>
  <c r="R54" s="1"/>
  <c r="R56" s="1"/>
  <c r="C48"/>
  <c r="R48" s="1"/>
  <c r="B17" i="48" l="1"/>
  <c r="B32" s="1"/>
  <c r="Q32" s="1"/>
  <c r="R52" i="14"/>
  <c r="C52"/>
  <c r="C41"/>
  <c r="R41" s="1"/>
  <c r="R46" s="1"/>
  <c r="B31" i="48"/>
  <c r="Q31" s="1"/>
  <c r="B25" l="1"/>
  <c r="Q25" s="1"/>
  <c r="B29"/>
  <c r="Q29" s="1"/>
  <c r="B30"/>
  <c r="Q30" s="1"/>
  <c r="B28"/>
  <c r="Q28" s="1"/>
  <c r="B27"/>
  <c r="Q27" s="1"/>
  <c r="B22"/>
  <c r="B26"/>
  <c r="Q26" s="1"/>
  <c r="B24"/>
  <c r="Q24" s="1"/>
  <c r="B23"/>
  <c r="Q23" s="1"/>
  <c r="R61" i="14"/>
  <c r="C46"/>
  <c r="Q22" i="48"/>
  <c r="C56" i="14"/>
  <c r="E56"/>
  <c r="E61" s="1"/>
  <c r="E63" s="1"/>
  <c r="B33" i="48" l="1"/>
  <c r="Q33"/>
  <c r="C61" i="14"/>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<sst xmlns="http://schemas.openxmlformats.org/spreadsheetml/2006/main" count="2411" uniqueCount="901">
  <si>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</si>
  <si>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</si>
  <si>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</si>
  <si>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</si>
  <si>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</si>
  <si>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</si>
  <si>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</si>
  <si>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</si>
  <si>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</si>
  <si>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</si>
  <si>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</si>
  <si>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</si>
  <si>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</si>
  <si>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</si>
  <si>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</si>
  <si>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</si>
  <si>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</si>
  <si>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</si>
  <si>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</si>
  <si>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</si>
  <si>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</si>
  <si>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</si>
  <si>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</si>
  <si>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</si>
  <si>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</si>
  <si>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</si>
  <si>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</si>
  <si>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</si>
  <si>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</si>
  <si>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</si>
  <si>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</si>
  <si>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</si>
  <si>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</si>
  <si>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</si>
  <si>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</si>
  <si>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</si>
  <si>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</si>
  <si>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</si>
  <si>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</si>
  <si>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</si>
  <si>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</si>
  <si>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</si>
  <si>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</si>
  <si>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</si>
  <si>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</si>
  <si>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</si>
  <si>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</si>
  <si>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</si>
  <si>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</si>
  <si>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</si>
  <si>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</si>
  <si>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</si>
  <si>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</si>
  <si>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</si>
  <si>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</si>
  <si>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</si>
  <si>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</si>
  <si>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</si>
  <si>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</si>
  <si>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</si>
  <si>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</si>
  <si>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</si>
  <si>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</si>
  <si>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</si>
  <si>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</si>
  <si>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</si>
  <si>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</si>
  <si>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</si>
  <si>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</si>
  <si>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</si>
  <si>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</si>
  <si>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</si>
  <si>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</si>
  <si>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</si>
  <si>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</si>
  <si>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</si>
  <si>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</si>
  <si>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</si>
  <si>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</si>
  <si>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</si>
  <si>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</si>
  <si>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</si>
  <si>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</si>
  <si>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</si>
  <si>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</si>
  <si>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</si>
  <si>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</si>
  <si>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</si>
  <si>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</si>
  <si>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</si>
  <si>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</si>
  <si>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</si>
  <si>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</si>
  <si>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</si>
  <si>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</si>
  <si>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</si>
  <si>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</si>
  <si>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</si>
  <si>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</si>
  <si>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</si>
  <si>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</si>
  <si>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</si>
  <si>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</si>
  <si>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</si>
  <si>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</si>
  <si>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</si>
  <si>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</si>
  <si>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</si>
  <si>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</si>
  <si>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</si>
  <si>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</si>
  <si>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</si>
  <si>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</si>
  <si>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</si>
  <si>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</si>
  <si>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</si>
  <si>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</si>
  <si>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</si>
  <si>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</si>
  <si>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</si>
  <si>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</si>
  <si>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</si>
  <si>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</si>
  <si>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</si>
  <si>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</si>
  <si>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</si>
  <si>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</si>
  <si>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</si>
  <si>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</si>
  <si>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</si>
  <si>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</si>
  <si>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</si>
  <si>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</si>
  <si>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</si>
  <si>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</si>
  <si>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</si>
  <si>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</si>
  <si>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</si>
  <si>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</si>
  <si>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</si>
  <si>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</si>
  <si>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</si>
  <si>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</si>
  <si>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</si>
  <si>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</si>
  <si>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</si>
  <si>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</si>
  <si>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</si>
  <si>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</si>
  <si>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</si>
  <si>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</si>
  <si>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</si>
  <si>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</si>
  <si>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</si>
  <si>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</si>
  <si>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</si>
  <si>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</si>
  <si>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</si>
  <si>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</si>
  <si>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</si>
  <si>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</si>
  <si>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</si>
  <si>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</si>
  <si>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</si>
  <si>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</si>
  <si>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</si>
  <si>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</si>
  <si>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</si>
  <si>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</si>
  <si>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</si>
  <si>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</si>
  <si>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</si>
  <si>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</si>
  <si>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</si>
  <si>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</si>
  <si>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</si>
  <si>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</si>
  <si>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</si>
  <si>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</si>
  <si>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</si>
  <si>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</si>
  <si>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</si>
  <si>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</si>
  <si>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</si>
  <si>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</si>
  <si>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</si>
  <si>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</si>
  <si>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</si>
  <si>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</si>
  <si>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</si>
  <si>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</si>
  <si>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</si>
  <si>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</si>
  <si>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</si>
  <si>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</si>
  <si>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</si>
  <si>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</si>
  <si>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</si>
  <si>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</si>
  <si>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</si>
  <si>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</si>
  <si>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</si>
  <si>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</si>
  <si>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</si>
  <si>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</si>
  <si>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</si>
  <si>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</si>
  <si>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</si>
  <si>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</si>
  <si>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</si>
  <si>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</si>
  <si>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</si>
  <si>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</si>
  <si>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</si>
  <si>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</si>
  <si>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</si>
  <si>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</si>
  <si>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</si>
  <si>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</si>
  <si>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</si>
  <si>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</si>
  <si>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</si>
  <si>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</si>
  <si>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</si>
  <si>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</si>
  <si>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</si>
  <si>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</si>
  <si>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</si>
  <si>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</si>
  <si>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</si>
  <si>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</si>
  <si>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</si>
  <si>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</si>
  <si>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</si>
  <si>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</si>
  <si>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</si>
  <si>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</si>
  <si>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</si>
  <si>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</si>
  <si>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</si>
  <si>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</si>
  <si>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</si>
  <si>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</si>
  <si>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</si>
  <si>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</si>
  <si>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</si>
  <si>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</si>
  <si>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</si>
  <si>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</si>
  <si>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</si>
  <si>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</si>
  <si>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</si>
  <si>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</si>
  <si>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</si>
  <si>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</si>
  <si>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</si>
  <si>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</si>
  <si>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</si>
  <si>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</si>
  <si>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</si>
  <si>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</si>
  <si>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</si>
  <si>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</si>
  <si>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</si>
  <si>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</si>
  <si>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</si>
  <si>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</si>
  <si>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</si>
  <si>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</si>
  <si>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</si>
  <si>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</si>
  <si>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</si>
  <si>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</si>
  <si>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</si>
  <si>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</si>
  <si>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</si>
  <si>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</si>
  <si>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</si>
  <si>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</si>
  <si>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</si>
  <si>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</si>
  <si>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</si>
  <si>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</si>
  <si>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</si>
  <si>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</si>
  <si>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</si>
  <si>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</si>
  <si>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</si>
  <si>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</si>
  <si>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</si>
  <si>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</si>
  <si>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</si>
  <si>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</si>
  <si>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</si>
  <si>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</si>
  <si>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</si>
  <si>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</si>
  <si>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</si>
  <si>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</si>
  <si>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</si>
  <si>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</si>
  <si>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</si>
  <si>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</si>
  <si>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</si>
  <si>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</si>
  <si>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</si>
  <si>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</si>
  <si>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</si>
  <si>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</si>
  <si>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</si>
  <si>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</si>
  <si>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</si>
  <si>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</si>
  <si>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</si>
  <si>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</si>
  <si>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</si>
  <si>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</si>
  <si>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</si>
  <si>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</si>
  <si>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</si>
  <si>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</si>
  <si>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</si>
  <si>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</si>
  <si>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</si>
  <si>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</si>
  <si>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</si>
  <si>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</si>
  <si>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</si>
  <si>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</si>
  <si>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</si>
  <si>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</si>
  <si>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</si>
  <si>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</si>
  <si>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</si>
  <si>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</si>
  <si>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</si>
  <si>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</si>
  <si>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</si>
  <si>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</si>
  <si>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</si>
  <si>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</si>
  <si>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</si>
  <si>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</si>
  <si>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</si>
  <si>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</si>
  <si>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</si>
  <si>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</si>
  <si>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</si>
  <si>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</si>
  <si>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</si>
  <si>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</si>
  <si>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</si>
  <si>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</si>
  <si>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</si>
  <si>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</si>
  <si>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</si>
  <si>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</si>
  <si>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</si>
  <si>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</si>
  <si>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</si>
  <si>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</si>
  <si>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</si>
  <si>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</si>
  <si>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</si>
  <si>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</si>
  <si>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</si>
  <si>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</si>
  <si>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</si>
  <si>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</si>
  <si>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</si>
  <si>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</si>
  <si>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</si>
  <si>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</si>
  <si>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</si>
  <si>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</si>
  <si>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</si>
  <si>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</si>
  <si>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</si>
  <si>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</si>
  <si>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</si>
  <si>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</si>
  <si>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</si>
  <si>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</si>
  <si>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</si>
  <si>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</si>
  <si>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</si>
  <si>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</si>
  <si>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</si>
  <si>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</si>
  <si>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</si>
  <si>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</si>
  <si>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</si>
  <si>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</si>
  <si>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</si>
  <si>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</si>
  <si>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</si>
  <si>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</si>
  <si>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</si>
  <si>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</si>
  <si>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</si>
  <si>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</si>
  <si>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</si>
  <si>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</si>
  <si>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</si>
  <si>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</si>
  <si>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</si>
  <si>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</si>
  <si>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</si>
  <si>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</si>
  <si>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</si>
  <si>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</si>
  <si>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</si>
  <si>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</si>
  <si>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</si>
  <si>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</si>
  <si>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</si>
  <si>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</si>
  <si>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</si>
  <si>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</si>
  <si>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</si>
  <si>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</si>
  <si>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</si>
  <si>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</si>
  <si>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</si>
  <si>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</si>
  <si>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</si>
  <si>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</si>
  <si>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</si>
  <si>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</si>
  <si>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</si>
  <si>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</si>
  <si>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</si>
  <si>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</si>
  <si>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</si>
  <si>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</si>
  <si>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</si>
  <si>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</si>
  <si>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</si>
  <si>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</si>
  <si>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</si>
  <si>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</si>
  <si>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</si>
  <si>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</si>
  <si>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</si>
  <si>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</si>
  <si>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</si>
  <si>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</si>
  <si>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</si>
  <si>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</si>
  <si>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</si>
  <si>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</si>
  <si>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</si>
  <si>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</si>
  <si>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</si>
  <si>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</si>
  <si>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</si>
  <si>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</si>
  <si>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</si>
  <si>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</si>
  <si>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</si>
  <si>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</si>
  <si>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</si>
  <si>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</si>
  <si>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</si>
  <si>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</si>
  <si>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</si>
  <si>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</si>
  <si>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</si>
  <si>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</si>
  <si>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</si>
  <si>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</si>
  <si>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</si>
  <si>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</si>
  <si>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</si>
  <si>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</si>
  <si>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</si>
  <si>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</si>
  <si>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</si>
  <si>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</si>
  <si>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</si>
  <si>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</si>
  <si>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</si>
  <si>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</si>
  <si>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</si>
  <si>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</si>
  <si>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</si>
  <si>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</si>
  <si>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</si>
  <si>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</si>
  <si>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</si>
  <si>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</si>
  <si>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</si>
  <si>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</si>
  <si>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</si>
  <si>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</si>
  <si>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</si>
  <si>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</si>
  <si>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</si>
  <si>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</si>
  <si>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</si>
  <si>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</si>
  <si>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</si>
  <si>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</si>
  <si>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</si>
  <si>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</si>
  <si>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</si>
  <si>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</si>
  <si>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</si>
  <si>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</si>
  <si>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</si>
  <si>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</si>
  <si>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</si>
  <si>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</si>
  <si>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</si>
  <si>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</si>
  <si>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</si>
  <si>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</si>
  <si>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</si>
  <si>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</si>
  <si>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</si>
  <si>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</si>
  <si>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</si>
  <si>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</si>
  <si>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</si>
  <si>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</si>
  <si>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</si>
  <si>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</si>
  <si>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</si>
  <si>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</si>
  <si>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</si>
  <si>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</si>
  <si>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</si>
  <si>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</si>
  <si>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</si>
  <si>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</si>
  <si>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</si>
  <si>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</si>
  <si>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</si>
  <si>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</si>
  <si>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</si>
  <si>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</si>
  <si>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</si>
  <si>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</si>
  <si>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</si>
  <si>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</si>
  <si>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</si>
  <si>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</si>
  <si>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</si>
  <si>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</si>
  <si>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</si>
  <si>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</si>
  <si>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</si>
  <si>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</si>
  <si>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</si>
  <si>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</si>
  <si>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</si>
  <si>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</si>
  <si>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</si>
  <si>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</si>
  <si>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</si>
  <si>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</si>
  <si>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</si>
  <si>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</si>
  <si>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</si>
  <si>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</si>
  <si>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</si>
  <si>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</si>
  <si>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</si>
  <si>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</si>
  <si>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</si>
  <si>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</si>
  <si>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</si>
  <si>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</si>
  <si>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</si>
  <si>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</si>
  <si>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</si>
  <si>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</si>
  <si>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</si>
  <si>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</si>
  <si>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</si>
  <si>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</si>
  <si>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</si>
  <si>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</si>
  <si>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</si>
  <si>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</si>
  <si>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</si>
  <si>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</si>
  <si>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</si>
  <si>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</si>
  <si>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</si>
  <si>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</si>
  <si>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</si>
  <si>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</si>
  <si>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</si>
  <si>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</si>
  <si>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</si>
  <si>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</si>
  <si>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</si>
  <si>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</si>
  <si>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</si>
  <si>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</si>
  <si>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</si>
  <si>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</si>
  <si>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</si>
  <si>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</si>
  <si>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</si>
  <si>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</si>
  <si>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</si>
  <si>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</si>
  <si>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</si>
  <si>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</si>
  <si>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</si>
  <si>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</si>
  <si>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</si>
  <si>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</si>
  <si>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</si>
  <si>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</si>
  <si>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</si>
  <si>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</si>
  <si>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</si>
  <si>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</si>
  <si>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</si>
  <si>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</si>
  <si>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</si>
  <si>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</si>
  <si>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</si>
  <si>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</si>
  <si>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</si>
  <si>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</si>
  <si>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</si>
  <si>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</si>
  <si>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</si>
  <si>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</si>
  <si>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</si>
  <si>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</si>
  <si>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</si>
  <si>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</si>
  <si>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</si>
  <si>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</si>
  <si>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</si>
  <si>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</si>
  <si>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</si>
  <si>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</si>
  <si>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</si>
  <si>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</si>
  <si>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</si>
  <si>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</si>
  <si>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</si>
  <si>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</si>
  <si>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</si>
  <si>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</si>
  <si>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</si>
  <si>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</si>
  <si>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</si>
  <si>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</si>
  <si>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</si>
  <si>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</si>
  <si>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</si>
  <si>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</si>
  <si>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</si>
  <si>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</si>
  <si>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</si>
  <si>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</si>
  <si>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</si>
  <si>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</si>
  <si>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</si>
  <si>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</si>
  <si>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</si>
  <si>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</si>
  <si>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</si>
  <si>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</si>
  <si>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</si>
  <si>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</si>
  <si>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</si>
  <si>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</si>
  <si>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</si>
  <si>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</si>
  <si>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</si>
  <si>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</si>
  <si>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</si>
  <si>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</si>
  <si>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</si>
  <si>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</si>
  <si>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</si>
  <si>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</si>
  <si>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</si>
  <si>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</si>
  <si>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</si>
  <si>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</si>
  <si>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</si>
  <si>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</si>
  <si>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</si>
  <si>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</si>
  <si>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</si>
  <si>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</si>
  <si>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</si>
  <si>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</si>
  <si>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</si>
  <si>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</si>
  <si>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</si>
  <si>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</si>
  <si>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</si>
  <si>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</si>
  <si>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</si>
  <si>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</si>
  <si>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</si>
  <si>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</si>
  <si>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</si>
  <si>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</si>
  <si>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</si>
  <si>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</si>
  <si>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</si>
  <si>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</si>
  <si>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</si>
  <si>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</si>
  <si>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</si>
  <si>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</si>
  <si>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</si>
  <si>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</si>
  <si>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</si>
  <si>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</si>
  <si>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</si>
  <si>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</si>
  <si>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</si>
  <si>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</si>
  <si>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</si>
  <si>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</si>
  <si>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</si>
  <si>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</si>
  <si>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</si>
  <si>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</si>
  <si>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</si>
  <si>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</si>
  <si>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</si>
  <si>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</si>
  <si>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</si>
  <si>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</si>
  <si>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</si>
  <si>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</si>
  <si>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</si>
  <si>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</si>
  <si>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</si>
  <si>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</si>
  <si>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</si>
  <si>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</si>
  <si>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</si>
  <si>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</si>
  <si>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</si>
  <si>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</si>
  <si>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</si>
  <si>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</si>
  <si>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</si>
  <si>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</si>
  <si>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</si>
  <si>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</si>
  <si>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</si>
  <si>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</si>
  <si>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</si>
  <si>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</si>
  <si>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</si>
  <si>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</si>
  <si>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</si>
  <si>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</si>
  <si>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</si>
  <si>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</si>
  <si>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</si>
  <si>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</si>
  <si>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</si>
  <si>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</si>
  <si>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</si>
  <si>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</si>
  <si>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</si>
  <si>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</si>
  <si>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</si>
  <si>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</si>
  <si>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</si>
  <si>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</si>
  <si>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</si>
  <si>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</si>
  <si>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</si>
  <si>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</si>
  <si>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</si>
  <si>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</si>
  <si>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</si>
  <si>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</si>
  <si>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</si>
  <si>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</si>
  <si>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</si>
  <si>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</si>
  <si>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</si>
  <si>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</si>
  <si>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</si>
  <si>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</si>
  <si>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</si>
  <si>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</si>
  <si>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</si>
  <si>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</si>
  <si>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</si>
  <si>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</si>
  <si>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</si>
  <si>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</si>
  <si>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</si>
  <si>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</si>
  <si>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</si>
  <si>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</si>
  <si>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</si>
  <si>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</si>
  <si>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</si>
  <si>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</si>
  <si>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</si>
  <si>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</si>
  <si>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</si>
  <si>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</si>
  <si>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</si>
  <si>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</si>
  <si>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</si>
  <si>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</si>
  <si>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</si>
  <si>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</si>
  <si>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</si>
  <si>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</si>
  <si>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</si>
  <si>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</si>
  <si>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</si>
  <si>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</si>
  <si>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</si>
  <si>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</si>
  <si>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</si>
  <si>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</si>
  <si>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</si>
  <si>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</si>
  <si>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</si>
  <si>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</si>
  <si>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</si>
  <si>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</si>
  <si>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</si>
  <si>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</si>
  <si>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</si>
  <si>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</si>
  <si>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</si>
  <si>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</si>
  <si>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</si>
  <si>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</si>
  <si>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</si>
  <si>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</si>
  <si>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</si>
  <si>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</si>
  <si>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</si>
  <si>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</si>
  <si>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</si>
  <si>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</si>
  <si>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</si>
  <si>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</si>
  <si>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</si>
  <si>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</si>
  <si>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</si>
  <si>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</si>
  <si>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</si>
  <si>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</si>
  <si>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</si>
  <si>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</si>
  <si>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</si>
  <si>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</si>
  <si>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</si>
  <si>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</si>
  <si>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</si>
  <si>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</si>
  <si>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</si>
  <si>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</si>
  <si>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</si>
  <si>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</si>
  <si>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</si>
  <si>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</si>
  <si>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</si>
  <si>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</si>
  <si>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</si>
  <si>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</si>
  <si>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</si>
  <si>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35005</t>
  </si>
  <si>
    <t>GISTEL</t>
  </si>
  <si>
    <t>Mestbank (maart 2019)</t>
  </si>
  <si>
    <t>Fluvius (februari 2019)</t>
  </si>
  <si>
    <t>referentietaak LNE (2017); Jaarverslag De Lijn (2018)</t>
  </si>
  <si>
    <t>VEA (30 april 2019)</t>
  </si>
  <si>
    <t>VEA (mei 2018)</t>
  </si>
  <si>
    <t>VEA (mei 2019)</t>
  </si>
  <si>
    <t>De Bazelaar GCV</t>
  </si>
  <si>
    <t>Zevekotestraat 107 , 8470 Zevekote</t>
  </si>
  <si>
    <t>WKK-0461 De Bazelaar</t>
  </si>
  <si>
    <t>interne verbrandingsmotor</t>
  </si>
  <si>
    <t>WKK interne verbrandinsgmotor (gas)</t>
  </si>
  <si>
    <t>Infrax West</t>
  </si>
  <si>
    <t>Ivaco cvba</t>
  </si>
  <si>
    <t>Muizeveld 7, 8470 Gistel</t>
  </si>
  <si>
    <t>WKK-0529 Ivaco</t>
  </si>
  <si>
    <t>Bazelaar 1 , 8470 Gistel</t>
  </si>
  <si>
    <t>A.K. Gistel bvba</t>
  </si>
  <si>
    <t>Nieuwpoortse Steenweg 195 B, 8470 Gistel</t>
  </si>
  <si>
    <t>BMS-0031 A.K. Gistel Plantenolie</t>
  </si>
  <si>
    <t>biomassa uit land- of bosbouw</t>
  </si>
  <si>
    <t>niet WKK interne verbrandingsmotor (vloeibaar)</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</si>
</sst>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87507.956446649696</c:v>
                </c:pt>
                <c:pt idx="1">
                  <c:v>28811.696636963265</c:v>
                </c:pt>
                <c:pt idx="2">
                  <c:v>927.38</c:v>
                </c:pt>
                <c:pt idx="3">
                  <c:v>13538.343817098539</c:v>
                </c:pt>
                <c:pt idx="4">
                  <c:v>17409.756539629416</c:v>
                </c:pt>
                <c:pt idx="5">
                  <c:v>191565.99589677661</c:v>
                </c:pt>
                <c:pt idx="6">
                  <c:v>1353.2890862162819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19072"/>
        <c:axId val="180820608"/>
      </c:barChart>
      <c:catAx>
        <c:axId val="180819072"/>
        <c:scaling>
          <c:orientation val="minMax"/>
        </c:scaling>
        <c:axPos val="b"/>
        <c:numFmt formatCode="General" sourceLinked="0"/>
        <c:tickLblPos val="nextTo"/>
        <c:crossAx val="180820608"/>
        <c:crosses val="autoZero"/>
        <c:auto val="1"/>
        <c:lblAlgn val="ctr"/>
        <c:lblOffset val="100"/>
      </c:catAx>
      <c:valAx>
        <c:axId val="180820608"/>
        <c:scaling>
          <c:orientation val="minMax"/>
        </c:scaling>
        <c:axPos val="l"/>
        <c:majorGridlines/>
        <c:numFmt formatCode="#,##0" sourceLinked="1"/>
        <c:tickLblPos val="nextTo"/>
        <c:crossAx val="180819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87507.956446649696</c:v>
                </c:pt>
                <c:pt idx="1">
                  <c:v>28811.696636963265</c:v>
                </c:pt>
                <c:pt idx="2">
                  <c:v>927.38</c:v>
                </c:pt>
                <c:pt idx="3">
                  <c:v>13538.343817098539</c:v>
                </c:pt>
                <c:pt idx="4">
                  <c:v>17409.756539629416</c:v>
                </c:pt>
                <c:pt idx="5">
                  <c:v>191565.99589677661</c:v>
                </c:pt>
                <c:pt idx="6">
                  <c:v>1353.2890862162819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11801.943502549579</c:v>
                </c:pt>
                <c:pt idx="1">
                  <c:v>3984.0567930669604</c:v>
                </c:pt>
                <c:pt idx="2">
                  <c:v>47.672118122438341</c:v>
                </c:pt>
                <c:pt idx="3">
                  <c:v>3052.2205129193021</c:v>
                </c:pt>
                <c:pt idx="4">
                  <c:v>2901.0182342922781</c:v>
                </c:pt>
                <c:pt idx="5">
                  <c:v>47813.422249456402</c:v>
                </c:pt>
                <c:pt idx="6">
                  <c:v>342.30295017526521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067776"/>
        <c:axId val="181069312"/>
      </c:barChart>
      <c:catAx>
        <c:axId val="181067776"/>
        <c:scaling>
          <c:orientation val="minMax"/>
        </c:scaling>
        <c:axPos val="b"/>
        <c:numFmt formatCode="General" sourceLinked="0"/>
        <c:tickLblPos val="nextTo"/>
        <c:crossAx val="181069312"/>
        <c:crosses val="autoZero"/>
        <c:auto val="1"/>
        <c:lblAlgn val="ctr"/>
        <c:lblOffset val="100"/>
      </c:catAx>
      <c:valAx>
        <c:axId val="181069312"/>
        <c:scaling>
          <c:orientation val="minMax"/>
        </c:scaling>
        <c:axPos val="l"/>
        <c:majorGridlines/>
        <c:numFmt formatCode="#,##0" sourceLinked="1"/>
        <c:tickLblPos val="nextTo"/>
        <c:crossAx val="1810677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11801.943502549579</c:v>
                </c:pt>
                <c:pt idx="1">
                  <c:v>3984.0567930669604</c:v>
                </c:pt>
                <c:pt idx="2">
                  <c:v>47.672118122438341</c:v>
                </c:pt>
                <c:pt idx="3">
                  <c:v>3052.2205129193021</c:v>
                </c:pt>
                <c:pt idx="4">
                  <c:v>2901.0182342922781</c:v>
                </c:pt>
                <c:pt idx="5">
                  <c:v>47813.422249456402</c:v>
                </c:pt>
                <c:pt idx="6">
                  <c:v>342.30295017526521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35005</v>
      </c>
      <c r="B6" s="415"/>
      <c r="C6" s="416"/>
    </row>
    <row r="7" spans="1:7" s="413" customFormat="1" ht="15.75" customHeight="1">
      <c r="A7" s="417" t="str">
        <f>txtMunicipality</f>
        <v>GISTEL</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11919.480689999999</v>
      </c>
      <c r="D10" s="712">
        <f ca="1">tertiair!C16</f>
        <v>1221.4285714285716</v>
      </c>
      <c r="E10" s="712">
        <f ca="1">tertiair!D16</f>
        <v>15224.923472572</v>
      </c>
      <c r="F10" s="712">
        <f>tertiair!E16</f>
        <v>161.10287913995603</v>
      </c>
      <c r="G10" s="712">
        <f ca="1">tertiair!F16</f>
        <v>1149.7771665432747</v>
      </c>
      <c r="H10" s="712">
        <f>tertiair!G16</f>
        <v>0</v>
      </c>
      <c r="I10" s="712">
        <f>tertiair!H16</f>
        <v>0</v>
      </c>
      <c r="J10" s="712">
        <f>tertiair!I16</f>
        <v>0</v>
      </c>
      <c r="K10" s="712">
        <f>tertiair!J16</f>
        <v>3.0197441283562682E-2</v>
      </c>
      <c r="L10" s="712">
        <f>tertiair!K16</f>
        <v>0</v>
      </c>
      <c r="M10" s="712">
        <f ca="1">tertiair!L16</f>
        <v>0</v>
      </c>
      <c r="N10" s="712">
        <f>tertiair!M16</f>
        <v>0</v>
      </c>
      <c r="O10" s="712">
        <f ca="1">tertiair!N16</f>
        <v>0</v>
      </c>
      <c r="P10" s="712">
        <f>tertiair!O16</f>
        <v>9.7945215316823084</v>
      </c>
      <c r="Q10" s="713">
        <f>tertiair!P16</f>
        <v>52.539138306495019</v>
      </c>
      <c r="R10" s="715">
        <f ca="1">SUM(C10:Q10)</f>
        <v>29739.076636963262</v>
      </c>
      <c r="S10" s="67"/>
    </row>
    <row r="11" spans="1:19" s="474" customFormat="1">
      <c r="A11" s="834" t="s">
        <v>224</v>
      </c>
      <c r="B11" s="839"/>
      <c r="C11" s="712">
        <f>huishoudens!B8</f>
        <v>20456.720810395269</v>
      </c>
      <c r="D11" s="712">
        <f>huishoudens!C8</f>
        <v>0</v>
      </c>
      <c r="E11" s="712">
        <f>huishoudens!D8</f>
        <v>47616.940258800001</v>
      </c>
      <c r="F11" s="712">
        <f>huishoudens!E8</f>
        <v>4633.1690789168315</v>
      </c>
      <c r="G11" s="712">
        <f>huishoudens!F8</f>
        <v>0</v>
      </c>
      <c r="H11" s="712">
        <f>huishoudens!G8</f>
        <v>0</v>
      </c>
      <c r="I11" s="712">
        <f>huishoudens!H8</f>
        <v>0</v>
      </c>
      <c r="J11" s="712">
        <f>huishoudens!I8</f>
        <v>0</v>
      </c>
      <c r="K11" s="712">
        <f>huishoudens!J8</f>
        <v>226.02023858412207</v>
      </c>
      <c r="L11" s="712">
        <f>huishoudens!K8</f>
        <v>0</v>
      </c>
      <c r="M11" s="712">
        <f>huishoudens!L8</f>
        <v>0</v>
      </c>
      <c r="N11" s="712">
        <f>huishoudens!M8</f>
        <v>0</v>
      </c>
      <c r="O11" s="712">
        <f>huishoudens!N8</f>
        <v>13744.910840865192</v>
      </c>
      <c r="P11" s="712">
        <f>huishoudens!O8</f>
        <v>440.43872470392103</v>
      </c>
      <c r="Q11" s="713">
        <f>huishoudens!P8</f>
        <v>389.75649438434584</v>
      </c>
      <c r="R11" s="715">
        <f>SUM(C11:Q11)</f>
        <v>87507.956446649696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4802.6745959999989</v>
      </c>
      <c r="D13" s="712">
        <f>industrie!C18</f>
        <v>0</v>
      </c>
      <c r="E13" s="712">
        <f>industrie!D18</f>
        <v>8700.8026627719992</v>
      </c>
      <c r="F13" s="712">
        <f>industrie!E18</f>
        <v>795.44875551595214</v>
      </c>
      <c r="G13" s="712">
        <f>industrie!F18</f>
        <v>2653.0106481353464</v>
      </c>
      <c r="H13" s="712">
        <f>industrie!G18</f>
        <v>0</v>
      </c>
      <c r="I13" s="712">
        <f>industrie!H18</f>
        <v>0</v>
      </c>
      <c r="J13" s="712">
        <f>industrie!I18</f>
        <v>0</v>
      </c>
      <c r="K13" s="712">
        <f>industrie!J18</f>
        <v>21.61899848621611</v>
      </c>
      <c r="L13" s="712">
        <f>industrie!K18</f>
        <v>0</v>
      </c>
      <c r="M13" s="712">
        <f>industrie!L18</f>
        <v>0</v>
      </c>
      <c r="N13" s="712">
        <f>industrie!M18</f>
        <v>0</v>
      </c>
      <c r="O13" s="712">
        <f>industrie!N18</f>
        <v>436.20087871989955</v>
      </c>
      <c r="P13" s="712">
        <f>industrie!O18</f>
        <v>0</v>
      </c>
      <c r="Q13" s="713">
        <f>industrie!P18</f>
        <v>0</v>
      </c>
      <c r="R13" s="715">
        <f>SUM(C13:Q13)</f>
        <v>17409.756539629416</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37178.876096395266</v>
      </c>
      <c r="D16" s="748">
        <f t="shared" ref="D16:R16" ca="1" si="0">SUM(D9:D15)</f>
        <v>1221.4285714285716</v>
      </c>
      <c r="E16" s="748">
        <f t="shared" ca="1" si="0"/>
        <v>71542.666394144006</v>
      </c>
      <c r="F16" s="748">
        <f t="shared" si="0"/>
        <v>5589.7207135727394</v>
      </c>
      <c r="G16" s="748">
        <f t="shared" ca="1" si="0"/>
        <v>3802.7878146786211</v>
      </c>
      <c r="H16" s="748">
        <f t="shared" si="0"/>
        <v>0</v>
      </c>
      <c r="I16" s="748">
        <f t="shared" si="0"/>
        <v>0</v>
      </c>
      <c r="J16" s="748">
        <f t="shared" si="0"/>
        <v>0</v>
      </c>
      <c r="K16" s="748">
        <f t="shared" si="0"/>
        <v>247.66943451162174</v>
      </c>
      <c r="L16" s="748">
        <f t="shared" si="0"/>
        <v>0</v>
      </c>
      <c r="M16" s="748">
        <f t="shared" ca="1" si="0"/>
        <v>0</v>
      </c>
      <c r="N16" s="748">
        <f t="shared" si="0"/>
        <v>0</v>
      </c>
      <c r="O16" s="748">
        <f t="shared" ca="1" si="0"/>
        <v>14181.111719585091</v>
      </c>
      <c r="P16" s="748">
        <f t="shared" si="0"/>
        <v>450.23324623560336</v>
      </c>
      <c r="Q16" s="748">
        <f t="shared" si="0"/>
        <v>442.29563269084088</v>
      </c>
      <c r="R16" s="748">
        <f t="shared" ca="1" si="0"/>
        <v>134656.78962324237</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1282.0335212556749</v>
      </c>
      <c r="I19" s="712">
        <f>transport!H54</f>
        <v>0</v>
      </c>
      <c r="J19" s="712">
        <f>transport!I54</f>
        <v>0</v>
      </c>
      <c r="K19" s="712">
        <f>transport!J54</f>
        <v>0</v>
      </c>
      <c r="L19" s="712">
        <f>transport!K54</f>
        <v>0</v>
      </c>
      <c r="M19" s="712">
        <f>transport!L54</f>
        <v>0</v>
      </c>
      <c r="N19" s="712">
        <f>transport!M54</f>
        <v>71.255564960607046</v>
      </c>
      <c r="O19" s="712">
        <f>transport!N54</f>
        <v>0</v>
      </c>
      <c r="P19" s="712">
        <f>transport!O54</f>
        <v>0</v>
      </c>
      <c r="Q19" s="713">
        <f>transport!P54</f>
        <v>0</v>
      </c>
      <c r="R19" s="715">
        <f>SUM(C19:Q19)</f>
        <v>1353.2890862162819</v>
      </c>
      <c r="S19" s="67"/>
    </row>
    <row r="20" spans="1:19" s="474" customFormat="1">
      <c r="A20" s="834" t="s">
        <v>306</v>
      </c>
      <c r="B20" s="839"/>
      <c r="C20" s="712">
        <f>transport!B14</f>
        <v>87.848131904166664</v>
      </c>
      <c r="D20" s="712">
        <f>transport!C14</f>
        <v>0</v>
      </c>
      <c r="E20" s="712">
        <f>transport!D14</f>
        <v>327.52590607502117</v>
      </c>
      <c r="F20" s="712">
        <f>transport!E14</f>
        <v>296.12468901422915</v>
      </c>
      <c r="G20" s="712">
        <f>transport!F14</f>
        <v>0</v>
      </c>
      <c r="H20" s="712">
        <f>transport!G14</f>
        <v>155068.2895255824</v>
      </c>
      <c r="I20" s="712">
        <f>transport!H14</f>
        <v>25189.929965207033</v>
      </c>
      <c r="J20" s="712">
        <f>transport!I14</f>
        <v>0</v>
      </c>
      <c r="K20" s="712">
        <f>transport!J14</f>
        <v>0</v>
      </c>
      <c r="L20" s="712">
        <f>transport!K14</f>
        <v>0</v>
      </c>
      <c r="M20" s="712">
        <f>transport!L14</f>
        <v>0</v>
      </c>
      <c r="N20" s="712">
        <f>transport!M14</f>
        <v>10596.277678993758</v>
      </c>
      <c r="O20" s="712">
        <f>transport!N14</f>
        <v>0</v>
      </c>
      <c r="P20" s="712">
        <f>transport!O14</f>
        <v>0</v>
      </c>
      <c r="Q20" s="713">
        <f>transport!P14</f>
        <v>0</v>
      </c>
      <c r="R20" s="715">
        <f>SUM(C20:Q20)</f>
        <v>191565.99589677661</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87.848131904166664</v>
      </c>
      <c r="D22" s="837">
        <f t="shared" ref="D22:R22" si="1">SUM(D18:D21)</f>
        <v>0</v>
      </c>
      <c r="E22" s="837">
        <f t="shared" si="1"/>
        <v>327.52590607502117</v>
      </c>
      <c r="F22" s="837">
        <f t="shared" si="1"/>
        <v>296.12468901422915</v>
      </c>
      <c r="G22" s="837">
        <f t="shared" si="1"/>
        <v>0</v>
      </c>
      <c r="H22" s="837">
        <f t="shared" si="1"/>
        <v>156350.32304683808</v>
      </c>
      <c r="I22" s="837">
        <f t="shared" si="1"/>
        <v>25189.929965207033</v>
      </c>
      <c r="J22" s="837">
        <f t="shared" si="1"/>
        <v>0</v>
      </c>
      <c r="K22" s="837">
        <f t="shared" si="1"/>
        <v>0</v>
      </c>
      <c r="L22" s="837">
        <f t="shared" si="1"/>
        <v>0</v>
      </c>
      <c r="M22" s="837">
        <f t="shared" si="1"/>
        <v>0</v>
      </c>
      <c r="N22" s="837">
        <f t="shared" si="1"/>
        <v>10667.533243954365</v>
      </c>
      <c r="O22" s="837">
        <f t="shared" si="1"/>
        <v>0</v>
      </c>
      <c r="P22" s="837">
        <f t="shared" si="1"/>
        <v>0</v>
      </c>
      <c r="Q22" s="837">
        <f t="shared" si="1"/>
        <v>0</v>
      </c>
      <c r="R22" s="837">
        <f t="shared" si="1"/>
        <v>192919.28498299289</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2710.3968930000001</v>
      </c>
      <c r="D24" s="712">
        <f>+landbouw!C8</f>
        <v>62.357142857142847</v>
      </c>
      <c r="E24" s="712">
        <f>+landbouw!D8</f>
        <v>355.42317800000001</v>
      </c>
      <c r="F24" s="712">
        <f>+landbouw!E8</f>
        <v>84.590593251898298</v>
      </c>
      <c r="G24" s="712">
        <f>+landbouw!F8</f>
        <v>9578.8428695302755</v>
      </c>
      <c r="H24" s="712">
        <f>+landbouw!G8</f>
        <v>0</v>
      </c>
      <c r="I24" s="712">
        <f>+landbouw!H8</f>
        <v>0</v>
      </c>
      <c r="J24" s="712">
        <f>+landbouw!I8</f>
        <v>0</v>
      </c>
      <c r="K24" s="712">
        <f>+landbouw!J8</f>
        <v>746.73314045922234</v>
      </c>
      <c r="L24" s="712">
        <f>+landbouw!K8</f>
        <v>0</v>
      </c>
      <c r="M24" s="712">
        <f>+landbouw!L8</f>
        <v>0</v>
      </c>
      <c r="N24" s="712">
        <f>+landbouw!M8</f>
        <v>0</v>
      </c>
      <c r="O24" s="712">
        <f>+landbouw!N8</f>
        <v>0</v>
      </c>
      <c r="P24" s="712">
        <f>+landbouw!O8</f>
        <v>0</v>
      </c>
      <c r="Q24" s="713">
        <f>+landbouw!P8</f>
        <v>0</v>
      </c>
      <c r="R24" s="715">
        <f>SUM(C24:Q24)</f>
        <v>13538.343817098539</v>
      </c>
      <c r="S24" s="67"/>
    </row>
    <row r="25" spans="1:19" s="474" customFormat="1" ht="15" thickBot="1">
      <c r="A25" s="856" t="s">
        <v>734</v>
      </c>
      <c r="B25" s="982"/>
      <c r="C25" s="983">
        <f>IF(Onbekend_ele_kWh="---",0,Onbekend_ele_kWh)/1000+IF(REST_rest_ele_kWh="---",0,REST_rest_ele_kWh)/1000</f>
        <v>442.767</v>
      </c>
      <c r="D25" s="983"/>
      <c r="E25" s="983">
        <f>IF(onbekend_gas_kWh="---",0,onbekend_gas_kWh)/1000+IF(REST_rest_gas_kWh="---",0,REST_rest_gas_kWh)/1000</f>
        <v>831.12694999999997</v>
      </c>
      <c r="F25" s="983"/>
      <c r="G25" s="983"/>
      <c r="H25" s="983"/>
      <c r="I25" s="983"/>
      <c r="J25" s="983"/>
      <c r="K25" s="983"/>
      <c r="L25" s="983"/>
      <c r="M25" s="983"/>
      <c r="N25" s="983"/>
      <c r="O25" s="983"/>
      <c r="P25" s="983"/>
      <c r="Q25" s="984"/>
      <c r="R25" s="715">
        <f>SUM(C25:Q25)</f>
        <v>1273.8939499999999</v>
      </c>
      <c r="S25" s="67"/>
    </row>
    <row r="26" spans="1:19" s="474" customFormat="1" ht="15.75" thickBot="1">
      <c r="A26" s="720" t="s">
        <v>735</v>
      </c>
      <c r="B26" s="842"/>
      <c r="C26" s="837">
        <f>SUM(C24:C25)</f>
        <v>3153.1638929999999</v>
      </c>
      <c r="D26" s="837">
        <f t="shared" ref="D26:R26" si="2">SUM(D24:D25)</f>
        <v>62.357142857142847</v>
      </c>
      <c r="E26" s="837">
        <f t="shared" si="2"/>
        <v>1186.5501279999999</v>
      </c>
      <c r="F26" s="837">
        <f t="shared" si="2"/>
        <v>84.590593251898298</v>
      </c>
      <c r="G26" s="837">
        <f t="shared" si="2"/>
        <v>9578.8428695302755</v>
      </c>
      <c r="H26" s="837">
        <f t="shared" si="2"/>
        <v>0</v>
      </c>
      <c r="I26" s="837">
        <f t="shared" si="2"/>
        <v>0</v>
      </c>
      <c r="J26" s="837">
        <f t="shared" si="2"/>
        <v>0</v>
      </c>
      <c r="K26" s="837">
        <f t="shared" si="2"/>
        <v>746.73314045922234</v>
      </c>
      <c r="L26" s="837">
        <f t="shared" si="2"/>
        <v>0</v>
      </c>
      <c r="M26" s="837">
        <f t="shared" si="2"/>
        <v>0</v>
      </c>
      <c r="N26" s="837">
        <f t="shared" si="2"/>
        <v>0</v>
      </c>
      <c r="O26" s="837">
        <f t="shared" si="2"/>
        <v>0</v>
      </c>
      <c r="P26" s="837">
        <f t="shared" si="2"/>
        <v>0</v>
      </c>
      <c r="Q26" s="837">
        <f t="shared" si="2"/>
        <v>0</v>
      </c>
      <c r="R26" s="837">
        <f t="shared" si="2"/>
        <v>14812.237767098539</v>
      </c>
      <c r="S26" s="67"/>
    </row>
    <row r="27" spans="1:19" s="474" customFormat="1" ht="17.25" thickTop="1" thickBot="1">
      <c r="A27" s="721" t="s">
        <v>115</v>
      </c>
      <c r="B27" s="829"/>
      <c r="C27" s="722">
        <f ca="1">C22+C16+C26</f>
        <v>40419.888121299431</v>
      </c>
      <c r="D27" s="722">
        <f t="shared" ref="D27:R27" ca="1" si="3">D22+D16+D26</f>
        <v>1283.7857142857144</v>
      </c>
      <c r="E27" s="722">
        <f t="shared" ca="1" si="3"/>
        <v>73056.742428219033</v>
      </c>
      <c r="F27" s="722">
        <f t="shared" si="3"/>
        <v>5970.4359958388668</v>
      </c>
      <c r="G27" s="722">
        <f t="shared" ca="1" si="3"/>
        <v>13381.630684208896</v>
      </c>
      <c r="H27" s="722">
        <f t="shared" si="3"/>
        <v>156350.32304683808</v>
      </c>
      <c r="I27" s="722">
        <f t="shared" si="3"/>
        <v>25189.929965207033</v>
      </c>
      <c r="J27" s="722">
        <f t="shared" si="3"/>
        <v>0</v>
      </c>
      <c r="K27" s="722">
        <f t="shared" si="3"/>
        <v>994.40257497084406</v>
      </c>
      <c r="L27" s="722">
        <f t="shared" si="3"/>
        <v>0</v>
      </c>
      <c r="M27" s="722">
        <f t="shared" ca="1" si="3"/>
        <v>0</v>
      </c>
      <c r="N27" s="722">
        <f t="shared" si="3"/>
        <v>10667.533243954365</v>
      </c>
      <c r="O27" s="722">
        <f t="shared" ca="1" si="3"/>
        <v>14181.111719585091</v>
      </c>
      <c r="P27" s="722">
        <f t="shared" si="3"/>
        <v>450.23324623560336</v>
      </c>
      <c r="Q27" s="722">
        <f t="shared" si="3"/>
        <v>442.29563269084088</v>
      </c>
      <c r="R27" s="722">
        <f t="shared" ca="1" si="3"/>
        <v>342388.31237333379</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612.72282280381592</v>
      </c>
      <c r="D40" s="712">
        <f ca="1">tertiair!C20</f>
        <v>0</v>
      </c>
      <c r="E40" s="712">
        <f ca="1">tertiair!D20</f>
        <v>3075.4345414595441</v>
      </c>
      <c r="F40" s="712">
        <f>tertiair!E20</f>
        <v>36.570353564770024</v>
      </c>
      <c r="G40" s="712">
        <f ca="1">tertiair!F20</f>
        <v>306.99050346705434</v>
      </c>
      <c r="H40" s="712">
        <f>tertiair!G20</f>
        <v>0</v>
      </c>
      <c r="I40" s="712">
        <f>tertiair!H20</f>
        <v>0</v>
      </c>
      <c r="J40" s="712">
        <f>tertiair!I20</f>
        <v>0</v>
      </c>
      <c r="K40" s="712">
        <f>tertiair!J20</f>
        <v>1.0689894214381188E-2</v>
      </c>
      <c r="L40" s="712">
        <f>tertiair!K20</f>
        <v>0</v>
      </c>
      <c r="M40" s="712">
        <f ca="1">tertiair!L20</f>
        <v>0</v>
      </c>
      <c r="N40" s="712">
        <f>tertiair!M20</f>
        <v>0</v>
      </c>
      <c r="O40" s="712">
        <f ca="1">tertiair!N20</f>
        <v>0</v>
      </c>
      <c r="P40" s="712">
        <f>tertiair!O20</f>
        <v>0</v>
      </c>
      <c r="Q40" s="795">
        <f>tertiair!P20</f>
        <v>0</v>
      </c>
      <c r="R40" s="875">
        <f t="shared" ca="1" si="4"/>
        <v>4031.7289111893988</v>
      </c>
    </row>
    <row r="41" spans="1:18">
      <c r="A41" s="847" t="s">
        <v>224</v>
      </c>
      <c r="B41" s="854"/>
      <c r="C41" s="712">
        <f ca="1">huishoudens!B12</f>
        <v>1051.5810248990767</v>
      </c>
      <c r="D41" s="712">
        <f ca="1">huishoudens!C12</f>
        <v>0</v>
      </c>
      <c r="E41" s="712">
        <f>huishoudens!D12</f>
        <v>9618.6219322776014</v>
      </c>
      <c r="F41" s="712">
        <f>huishoudens!E12</f>
        <v>1051.7293809141208</v>
      </c>
      <c r="G41" s="712">
        <f>huishoudens!F12</f>
        <v>0</v>
      </c>
      <c r="H41" s="712">
        <f>huishoudens!G12</f>
        <v>0</v>
      </c>
      <c r="I41" s="712">
        <f>huishoudens!H12</f>
        <v>0</v>
      </c>
      <c r="J41" s="712">
        <f>huishoudens!I12</f>
        <v>0</v>
      </c>
      <c r="K41" s="712">
        <f>huishoudens!J12</f>
        <v>80.011164458779206</v>
      </c>
      <c r="L41" s="712">
        <f>huishoudens!K12</f>
        <v>0</v>
      </c>
      <c r="M41" s="712">
        <f>huishoudens!L12</f>
        <v>0</v>
      </c>
      <c r="N41" s="712">
        <f>huishoudens!M12</f>
        <v>0</v>
      </c>
      <c r="O41" s="712">
        <f>huishoudens!N12</f>
        <v>0</v>
      </c>
      <c r="P41" s="712">
        <f>huishoudens!O12</f>
        <v>0</v>
      </c>
      <c r="Q41" s="795">
        <f>huishoudens!P12</f>
        <v>0</v>
      </c>
      <c r="R41" s="875">
        <f t="shared" ca="1" si="4"/>
        <v>11801.943502549579</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246.88226039395477</v>
      </c>
      <c r="D43" s="712">
        <f ca="1">industrie!C22</f>
        <v>0</v>
      </c>
      <c r="E43" s="712">
        <f>industrie!D22</f>
        <v>1757.562137879944</v>
      </c>
      <c r="F43" s="712">
        <f>industrie!E22</f>
        <v>180.56686750212114</v>
      </c>
      <c r="G43" s="712">
        <f>industrie!F22</f>
        <v>708.35384305213756</v>
      </c>
      <c r="H43" s="712">
        <f>industrie!G22</f>
        <v>0</v>
      </c>
      <c r="I43" s="712">
        <f>industrie!H22</f>
        <v>0</v>
      </c>
      <c r="J43" s="712">
        <f>industrie!I22</f>
        <v>0</v>
      </c>
      <c r="K43" s="712">
        <f>industrie!J22</f>
        <v>7.6531254641205031</v>
      </c>
      <c r="L43" s="712">
        <f>industrie!K22</f>
        <v>0</v>
      </c>
      <c r="M43" s="712">
        <f>industrie!L22</f>
        <v>0</v>
      </c>
      <c r="N43" s="712">
        <f>industrie!M22</f>
        <v>0</v>
      </c>
      <c r="O43" s="712">
        <f>industrie!N22</f>
        <v>0</v>
      </c>
      <c r="P43" s="712">
        <f>industrie!O22</f>
        <v>0</v>
      </c>
      <c r="Q43" s="795">
        <f>industrie!P22</f>
        <v>0</v>
      </c>
      <c r="R43" s="874">
        <f t="shared" ca="1" si="4"/>
        <v>2901.0182342922781</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1911.1861080968474</v>
      </c>
      <c r="D46" s="748">
        <f t="shared" ref="D46:Q46" ca="1" si="5">SUM(D39:D45)</f>
        <v>0</v>
      </c>
      <c r="E46" s="748">
        <f t="shared" ca="1" si="5"/>
        <v>14451.61861161709</v>
      </c>
      <c r="F46" s="748">
        <f t="shared" si="5"/>
        <v>1268.8666019810121</v>
      </c>
      <c r="G46" s="748">
        <f t="shared" ca="1" si="5"/>
        <v>1015.344346519192</v>
      </c>
      <c r="H46" s="748">
        <f t="shared" si="5"/>
        <v>0</v>
      </c>
      <c r="I46" s="748">
        <f t="shared" si="5"/>
        <v>0</v>
      </c>
      <c r="J46" s="748">
        <f t="shared" si="5"/>
        <v>0</v>
      </c>
      <c r="K46" s="748">
        <f t="shared" si="5"/>
        <v>87.674979817114092</v>
      </c>
      <c r="L46" s="748">
        <f t="shared" si="5"/>
        <v>0</v>
      </c>
      <c r="M46" s="748">
        <f t="shared" ca="1" si="5"/>
        <v>0</v>
      </c>
      <c r="N46" s="748">
        <f t="shared" si="5"/>
        <v>0</v>
      </c>
      <c r="O46" s="748">
        <f t="shared" ca="1" si="5"/>
        <v>0</v>
      </c>
      <c r="P46" s="748">
        <f t="shared" si="5"/>
        <v>0</v>
      </c>
      <c r="Q46" s="748">
        <f t="shared" si="5"/>
        <v>0</v>
      </c>
      <c r="R46" s="748">
        <f ca="1">SUM(R39:R45)</f>
        <v>18734.690648031254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342.30295017526521</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342.30295017526521</v>
      </c>
    </row>
    <row r="50" spans="1:18">
      <c r="A50" s="850" t="s">
        <v>306</v>
      </c>
      <c r="B50" s="860"/>
      <c r="C50" s="718">
        <f ca="1">transport!B18</f>
        <v>4.5158473559608545</v>
      </c>
      <c r="D50" s="718">
        <f>transport!C18</f>
        <v>0</v>
      </c>
      <c r="E50" s="718">
        <f>transport!D18</f>
        <v>66.160233027154277</v>
      </c>
      <c r="F50" s="718">
        <f>transport!E18</f>
        <v>67.220304406230014</v>
      </c>
      <c r="G50" s="718">
        <f>transport!F18</f>
        <v>0</v>
      </c>
      <c r="H50" s="718">
        <f>transport!G18</f>
        <v>41403.233303330504</v>
      </c>
      <c r="I50" s="718">
        <f>transport!H18</f>
        <v>6272.2925613365514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47813.422249456402</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4.5158473559608545</v>
      </c>
      <c r="D52" s="748">
        <f t="shared" ref="D52:Q52" ca="1" si="6">SUM(D48:D51)</f>
        <v>0</v>
      </c>
      <c r="E52" s="748">
        <f t="shared" si="6"/>
        <v>66.160233027154277</v>
      </c>
      <c r="F52" s="748">
        <f t="shared" si="6"/>
        <v>67.220304406230014</v>
      </c>
      <c r="G52" s="748">
        <f t="shared" si="6"/>
        <v>0</v>
      </c>
      <c r="H52" s="748">
        <f t="shared" si="6"/>
        <v>41745.536253505772</v>
      </c>
      <c r="I52" s="748">
        <f t="shared" si="6"/>
        <v>6272.2925613365514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48155.72519963167</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139.32838840797285</v>
      </c>
      <c r="D54" s="718">
        <f ca="1">+landbouw!C12</f>
        <v>0</v>
      </c>
      <c r="E54" s="718">
        <f>+landbouw!D12</f>
        <v>71.795481956000003</v>
      </c>
      <c r="F54" s="718">
        <f>+landbouw!E12</f>
        <v>19.202064668180913</v>
      </c>
      <c r="G54" s="718">
        <f>+landbouw!F12</f>
        <v>2557.5510461645836</v>
      </c>
      <c r="H54" s="718">
        <f>+landbouw!G12</f>
        <v>0</v>
      </c>
      <c r="I54" s="718">
        <f>+landbouw!H12</f>
        <v>0</v>
      </c>
      <c r="J54" s="718">
        <f>+landbouw!I12</f>
        <v>0</v>
      </c>
      <c r="K54" s="718">
        <f>+landbouw!J12</f>
        <v>264.34353172256471</v>
      </c>
      <c r="L54" s="718">
        <f>+landbouw!K12</f>
        <v>0</v>
      </c>
      <c r="M54" s="718">
        <f>+landbouw!L12</f>
        <v>0</v>
      </c>
      <c r="N54" s="718">
        <f>+landbouw!M12</f>
        <v>0</v>
      </c>
      <c r="O54" s="718">
        <f>+landbouw!N12</f>
        <v>0</v>
      </c>
      <c r="P54" s="718">
        <f>+landbouw!O12</f>
        <v>0</v>
      </c>
      <c r="Q54" s="719">
        <f>+landbouw!P12</f>
        <v>0</v>
      </c>
      <c r="R54" s="747">
        <f ca="1">SUM(C54:Q54)</f>
        <v>3052.2205129193021</v>
      </c>
    </row>
    <row r="55" spans="1:18" ht="15" thickBot="1">
      <c r="A55" s="850" t="s">
        <v>734</v>
      </c>
      <c r="B55" s="860"/>
      <c r="C55" s="718">
        <f ca="1">C25*'EF ele_warmte'!B12</f>
        <v>22.760508879550621</v>
      </c>
      <c r="D55" s="718"/>
      <c r="E55" s="718">
        <f>E25*EF_CO2_aardgas</f>
        <v>167.8876439</v>
      </c>
      <c r="F55" s="718"/>
      <c r="G55" s="718"/>
      <c r="H55" s="718"/>
      <c r="I55" s="718"/>
      <c r="J55" s="718"/>
      <c r="K55" s="718"/>
      <c r="L55" s="718"/>
      <c r="M55" s="718"/>
      <c r="N55" s="718"/>
      <c r="O55" s="718"/>
      <c r="P55" s="718"/>
      <c r="Q55" s="719"/>
      <c r="R55" s="747">
        <f ca="1">SUM(C55:Q55)</f>
        <v>190.64815277955063</v>
      </c>
    </row>
    <row r="56" spans="1:18" ht="15.75" thickBot="1">
      <c r="A56" s="848" t="s">
        <v>735</v>
      </c>
      <c r="B56" s="861"/>
      <c r="C56" s="748">
        <f ca="1">SUM(C54:C55)</f>
        <v>162.08889728752348</v>
      </c>
      <c r="D56" s="748">
        <f t="shared" ref="D56:Q56" ca="1" si="7">SUM(D54:D55)</f>
        <v>0</v>
      </c>
      <c r="E56" s="748">
        <f t="shared" si="7"/>
        <v>239.683125856</v>
      </c>
      <c r="F56" s="748">
        <f t="shared" si="7"/>
        <v>19.202064668180913</v>
      </c>
      <c r="G56" s="748">
        <f t="shared" si="7"/>
        <v>2557.5510461645836</v>
      </c>
      <c r="H56" s="748">
        <f t="shared" si="7"/>
        <v>0</v>
      </c>
      <c r="I56" s="748">
        <f t="shared" si="7"/>
        <v>0</v>
      </c>
      <c r="J56" s="748">
        <f t="shared" si="7"/>
        <v>0</v>
      </c>
      <c r="K56" s="748">
        <f t="shared" si="7"/>
        <v>264.34353172256471</v>
      </c>
      <c r="L56" s="748">
        <f t="shared" si="7"/>
        <v>0</v>
      </c>
      <c r="M56" s="748">
        <f t="shared" si="7"/>
        <v>0</v>
      </c>
      <c r="N56" s="748">
        <f t="shared" si="7"/>
        <v>0</v>
      </c>
      <c r="O56" s="748">
        <f t="shared" si="7"/>
        <v>0</v>
      </c>
      <c r="P56" s="748">
        <f t="shared" si="7"/>
        <v>0</v>
      </c>
      <c r="Q56" s="749">
        <f t="shared" si="7"/>
        <v>0</v>
      </c>
      <c r="R56" s="750">
        <f ca="1">SUM(R54:R55)</f>
        <v>3242.868665698853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2077.790852740332</v>
      </c>
      <c r="D61" s="756">
        <f t="shared" ref="D61:Q61" ca="1" si="8">D46+D52+D56</f>
        <v>0</v>
      </c>
      <c r="E61" s="756">
        <f t="shared" ca="1" si="8"/>
        <v>14757.461970500244</v>
      </c>
      <c r="F61" s="756">
        <f t="shared" si="8"/>
        <v>1355.288971055423</v>
      </c>
      <c r="G61" s="756">
        <f t="shared" ca="1" si="8"/>
        <v>3572.8953926837758</v>
      </c>
      <c r="H61" s="756">
        <f t="shared" si="8"/>
        <v>41745.536253505772</v>
      </c>
      <c r="I61" s="756">
        <f t="shared" si="8"/>
        <v>6272.2925613365514</v>
      </c>
      <c r="J61" s="756">
        <f t="shared" si="8"/>
        <v>0</v>
      </c>
      <c r="K61" s="756">
        <f t="shared" si="8"/>
        <v>352.0185115396788</v>
      </c>
      <c r="L61" s="756">
        <f t="shared" si="8"/>
        <v>0</v>
      </c>
      <c r="M61" s="756">
        <f t="shared" ca="1" si="8"/>
        <v>0</v>
      </c>
      <c r="N61" s="756">
        <f t="shared" si="8"/>
        <v>0</v>
      </c>
      <c r="O61" s="756">
        <f t="shared" ca="1" si="8"/>
        <v>0</v>
      </c>
      <c r="P61" s="756">
        <f t="shared" si="8"/>
        <v>0</v>
      </c>
      <c r="Q61" s="756">
        <f t="shared" si="8"/>
        <v>0</v>
      </c>
      <c r="R61" s="756">
        <f ca="1">R46+R52+R56</f>
        <v>70133.284513361781</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5.1405160907544205E-2</v>
      </c>
      <c r="D63" s="802">
        <f t="shared" ca="1" si="9"/>
        <v>0</v>
      </c>
      <c r="E63" s="1008">
        <f t="shared" ca="1" si="9"/>
        <v>0.20199999999999999</v>
      </c>
      <c r="F63" s="802">
        <f t="shared" si="9"/>
        <v>0.22700000000000004</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24216.918108854567</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5497.5514480089732</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898.65</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1057.2352941176471</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405</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1012.5</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31018.119556863541</v>
      </c>
      <c r="C78" s="774">
        <f>SUM(C72:C77)</f>
        <v>0</v>
      </c>
      <c r="D78" s="775">
        <f t="shared" ref="D78:H78" si="10">SUM(D76:D77)</f>
        <v>0</v>
      </c>
      <c r="E78" s="775">
        <f t="shared" si="10"/>
        <v>0</v>
      </c>
      <c r="F78" s="775">
        <f t="shared" si="10"/>
        <v>0</v>
      </c>
      <c r="G78" s="775">
        <f t="shared" si="10"/>
        <v>0</v>
      </c>
      <c r="H78" s="775">
        <f t="shared" si="10"/>
        <v>0</v>
      </c>
      <c r="I78" s="775">
        <f>SUM(I76:I77)</f>
        <v>1012.5</v>
      </c>
      <c r="J78" s="775">
        <f>SUM(J76:J77)</f>
        <v>1057.2352941176471</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1283.7857142857144</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1510.3361344537818</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1283.7857142857144</v>
      </c>
      <c r="C90" s="774">
        <f>SUM(C87:C89)</f>
        <v>0</v>
      </c>
      <c r="D90" s="774">
        <f t="shared" ref="D90:H90" si="12">SUM(D87:D89)</f>
        <v>0</v>
      </c>
      <c r="E90" s="774">
        <f t="shared" si="12"/>
        <v>0</v>
      </c>
      <c r="F90" s="774">
        <f t="shared" si="12"/>
        <v>0</v>
      </c>
      <c r="G90" s="774">
        <f t="shared" si="12"/>
        <v>0</v>
      </c>
      <c r="H90" s="774">
        <f t="shared" si="12"/>
        <v>0</v>
      </c>
      <c r="I90" s="774">
        <f>SUM(I87:I89)</f>
        <v>0</v>
      </c>
      <c r="J90" s="774">
        <f>SUM(J87:J89)</f>
        <v>1510.3361344537818</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20456.720810395269</v>
      </c>
      <c r="C4" s="478">
        <f>huishoudens!C8</f>
        <v>0</v>
      </c>
      <c r="D4" s="478">
        <f>huishoudens!D8</f>
        <v>47616.940258800001</v>
      </c>
      <c r="E4" s="478">
        <f>huishoudens!E8</f>
        <v>4633.1690789168315</v>
      </c>
      <c r="F4" s="478">
        <f>huishoudens!F8</f>
        <v>0</v>
      </c>
      <c r="G4" s="478">
        <f>huishoudens!G8</f>
        <v>0</v>
      </c>
      <c r="H4" s="478">
        <f>huishoudens!H8</f>
        <v>0</v>
      </c>
      <c r="I4" s="478">
        <f>huishoudens!I8</f>
        <v>0</v>
      </c>
      <c r="J4" s="478">
        <f>huishoudens!J8</f>
        <v>226.02023858412207</v>
      </c>
      <c r="K4" s="478">
        <f>huishoudens!K8</f>
        <v>0</v>
      </c>
      <c r="L4" s="478">
        <f>huishoudens!L8</f>
        <v>0</v>
      </c>
      <c r="M4" s="478">
        <f>huishoudens!M8</f>
        <v>0</v>
      </c>
      <c r="N4" s="478">
        <f>huishoudens!N8</f>
        <v>13744.910840865192</v>
      </c>
      <c r="O4" s="478">
        <f>huishoudens!O8</f>
        <v>440.43872470392103</v>
      </c>
      <c r="P4" s="479">
        <f>huishoudens!P8</f>
        <v>389.75649438434584</v>
      </c>
      <c r="Q4" s="480">
        <f>SUM(B4:P4)</f>
        <v>87507.956446649696</v>
      </c>
    </row>
    <row r="5" spans="1:17">
      <c r="A5" s="477" t="s">
        <v>155</v>
      </c>
      <c r="B5" s="478">
        <f ca="1">tertiair!B16</f>
        <v>10992.100689999999</v>
      </c>
      <c r="C5" s="478">
        <f ca="1">tertiair!C16</f>
        <v>1221.4285714285716</v>
      </c>
      <c r="D5" s="478">
        <f ca="1">tertiair!D16</f>
        <v>15224.923472572</v>
      </c>
      <c r="E5" s="478">
        <f>tertiair!E16</f>
        <v>161.10287913995603</v>
      </c>
      <c r="F5" s="478">
        <f ca="1">tertiair!F16</f>
        <v>1149.7771665432747</v>
      </c>
      <c r="G5" s="478">
        <f>tertiair!G16</f>
        <v>0</v>
      </c>
      <c r="H5" s="478">
        <f>tertiair!H16</f>
        <v>0</v>
      </c>
      <c r="I5" s="478">
        <f>tertiair!I16</f>
        <v>0</v>
      </c>
      <c r="J5" s="478">
        <f>tertiair!J16</f>
        <v>3.0197441283562682E-2</v>
      </c>
      <c r="K5" s="478">
        <f>tertiair!K16</f>
        <v>0</v>
      </c>
      <c r="L5" s="478">
        <f ca="1">tertiair!L16</f>
        <v>0</v>
      </c>
      <c r="M5" s="478">
        <f>tertiair!M16</f>
        <v>0</v>
      </c>
      <c r="N5" s="478">
        <f ca="1">tertiair!N16</f>
        <v>0</v>
      </c>
      <c r="O5" s="478">
        <f>tertiair!O16</f>
        <v>9.7945215316823084</v>
      </c>
      <c r="P5" s="479">
        <f>tertiair!P16</f>
        <v>52.539138306495019</v>
      </c>
      <c r="Q5" s="477">
        <f t="shared" ref="Q5:Q14" ca="1" si="0">SUM(B5:P5)</f>
        <v>28811.696636963265</v>
      </c>
    </row>
    <row r="6" spans="1:17">
      <c r="A6" s="477" t="s">
        <v>193</v>
      </c>
      <c r="B6" s="478">
        <f>'openbare verlichting'!B8</f>
        <v>927.38</v>
      </c>
      <c r="C6" s="478"/>
      <c r="D6" s="478"/>
      <c r="E6" s="478"/>
      <c r="F6" s="478"/>
      <c r="G6" s="478"/>
      <c r="H6" s="478"/>
      <c r="I6" s="478"/>
      <c r="J6" s="478"/>
      <c r="K6" s="478"/>
      <c r="L6" s="478"/>
      <c r="M6" s="478"/>
      <c r="N6" s="478"/>
      <c r="O6" s="478"/>
      <c r="P6" s="479"/>
      <c r="Q6" s="477">
        <f t="shared" si="0"/>
        <v>927.38</v>
      </c>
    </row>
    <row r="7" spans="1:17">
      <c r="A7" s="477" t="s">
        <v>111</v>
      </c>
      <c r="B7" s="478">
        <f>landbouw!B8</f>
        <v>2710.3968930000001</v>
      </c>
      <c r="C7" s="478">
        <f>landbouw!C8</f>
        <v>62.357142857142847</v>
      </c>
      <c r="D7" s="478">
        <f>landbouw!D8</f>
        <v>355.42317800000001</v>
      </c>
      <c r="E7" s="478">
        <f>landbouw!E8</f>
        <v>84.590593251898298</v>
      </c>
      <c r="F7" s="478">
        <f>landbouw!F8</f>
        <v>9578.8428695302755</v>
      </c>
      <c r="G7" s="478">
        <f>landbouw!G8</f>
        <v>0</v>
      </c>
      <c r="H7" s="478">
        <f>landbouw!H8</f>
        <v>0</v>
      </c>
      <c r="I7" s="478">
        <f>landbouw!I8</f>
        <v>0</v>
      </c>
      <c r="J7" s="478">
        <f>landbouw!J8</f>
        <v>746.73314045922234</v>
      </c>
      <c r="K7" s="478">
        <f>landbouw!K8</f>
        <v>0</v>
      </c>
      <c r="L7" s="478">
        <f>landbouw!L8</f>
        <v>0</v>
      </c>
      <c r="M7" s="478">
        <f>landbouw!M8</f>
        <v>0</v>
      </c>
      <c r="N7" s="478">
        <f>landbouw!N8</f>
        <v>0</v>
      </c>
      <c r="O7" s="478">
        <f>landbouw!O8</f>
        <v>0</v>
      </c>
      <c r="P7" s="479">
        <f>landbouw!P8</f>
        <v>0</v>
      </c>
      <c r="Q7" s="477">
        <f t="shared" si="0"/>
        <v>13538.343817098539</v>
      </c>
    </row>
    <row r="8" spans="1:17">
      <c r="A8" s="477" t="s">
        <v>629</v>
      </c>
      <c r="B8" s="478">
        <f>industrie!B18</f>
        <v>4802.6745959999989</v>
      </c>
      <c r="C8" s="478">
        <f>industrie!C18</f>
        <v>0</v>
      </c>
      <c r="D8" s="478">
        <f>industrie!D18</f>
        <v>8700.8026627719992</v>
      </c>
      <c r="E8" s="478">
        <f>industrie!E18</f>
        <v>795.44875551595214</v>
      </c>
      <c r="F8" s="478">
        <f>industrie!F18</f>
        <v>2653.0106481353464</v>
      </c>
      <c r="G8" s="478">
        <f>industrie!G18</f>
        <v>0</v>
      </c>
      <c r="H8" s="478">
        <f>industrie!H18</f>
        <v>0</v>
      </c>
      <c r="I8" s="478">
        <f>industrie!I18</f>
        <v>0</v>
      </c>
      <c r="J8" s="478">
        <f>industrie!J18</f>
        <v>21.61899848621611</v>
      </c>
      <c r="K8" s="478">
        <f>industrie!K18</f>
        <v>0</v>
      </c>
      <c r="L8" s="478">
        <f>industrie!L18</f>
        <v>0</v>
      </c>
      <c r="M8" s="478">
        <f>industrie!M18</f>
        <v>0</v>
      </c>
      <c r="N8" s="478">
        <f>industrie!N18</f>
        <v>436.20087871989955</v>
      </c>
      <c r="O8" s="478">
        <f>industrie!O18</f>
        <v>0</v>
      </c>
      <c r="P8" s="479">
        <f>industrie!P18</f>
        <v>0</v>
      </c>
      <c r="Q8" s="477">
        <f t="shared" si="0"/>
        <v>17409.756539629416</v>
      </c>
    </row>
    <row r="9" spans="1:17" s="483" customFormat="1">
      <c r="A9" s="481" t="s">
        <v>555</v>
      </c>
      <c r="B9" s="482">
        <f>transport!B14</f>
        <v>87.848131904166664</v>
      </c>
      <c r="C9" s="482">
        <f>transport!C14</f>
        <v>0</v>
      </c>
      <c r="D9" s="482">
        <f>transport!D14</f>
        <v>327.52590607502117</v>
      </c>
      <c r="E9" s="482">
        <f>transport!E14</f>
        <v>296.12468901422915</v>
      </c>
      <c r="F9" s="482">
        <f>transport!F14</f>
        <v>0</v>
      </c>
      <c r="G9" s="482">
        <f>transport!G14</f>
        <v>155068.2895255824</v>
      </c>
      <c r="H9" s="482">
        <f>transport!H14</f>
        <v>25189.929965207033</v>
      </c>
      <c r="I9" s="482">
        <f>transport!I14</f>
        <v>0</v>
      </c>
      <c r="J9" s="482">
        <f>transport!J14</f>
        <v>0</v>
      </c>
      <c r="K9" s="482">
        <f>transport!K14</f>
        <v>0</v>
      </c>
      <c r="L9" s="482">
        <f>transport!L14</f>
        <v>0</v>
      </c>
      <c r="M9" s="482">
        <f>transport!M14</f>
        <v>10596.277678993758</v>
      </c>
      <c r="N9" s="482">
        <f>transport!N14</f>
        <v>0</v>
      </c>
      <c r="O9" s="482">
        <f>transport!O14</f>
        <v>0</v>
      </c>
      <c r="P9" s="482">
        <f>transport!P14</f>
        <v>0</v>
      </c>
      <c r="Q9" s="481">
        <f>SUM(B9:P9)</f>
        <v>191565.99589677661</v>
      </c>
    </row>
    <row r="10" spans="1:17">
      <c r="A10" s="477" t="s">
        <v>545</v>
      </c>
      <c r="B10" s="478">
        <f>transport!B54</f>
        <v>0</v>
      </c>
      <c r="C10" s="478">
        <f>transport!C54</f>
        <v>0</v>
      </c>
      <c r="D10" s="478">
        <f>transport!D54</f>
        <v>0</v>
      </c>
      <c r="E10" s="478">
        <f>transport!E54</f>
        <v>0</v>
      </c>
      <c r="F10" s="478">
        <f>transport!F54</f>
        <v>0</v>
      </c>
      <c r="G10" s="478">
        <f>transport!G54</f>
        <v>1282.0335212556749</v>
      </c>
      <c r="H10" s="478">
        <f>transport!H54</f>
        <v>0</v>
      </c>
      <c r="I10" s="478">
        <f>transport!I54</f>
        <v>0</v>
      </c>
      <c r="J10" s="478">
        <f>transport!J54</f>
        <v>0</v>
      </c>
      <c r="K10" s="478">
        <f>transport!K54</f>
        <v>0</v>
      </c>
      <c r="L10" s="478">
        <f>transport!L54</f>
        <v>0</v>
      </c>
      <c r="M10" s="478">
        <f>transport!M54</f>
        <v>71.255564960607046</v>
      </c>
      <c r="N10" s="478">
        <f>transport!N54</f>
        <v>0</v>
      </c>
      <c r="O10" s="478">
        <f>transport!O54</f>
        <v>0</v>
      </c>
      <c r="P10" s="479">
        <f>transport!P54</f>
        <v>0</v>
      </c>
      <c r="Q10" s="477">
        <f t="shared" si="0"/>
        <v>1353.2890862162819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442.767</v>
      </c>
      <c r="C14" s="485"/>
      <c r="D14" s="485">
        <f>'SEAP template'!E25</f>
        <v>831.12694999999997</v>
      </c>
      <c r="E14" s="485"/>
      <c r="F14" s="485"/>
      <c r="G14" s="485"/>
      <c r="H14" s="485"/>
      <c r="I14" s="485"/>
      <c r="J14" s="485"/>
      <c r="K14" s="485"/>
      <c r="L14" s="485"/>
      <c r="M14" s="485"/>
      <c r="N14" s="485"/>
      <c r="O14" s="485"/>
      <c r="P14" s="486"/>
      <c r="Q14" s="477">
        <f t="shared" si="0"/>
        <v>1273.8939499999999</v>
      </c>
    </row>
    <row r="15" spans="1:17" s="489" customFormat="1">
      <c r="A15" s="487" t="s">
        <v>549</v>
      </c>
      <c r="B15" s="488">
        <f ca="1">SUM(B4:B14)</f>
        <v>40419.888121299431</v>
      </c>
      <c r="C15" s="488">
        <f t="shared" ref="C15:Q15" ca="1" si="1">SUM(C4:C14)</f>
        <v>1283.7857142857144</v>
      </c>
      <c r="D15" s="488">
        <f t="shared" ca="1" si="1"/>
        <v>73056.742428219033</v>
      </c>
      <c r="E15" s="488">
        <f t="shared" si="1"/>
        <v>5970.4359958388668</v>
      </c>
      <c r="F15" s="488">
        <f t="shared" ca="1" si="1"/>
        <v>13381.630684208896</v>
      </c>
      <c r="G15" s="488">
        <f t="shared" si="1"/>
        <v>156350.32304683808</v>
      </c>
      <c r="H15" s="488">
        <f t="shared" si="1"/>
        <v>25189.929965207033</v>
      </c>
      <c r="I15" s="488">
        <f t="shared" si="1"/>
        <v>0</v>
      </c>
      <c r="J15" s="488">
        <f t="shared" si="1"/>
        <v>994.40257497084406</v>
      </c>
      <c r="K15" s="488">
        <f t="shared" si="1"/>
        <v>0</v>
      </c>
      <c r="L15" s="488">
        <f t="shared" ca="1" si="1"/>
        <v>0</v>
      </c>
      <c r="M15" s="488">
        <f t="shared" si="1"/>
        <v>10667.533243954365</v>
      </c>
      <c r="N15" s="488">
        <f t="shared" ca="1" si="1"/>
        <v>14181.111719585091</v>
      </c>
      <c r="O15" s="488">
        <f t="shared" si="1"/>
        <v>450.23324623560336</v>
      </c>
      <c r="P15" s="488">
        <f t="shared" si="1"/>
        <v>442.29563269084088</v>
      </c>
      <c r="Q15" s="488">
        <f t="shared" ca="1" si="1"/>
        <v>342388.31237333384</v>
      </c>
    </row>
    <row r="17" spans="1:17">
      <c r="A17" s="490" t="s">
        <v>550</v>
      </c>
      <c r="B17" s="807">
        <f ca="1">huishoudens!B10</f>
        <v>5.1405160907544198E-2</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1051.5810248990767</v>
      </c>
      <c r="C22" s="478">
        <f t="shared" ref="C22:C32" ca="1" si="3">C4*$C$17</f>
        <v>0</v>
      </c>
      <c r="D22" s="478">
        <f t="shared" ref="D22:D32" si="4">D4*$D$17</f>
        <v>9618.6219322776014</v>
      </c>
      <c r="E22" s="478">
        <f t="shared" ref="E22:E32" si="5">E4*$E$17</f>
        <v>1051.7293809141208</v>
      </c>
      <c r="F22" s="478">
        <f t="shared" ref="F22:F32" si="6">F4*$F$17</f>
        <v>0</v>
      </c>
      <c r="G22" s="478">
        <f t="shared" ref="G22:G32" si="7">G4*$G$17</f>
        <v>0</v>
      </c>
      <c r="H22" s="478">
        <f t="shared" ref="H22:H32" si="8">H4*$H$17</f>
        <v>0</v>
      </c>
      <c r="I22" s="478">
        <f t="shared" ref="I22:I32" si="9">I4*$I$17</f>
        <v>0</v>
      </c>
      <c r="J22" s="478">
        <f t="shared" ref="J22:J32" si="10">J4*$J$17</f>
        <v>80.011164458779206</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11801.943502549579</v>
      </c>
    </row>
    <row r="23" spans="1:17">
      <c r="A23" s="477" t="s">
        <v>155</v>
      </c>
      <c r="B23" s="478">
        <f t="shared" ca="1" si="2"/>
        <v>565.05070468137762</v>
      </c>
      <c r="C23" s="478">
        <f t="shared" ca="1" si="3"/>
        <v>0</v>
      </c>
      <c r="D23" s="478">
        <f t="shared" ca="1" si="4"/>
        <v>3075.4345414595441</v>
      </c>
      <c r="E23" s="478">
        <f t="shared" si="5"/>
        <v>36.570353564770024</v>
      </c>
      <c r="F23" s="478">
        <f t="shared" ca="1" si="6"/>
        <v>306.99050346705434</v>
      </c>
      <c r="G23" s="478">
        <f t="shared" si="7"/>
        <v>0</v>
      </c>
      <c r="H23" s="478">
        <f t="shared" si="8"/>
        <v>0</v>
      </c>
      <c r="I23" s="478">
        <f t="shared" si="9"/>
        <v>0</v>
      </c>
      <c r="J23" s="478">
        <f t="shared" si="10"/>
        <v>1.0689894214381188E-2</v>
      </c>
      <c r="K23" s="478">
        <f t="shared" si="11"/>
        <v>0</v>
      </c>
      <c r="L23" s="478">
        <f t="shared" ca="1" si="12"/>
        <v>0</v>
      </c>
      <c r="M23" s="478">
        <f t="shared" si="13"/>
        <v>0</v>
      </c>
      <c r="N23" s="478">
        <f t="shared" ca="1" si="14"/>
        <v>0</v>
      </c>
      <c r="O23" s="478">
        <f t="shared" si="15"/>
        <v>0</v>
      </c>
      <c r="P23" s="479">
        <f t="shared" si="16"/>
        <v>0</v>
      </c>
      <c r="Q23" s="477">
        <f t="shared" ref="Q23:Q31" ca="1" si="17">SUM(B23:P23)</f>
        <v>3984.0567930669604</v>
      </c>
    </row>
    <row r="24" spans="1:17">
      <c r="A24" s="477" t="s">
        <v>193</v>
      </c>
      <c r="B24" s="478">
        <f t="shared" ca="1" si="2"/>
        <v>47.672118122438341</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47.672118122438341</v>
      </c>
    </row>
    <row r="25" spans="1:17">
      <c r="A25" s="477" t="s">
        <v>111</v>
      </c>
      <c r="B25" s="478">
        <f t="shared" ca="1" si="2"/>
        <v>139.32838840797285</v>
      </c>
      <c r="C25" s="478">
        <f t="shared" ca="1" si="3"/>
        <v>0</v>
      </c>
      <c r="D25" s="478">
        <f t="shared" si="4"/>
        <v>71.795481956000003</v>
      </c>
      <c r="E25" s="478">
        <f t="shared" si="5"/>
        <v>19.202064668180913</v>
      </c>
      <c r="F25" s="478">
        <f t="shared" si="6"/>
        <v>2557.5510461645836</v>
      </c>
      <c r="G25" s="478">
        <f t="shared" si="7"/>
        <v>0</v>
      </c>
      <c r="H25" s="478">
        <f t="shared" si="8"/>
        <v>0</v>
      </c>
      <c r="I25" s="478">
        <f t="shared" si="9"/>
        <v>0</v>
      </c>
      <c r="J25" s="478">
        <f t="shared" si="10"/>
        <v>264.34353172256471</v>
      </c>
      <c r="K25" s="478">
        <f t="shared" si="11"/>
        <v>0</v>
      </c>
      <c r="L25" s="478">
        <f t="shared" si="12"/>
        <v>0</v>
      </c>
      <c r="M25" s="478">
        <f t="shared" si="13"/>
        <v>0</v>
      </c>
      <c r="N25" s="478">
        <f t="shared" si="14"/>
        <v>0</v>
      </c>
      <c r="O25" s="478">
        <f t="shared" si="15"/>
        <v>0</v>
      </c>
      <c r="P25" s="479">
        <f t="shared" si="16"/>
        <v>0</v>
      </c>
      <c r="Q25" s="477">
        <f t="shared" ca="1" si="17"/>
        <v>3052.2205129193021</v>
      </c>
    </row>
    <row r="26" spans="1:17">
      <c r="A26" s="477" t="s">
        <v>629</v>
      </c>
      <c r="B26" s="478">
        <f t="shared" ca="1" si="2"/>
        <v>246.88226039395477</v>
      </c>
      <c r="C26" s="478">
        <f t="shared" ca="1" si="3"/>
        <v>0</v>
      </c>
      <c r="D26" s="478">
        <f t="shared" si="4"/>
        <v>1757.562137879944</v>
      </c>
      <c r="E26" s="478">
        <f t="shared" si="5"/>
        <v>180.56686750212114</v>
      </c>
      <c r="F26" s="478">
        <f t="shared" si="6"/>
        <v>708.35384305213756</v>
      </c>
      <c r="G26" s="478">
        <f t="shared" si="7"/>
        <v>0</v>
      </c>
      <c r="H26" s="478">
        <f t="shared" si="8"/>
        <v>0</v>
      </c>
      <c r="I26" s="478">
        <f t="shared" si="9"/>
        <v>0</v>
      </c>
      <c r="J26" s="478">
        <f t="shared" si="10"/>
        <v>7.6531254641205031</v>
      </c>
      <c r="K26" s="478">
        <f t="shared" si="11"/>
        <v>0</v>
      </c>
      <c r="L26" s="478">
        <f t="shared" si="12"/>
        <v>0</v>
      </c>
      <c r="M26" s="478">
        <f t="shared" si="13"/>
        <v>0</v>
      </c>
      <c r="N26" s="478">
        <f t="shared" si="14"/>
        <v>0</v>
      </c>
      <c r="O26" s="478">
        <f t="shared" si="15"/>
        <v>0</v>
      </c>
      <c r="P26" s="479">
        <f t="shared" si="16"/>
        <v>0</v>
      </c>
      <c r="Q26" s="477">
        <f t="shared" ca="1" si="17"/>
        <v>2901.0182342922781</v>
      </c>
    </row>
    <row r="27" spans="1:17" s="483" customFormat="1">
      <c r="A27" s="481" t="s">
        <v>555</v>
      </c>
      <c r="B27" s="801">
        <f t="shared" ca="1" si="2"/>
        <v>4.5158473559608545</v>
      </c>
      <c r="C27" s="482">
        <f t="shared" ca="1" si="3"/>
        <v>0</v>
      </c>
      <c r="D27" s="482">
        <f t="shared" si="4"/>
        <v>66.160233027154277</v>
      </c>
      <c r="E27" s="482">
        <f t="shared" si="5"/>
        <v>67.220304406230014</v>
      </c>
      <c r="F27" s="482">
        <f t="shared" si="6"/>
        <v>0</v>
      </c>
      <c r="G27" s="482">
        <f t="shared" si="7"/>
        <v>41403.233303330504</v>
      </c>
      <c r="H27" s="482">
        <f t="shared" si="8"/>
        <v>6272.2925613365514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47813.422249456402</v>
      </c>
    </row>
    <row r="28" spans="1:17" ht="16.5" customHeight="1">
      <c r="A28" s="477" t="s">
        <v>545</v>
      </c>
      <c r="B28" s="478">
        <f t="shared" ca="1" si="2"/>
        <v>0</v>
      </c>
      <c r="C28" s="478">
        <f t="shared" ca="1" si="3"/>
        <v>0</v>
      </c>
      <c r="D28" s="478">
        <f t="shared" si="4"/>
        <v>0</v>
      </c>
      <c r="E28" s="478">
        <f t="shared" si="5"/>
        <v>0</v>
      </c>
      <c r="F28" s="478">
        <f t="shared" si="6"/>
        <v>0</v>
      </c>
      <c r="G28" s="478">
        <f t="shared" si="7"/>
        <v>342.30295017526521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342.30295017526521</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22.760508879550621</v>
      </c>
      <c r="C32" s="478">
        <f t="shared" ca="1" si="3"/>
        <v>0</v>
      </c>
      <c r="D32" s="478">
        <f t="shared" si="4"/>
        <v>167.8876439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190.64815277955063</v>
      </c>
    </row>
    <row r="33" spans="1:17" s="489" customFormat="1">
      <c r="A33" s="487" t="s">
        <v>549</v>
      </c>
      <c r="B33" s="488">
        <f ca="1">SUM(B22:B32)</f>
        <v>2077.790852740332</v>
      </c>
      <c r="C33" s="488">
        <f t="shared" ref="C33:Q33" ca="1" si="19">SUM(C22:C32)</f>
        <v>0</v>
      </c>
      <c r="D33" s="488">
        <f t="shared" ca="1" si="19"/>
        <v>14757.461970500244</v>
      </c>
      <c r="E33" s="488">
        <f t="shared" si="19"/>
        <v>1355.288971055423</v>
      </c>
      <c r="F33" s="488">
        <f t="shared" ca="1" si="19"/>
        <v>3572.8953926837753</v>
      </c>
      <c r="G33" s="488">
        <f t="shared" si="19"/>
        <v>41745.536253505772</v>
      </c>
      <c r="H33" s="488">
        <f t="shared" si="19"/>
        <v>6272.2925613365514</v>
      </c>
      <c r="I33" s="488">
        <f t="shared" si="19"/>
        <v>0</v>
      </c>
      <c r="J33" s="488">
        <f t="shared" si="19"/>
        <v>352.01851153967874</v>
      </c>
      <c r="K33" s="488">
        <f t="shared" si="19"/>
        <v>0</v>
      </c>
      <c r="L33" s="488">
        <f t="shared" ca="1" si="19"/>
        <v>0</v>
      </c>
      <c r="M33" s="488">
        <f t="shared" si="19"/>
        <v>0</v>
      </c>
      <c r="N33" s="488">
        <f t="shared" ca="1" si="19"/>
        <v>0</v>
      </c>
      <c r="O33" s="488">
        <f t="shared" si="19"/>
        <v>0</v>
      </c>
      <c r="P33" s="488">
        <f t="shared" si="19"/>
        <v>0</v>
      </c>
      <c r="Q33" s="488">
        <f t="shared" ca="1" si="19"/>
        <v>70133.284513361767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24216.918108854567</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5497.5514480089732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898.65</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1057.2352941176471</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405</v>
      </c>
      <c r="C9" s="1062">
        <f>'SEAP template'!C77</f>
        <v>0</v>
      </c>
      <c r="D9" s="1062">
        <f>'SEAP template'!D77</f>
        <v>0</v>
      </c>
      <c r="E9" s="1062">
        <f>'SEAP template'!E77</f>
        <v>0</v>
      </c>
      <c r="F9" s="1062">
        <f>'SEAP template'!F77</f>
        <v>0</v>
      </c>
      <c r="G9" s="1062">
        <f>'SEAP template'!G77</f>
        <v>0</v>
      </c>
      <c r="H9" s="1062">
        <f>'SEAP template'!H77</f>
        <v>0</v>
      </c>
      <c r="I9" s="1062">
        <f>'SEAP template'!I77</f>
        <v>1012.5</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31018.119556863541</v>
      </c>
      <c r="C10" s="1064">
        <f>SUM(C4:C9)</f>
        <v>0</v>
      </c>
      <c r="D10" s="1064">
        <f t="shared" ref="D10:H10" si="0">SUM(D8:D9)</f>
        <v>0</v>
      </c>
      <c r="E10" s="1064">
        <f t="shared" si="0"/>
        <v>0</v>
      </c>
      <c r="F10" s="1064">
        <f t="shared" si="0"/>
        <v>0</v>
      </c>
      <c r="G10" s="1064">
        <f t="shared" si="0"/>
        <v>0</v>
      </c>
      <c r="H10" s="1064">
        <f t="shared" si="0"/>
        <v>0</v>
      </c>
      <c r="I10" s="1064">
        <f>SUM(I8:I9)</f>
        <v>1012.5</v>
      </c>
      <c r="J10" s="1064">
        <f>SUM(J8:J9)</f>
        <v>1057.2352941176471</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5.1405160907544198E-2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1283.7857142857144</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1510.3361344537818</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1283.7857142857144</v>
      </c>
      <c r="C20" s="1064">
        <f>SUM(C17:C19)</f>
        <v>0</v>
      </c>
      <c r="D20" s="1064">
        <f t="shared" ref="D20:H20" si="2">SUM(D17:D19)</f>
        <v>0</v>
      </c>
      <c r="E20" s="1064">
        <f t="shared" si="2"/>
        <v>0</v>
      </c>
      <c r="F20" s="1064">
        <f t="shared" si="2"/>
        <v>0</v>
      </c>
      <c r="G20" s="1064">
        <f t="shared" si="2"/>
        <v>0</v>
      </c>
      <c r="H20" s="1064">
        <f t="shared" si="2"/>
        <v>0</v>
      </c>
      <c r="I20" s="1064">
        <f>SUM(I17:I19)</f>
        <v>0</v>
      </c>
      <c r="J20" s="1064">
        <f>SUM(J17:J19)</f>
        <v>1510.3361344537818</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5.1405160907544198E-2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1</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19.066666666666666</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5.1405160907544198E-2</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5.1405160907544198E-2</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35005</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5052</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3153.3</v>
      </c>
    </row>
    <row r="15" spans="1:6">
      <c r="A15" s="348" t="s">
        <v>183</v>
      </c>
      <c r="B15" s="334">
        <v>44</v>
      </c>
    </row>
    <row r="16" spans="1:6">
      <c r="A16" s="348" t="s">
        <v>6</v>
      </c>
      <c r="B16" s="334">
        <v>1823</v>
      </c>
    </row>
    <row r="17" spans="1:6">
      <c r="A17" s="348" t="s">
        <v>7</v>
      </c>
      <c r="B17" s="334">
        <v>739</v>
      </c>
    </row>
    <row r="18" spans="1:6">
      <c r="A18" s="348" t="s">
        <v>8</v>
      </c>
      <c r="B18" s="334">
        <v>1410</v>
      </c>
    </row>
    <row r="19" spans="1:6">
      <c r="A19" s="348" t="s">
        <v>9</v>
      </c>
      <c r="B19" s="334">
        <v>1356</v>
      </c>
    </row>
    <row r="20" spans="1:6">
      <c r="A20" s="348" t="s">
        <v>10</v>
      </c>
      <c r="B20" s="334">
        <v>998</v>
      </c>
    </row>
    <row r="21" spans="1:6">
      <c r="A21" s="348" t="s">
        <v>11</v>
      </c>
      <c r="B21" s="334">
        <v>8201</v>
      </c>
    </row>
    <row r="22" spans="1:6">
      <c r="A22" s="348" t="s">
        <v>12</v>
      </c>
      <c r="B22" s="334">
        <v>19840</v>
      </c>
    </row>
    <row r="23" spans="1:6">
      <c r="A23" s="348" t="s">
        <v>13</v>
      </c>
      <c r="B23" s="334">
        <v>94</v>
      </c>
    </row>
    <row r="24" spans="1:6">
      <c r="A24" s="348" t="s">
        <v>14</v>
      </c>
      <c r="B24" s="334">
        <v>6</v>
      </c>
    </row>
    <row r="25" spans="1:6">
      <c r="A25" s="348" t="s">
        <v>15</v>
      </c>
      <c r="B25" s="334">
        <v>588</v>
      </c>
    </row>
    <row r="26" spans="1:6">
      <c r="A26" s="348" t="s">
        <v>16</v>
      </c>
      <c r="B26" s="334">
        <v>237</v>
      </c>
    </row>
    <row r="27" spans="1:6">
      <c r="A27" s="348" t="s">
        <v>17</v>
      </c>
      <c r="B27" s="334">
        <v>0</v>
      </c>
    </row>
    <row r="28" spans="1:6" s="356" customFormat="1">
      <c r="A28" s="355" t="s">
        <v>18</v>
      </c>
      <c r="B28" s="355">
        <v>70778</v>
      </c>
    </row>
    <row r="29" spans="1:6">
      <c r="A29" s="355" t="s">
        <v>713</v>
      </c>
      <c r="B29" s="355">
        <v>33</v>
      </c>
      <c r="C29" s="356"/>
      <c r="D29" s="356"/>
      <c r="E29" s="356"/>
      <c r="F29" s="356"/>
    </row>
    <row r="30" spans="1:6">
      <c r="A30" s="341" t="s">
        <v>714</v>
      </c>
      <c r="B30" s="341">
        <v>10</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12</v>
      </c>
      <c r="F36" s="334">
        <v>125839</v>
      </c>
    </row>
    <row r="37" spans="1:6">
      <c r="A37" s="348" t="s">
        <v>24</v>
      </c>
      <c r="B37" s="348" t="s">
        <v>27</v>
      </c>
      <c r="C37" s="334">
        <v>0</v>
      </c>
      <c r="D37" s="334">
        <v>0</v>
      </c>
      <c r="E37" s="334">
        <v>0</v>
      </c>
      <c r="F37" s="334">
        <v>0</v>
      </c>
    </row>
    <row r="38" spans="1:6">
      <c r="A38" s="348" t="s">
        <v>24</v>
      </c>
      <c r="B38" s="348" t="s">
        <v>28</v>
      </c>
      <c r="C38" s="334">
        <v>1</v>
      </c>
      <c r="D38" s="334">
        <v>661920.23499999999</v>
      </c>
      <c r="E38" s="334">
        <v>1</v>
      </c>
      <c r="F38" s="334">
        <v>9185</v>
      </c>
    </row>
    <row r="39" spans="1:6">
      <c r="A39" s="348" t="s">
        <v>29</v>
      </c>
      <c r="B39" s="348" t="s">
        <v>30</v>
      </c>
      <c r="C39" s="334">
        <v>3738</v>
      </c>
      <c r="D39" s="334">
        <v>52790399.399999999</v>
      </c>
      <c r="E39" s="334">
        <v>4992</v>
      </c>
      <c r="F39" s="334">
        <v>17367363</v>
      </c>
    </row>
    <row r="40" spans="1:6">
      <c r="A40" s="348" t="s">
        <v>29</v>
      </c>
      <c r="B40" s="348" t="s">
        <v>28</v>
      </c>
      <c r="C40" s="334">
        <v>0</v>
      </c>
      <c r="D40" s="334">
        <v>0</v>
      </c>
      <c r="E40" s="334">
        <v>0</v>
      </c>
      <c r="F40" s="334">
        <v>0</v>
      </c>
    </row>
    <row r="41" spans="1:6">
      <c r="A41" s="348" t="s">
        <v>31</v>
      </c>
      <c r="B41" s="348" t="s">
        <v>32</v>
      </c>
      <c r="C41" s="334">
        <v>56</v>
      </c>
      <c r="D41" s="334">
        <v>7396734.6859999998</v>
      </c>
      <c r="E41" s="334">
        <v>120</v>
      </c>
      <c r="F41" s="334">
        <v>2723626.2140000002</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6</v>
      </c>
      <c r="D44" s="334">
        <v>682225</v>
      </c>
      <c r="E44" s="334">
        <v>17</v>
      </c>
      <c r="F44" s="334">
        <v>473352</v>
      </c>
    </row>
    <row r="45" spans="1:6">
      <c r="A45" s="348" t="s">
        <v>31</v>
      </c>
      <c r="B45" s="348" t="s">
        <v>36</v>
      </c>
      <c r="C45" s="334">
        <v>4</v>
      </c>
      <c r="D45" s="334">
        <v>640341</v>
      </c>
      <c r="E45" s="334">
        <v>6</v>
      </c>
      <c r="F45" s="334">
        <v>804168</v>
      </c>
    </row>
    <row r="46" spans="1:6">
      <c r="A46" s="348" t="s">
        <v>31</v>
      </c>
      <c r="B46" s="348" t="s">
        <v>37</v>
      </c>
      <c r="C46" s="334">
        <v>0</v>
      </c>
      <c r="D46" s="334">
        <v>0</v>
      </c>
      <c r="E46" s="334">
        <v>0</v>
      </c>
      <c r="F46" s="334">
        <v>0</v>
      </c>
    </row>
    <row r="47" spans="1:6">
      <c r="A47" s="348" t="s">
        <v>31</v>
      </c>
      <c r="B47" s="348" t="s">
        <v>38</v>
      </c>
      <c r="C47" s="334">
        <v>5</v>
      </c>
      <c r="D47" s="334">
        <v>339471</v>
      </c>
      <c r="E47" s="334">
        <v>5</v>
      </c>
      <c r="F47" s="334">
        <v>190181</v>
      </c>
    </row>
    <row r="48" spans="1:6">
      <c r="A48" s="348" t="s">
        <v>31</v>
      </c>
      <c r="B48" s="348" t="s">
        <v>28</v>
      </c>
      <c r="C48" s="334">
        <v>1</v>
      </c>
      <c r="D48" s="334">
        <v>20621</v>
      </c>
      <c r="E48" s="334">
        <v>2</v>
      </c>
      <c r="F48" s="334">
        <v>11119</v>
      </c>
    </row>
    <row r="49" spans="1:6">
      <c r="A49" s="348" t="s">
        <v>31</v>
      </c>
      <c r="B49" s="348" t="s">
        <v>39</v>
      </c>
      <c r="C49" s="334">
        <v>0</v>
      </c>
      <c r="D49" s="334">
        <v>0</v>
      </c>
      <c r="E49" s="334">
        <v>0</v>
      </c>
      <c r="F49" s="334">
        <v>0</v>
      </c>
    </row>
    <row r="50" spans="1:6">
      <c r="A50" s="348" t="s">
        <v>31</v>
      </c>
      <c r="B50" s="348" t="s">
        <v>40</v>
      </c>
      <c r="C50" s="334">
        <v>7</v>
      </c>
      <c r="D50" s="334">
        <v>566730</v>
      </c>
      <c r="E50" s="334">
        <v>11</v>
      </c>
      <c r="F50" s="334">
        <v>600228.38199999998</v>
      </c>
    </row>
    <row r="51" spans="1:6">
      <c r="A51" s="348" t="s">
        <v>41</v>
      </c>
      <c r="B51" s="348" t="s">
        <v>42</v>
      </c>
      <c r="C51" s="334">
        <v>13</v>
      </c>
      <c r="D51" s="334">
        <v>394039</v>
      </c>
      <c r="E51" s="334">
        <v>82</v>
      </c>
      <c r="F51" s="334">
        <v>2710396.8930000002</v>
      </c>
    </row>
    <row r="52" spans="1:6">
      <c r="A52" s="348" t="s">
        <v>41</v>
      </c>
      <c r="B52" s="348" t="s">
        <v>28</v>
      </c>
      <c r="C52" s="334">
        <v>0</v>
      </c>
      <c r="D52" s="334">
        <v>0</v>
      </c>
      <c r="E52" s="334">
        <v>0</v>
      </c>
      <c r="F52" s="334">
        <v>0</v>
      </c>
    </row>
    <row r="53" spans="1:6">
      <c r="A53" s="348" t="s">
        <v>43</v>
      </c>
      <c r="B53" s="348" t="s">
        <v>44</v>
      </c>
      <c r="C53" s="334">
        <v>46</v>
      </c>
      <c r="D53" s="334">
        <v>831126.95</v>
      </c>
      <c r="E53" s="334">
        <v>112</v>
      </c>
      <c r="F53" s="334">
        <v>442767</v>
      </c>
    </row>
    <row r="54" spans="1:6">
      <c r="A54" s="348" t="s">
        <v>45</v>
      </c>
      <c r="B54" s="348" t="s">
        <v>46</v>
      </c>
      <c r="C54" s="334">
        <v>0</v>
      </c>
      <c r="D54" s="334">
        <v>0</v>
      </c>
      <c r="E54" s="334">
        <v>1</v>
      </c>
      <c r="F54" s="334">
        <v>927380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48</v>
      </c>
      <c r="D57" s="334">
        <v>2777724.9360000002</v>
      </c>
      <c r="E57" s="334">
        <v>79</v>
      </c>
      <c r="F57" s="334">
        <v>1778825.6429999999</v>
      </c>
    </row>
    <row r="58" spans="1:6">
      <c r="A58" s="348" t="s">
        <v>48</v>
      </c>
      <c r="B58" s="348" t="s">
        <v>50</v>
      </c>
      <c r="C58" s="334">
        <v>25</v>
      </c>
      <c r="D58" s="334">
        <v>2171009.9789999998</v>
      </c>
      <c r="E58" s="334">
        <v>32</v>
      </c>
      <c r="F58" s="334">
        <v>604015.40800000005</v>
      </c>
    </row>
    <row r="59" spans="1:6">
      <c r="A59" s="348" t="s">
        <v>48</v>
      </c>
      <c r="B59" s="348" t="s">
        <v>51</v>
      </c>
      <c r="C59" s="334">
        <v>102</v>
      </c>
      <c r="D59" s="334">
        <v>4513530</v>
      </c>
      <c r="E59" s="334">
        <v>186</v>
      </c>
      <c r="F59" s="334">
        <v>4522871.3930000002</v>
      </c>
    </row>
    <row r="60" spans="1:6">
      <c r="A60" s="348" t="s">
        <v>48</v>
      </c>
      <c r="B60" s="348" t="s">
        <v>52</v>
      </c>
      <c r="C60" s="334">
        <v>41</v>
      </c>
      <c r="D60" s="334">
        <v>1596799</v>
      </c>
      <c r="E60" s="334">
        <v>55</v>
      </c>
      <c r="F60" s="334">
        <v>957777.21499999997</v>
      </c>
    </row>
    <row r="61" spans="1:6">
      <c r="A61" s="348" t="s">
        <v>48</v>
      </c>
      <c r="B61" s="348" t="s">
        <v>53</v>
      </c>
      <c r="C61" s="334">
        <v>121</v>
      </c>
      <c r="D61" s="334">
        <v>3750452.6</v>
      </c>
      <c r="E61" s="334">
        <v>215</v>
      </c>
      <c r="F61" s="334">
        <v>1857265.031</v>
      </c>
    </row>
    <row r="62" spans="1:6">
      <c r="A62" s="348" t="s">
        <v>48</v>
      </c>
      <c r="B62" s="348" t="s">
        <v>54</v>
      </c>
      <c r="C62" s="334">
        <v>11</v>
      </c>
      <c r="D62" s="334">
        <v>2069556.071</v>
      </c>
      <c r="E62" s="334">
        <v>11</v>
      </c>
      <c r="F62" s="334">
        <v>416346</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2</v>
      </c>
      <c r="D65" s="334">
        <v>39109</v>
      </c>
      <c r="E65" s="334">
        <v>0</v>
      </c>
      <c r="F65" s="334">
        <v>0</v>
      </c>
    </row>
    <row r="66" spans="1:6">
      <c r="A66" s="348" t="s">
        <v>55</v>
      </c>
      <c r="B66" s="348" t="s">
        <v>57</v>
      </c>
      <c r="C66" s="334">
        <v>0</v>
      </c>
      <c r="D66" s="334">
        <v>0</v>
      </c>
      <c r="E66" s="334">
        <v>11</v>
      </c>
      <c r="F66" s="334">
        <v>187462.9</v>
      </c>
    </row>
    <row r="67" spans="1:6">
      <c r="A67" s="355" t="s">
        <v>55</v>
      </c>
      <c r="B67" s="355" t="s">
        <v>58</v>
      </c>
      <c r="C67" s="334">
        <v>0</v>
      </c>
      <c r="D67" s="334">
        <v>0</v>
      </c>
      <c r="E67" s="334">
        <v>0</v>
      </c>
      <c r="F67" s="334">
        <v>0</v>
      </c>
    </row>
    <row r="68" spans="1:6">
      <c r="A68" s="341" t="s">
        <v>55</v>
      </c>
      <c r="B68" s="341" t="s">
        <v>59</v>
      </c>
      <c r="C68" s="334">
        <v>0</v>
      </c>
      <c r="D68" s="334">
        <v>0</v>
      </c>
      <c r="E68" s="334">
        <v>12</v>
      </c>
      <c r="F68" s="334">
        <v>95039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47997044</v>
      </c>
      <c r="E73" s="476"/>
    </row>
    <row r="74" spans="1:6">
      <c r="A74" s="348" t="s">
        <v>63</v>
      </c>
      <c r="B74" s="348" t="s">
        <v>651</v>
      </c>
      <c r="C74" s="1307" t="s">
        <v>653</v>
      </c>
      <c r="D74" s="476">
        <v>5387197.5</v>
      </c>
      <c r="E74" s="476"/>
    </row>
    <row r="75" spans="1:6">
      <c r="A75" s="348" t="s">
        <v>64</v>
      </c>
      <c r="B75" s="348" t="s">
        <v>650</v>
      </c>
      <c r="C75" s="1307" t="s">
        <v>654</v>
      </c>
      <c r="D75" s="476">
        <v>9095186</v>
      </c>
      <c r="E75" s="476"/>
    </row>
    <row r="76" spans="1:6">
      <c r="A76" s="348" t="s">
        <v>64</v>
      </c>
      <c r="B76" s="348" t="s">
        <v>651</v>
      </c>
      <c r="C76" s="1307" t="s">
        <v>655</v>
      </c>
      <c r="D76" s="476">
        <v>730299.5</v>
      </c>
      <c r="E76" s="476"/>
    </row>
    <row r="77" spans="1:6">
      <c r="A77" s="348" t="s">
        <v>65</v>
      </c>
      <c r="B77" s="348" t="s">
        <v>650</v>
      </c>
      <c r="C77" s="1307" t="s">
        <v>656</v>
      </c>
      <c r="D77" s="476">
        <v>104674151</v>
      </c>
      <c r="E77" s="476"/>
    </row>
    <row r="78" spans="1:6">
      <c r="A78" s="341" t="s">
        <v>65</v>
      </c>
      <c r="B78" s="341" t="s">
        <v>651</v>
      </c>
      <c r="C78" s="341" t="s">
        <v>657</v>
      </c>
      <c r="D78" s="1308">
        <v>25806923</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375961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24216.918108854567</v>
      </c>
    </row>
    <row r="91" spans="1:6">
      <c r="A91" s="348" t="s">
        <v>67</v>
      </c>
      <c r="B91" s="334">
        <v>3089.3578103952668</v>
      </c>
    </row>
    <row r="92" spans="1:6">
      <c r="A92" s="341" t="s">
        <v>68</v>
      </c>
      <c r="B92" s="342">
        <v>2408.1936376137069</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2525</v>
      </c>
    </row>
    <row r="98" spans="1:6">
      <c r="A98" s="348" t="s">
        <v>71</v>
      </c>
      <c r="B98" s="334">
        <v>2</v>
      </c>
    </row>
    <row r="99" spans="1:6">
      <c r="A99" s="348" t="s">
        <v>72</v>
      </c>
      <c r="B99" s="334">
        <v>56</v>
      </c>
    </row>
    <row r="100" spans="1:6">
      <c r="A100" s="348" t="s">
        <v>73</v>
      </c>
      <c r="B100" s="334">
        <v>449</v>
      </c>
    </row>
    <row r="101" spans="1:6">
      <c r="A101" s="348" t="s">
        <v>74</v>
      </c>
      <c r="B101" s="334">
        <v>96</v>
      </c>
    </row>
    <row r="102" spans="1:6">
      <c r="A102" s="348" t="s">
        <v>75</v>
      </c>
      <c r="B102" s="334">
        <v>58</v>
      </c>
    </row>
    <row r="103" spans="1:6">
      <c r="A103" s="348" t="s">
        <v>76</v>
      </c>
      <c r="B103" s="334">
        <v>129</v>
      </c>
    </row>
    <row r="104" spans="1:6">
      <c r="A104" s="348" t="s">
        <v>77</v>
      </c>
      <c r="B104" s="334">
        <v>902</v>
      </c>
    </row>
    <row r="105" spans="1:6">
      <c r="A105" s="341" t="s">
        <v>78</v>
      </c>
      <c r="B105" s="341">
        <v>6</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1</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1</v>
      </c>
      <c r="C121" s="334">
        <v>0</v>
      </c>
    </row>
    <row r="122" spans="1:6">
      <c r="A122" s="348" t="s">
        <v>86</v>
      </c>
      <c r="B122" s="334">
        <v>0</v>
      </c>
      <c r="C122" s="334">
        <v>0</v>
      </c>
    </row>
    <row r="123" spans="1:6">
      <c r="A123" s="348" t="s">
        <v>87</v>
      </c>
      <c r="B123" s="334">
        <v>16</v>
      </c>
      <c r="C123" s="334">
        <v>36</v>
      </c>
    </row>
    <row r="124" spans="1:6">
      <c r="A124" s="341" t="s">
        <v>88</v>
      </c>
      <c r="B124" s="334">
        <v>0</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185</v>
      </c>
    </row>
    <row r="130" spans="1:6">
      <c r="A130" s="348" t="s">
        <v>294</v>
      </c>
      <c r="B130" s="334">
        <v>2</v>
      </c>
    </row>
    <row r="131" spans="1:6">
      <c r="A131" s="348" t="s">
        <v>295</v>
      </c>
      <c r="B131" s="334">
        <v>0</v>
      </c>
    </row>
    <row r="132" spans="1:6">
      <c r="A132" s="341" t="s">
        <v>296</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40419.888121299431</v>
      </c>
      <c r="C3" s="43" t="s">
        <v>169</v>
      </c>
      <c r="D3" s="43"/>
      <c r="E3" s="154"/>
      <c r="F3" s="43"/>
      <c r="G3" s="43"/>
      <c r="H3" s="43"/>
      <c r="I3" s="43"/>
      <c r="J3" s="43"/>
      <c r="K3" s="96"/>
    </row>
    <row r="4" spans="1:11">
      <c r="A4" s="383" t="s">
        <v>170</v>
      </c>
      <c r="B4" s="49">
        <f>IF(ISERROR('SEAP template'!B78+'SEAP template'!C78),0,'SEAP template'!B78+'SEAP template'!C78)</f>
        <v>31018.119556863541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5.1405160907544198E-2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1283.7857142857144</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927.38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927.38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5.1405160907544198E-2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47.672118122438341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17367.363000000001</v>
      </c>
      <c r="C5" s="17">
        <f>IF(ISERROR('Eigen informatie GS &amp; warmtenet'!B59),0,'Eigen informatie GS &amp; warmtenet'!B59)</f>
        <v>0</v>
      </c>
      <c r="D5" s="30">
        <f>(SUM(HH_hh_gas_kWh,HH_rest_gas_kWh)/1000)*0.902</f>
        <v>47616.940258800001</v>
      </c>
      <c r="E5" s="17">
        <f>B46*B57</f>
        <v>4633.1690789168315</v>
      </c>
      <c r="F5" s="17">
        <f>B51*B62</f>
        <v>0</v>
      </c>
      <c r="G5" s="18"/>
      <c r="H5" s="17"/>
      <c r="I5" s="17"/>
      <c r="J5" s="17">
        <f>B50*B61+C50*C61</f>
        <v>226.02023858412207</v>
      </c>
      <c r="K5" s="17"/>
      <c r="L5" s="17"/>
      <c r="M5" s="17"/>
      <c r="N5" s="17">
        <f>B48*B59+C48*C59</f>
        <v>13744.910840865192</v>
      </c>
      <c r="O5" s="17">
        <f>B69*B70*B71</f>
        <v>440.43872470392103</v>
      </c>
      <c r="P5" s="17">
        <f>B77*B78*B79/1000-B77*B78*B79/1000/B80</f>
        <v>389.75649438434584</v>
      </c>
    </row>
    <row r="6" spans="1:16">
      <c r="A6" s="16" t="s">
        <v>615</v>
      </c>
      <c r="B6" s="809">
        <f>kWh_PV_kleiner_dan_10kW</f>
        <v>3089.3578103952668</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20456.720810395269</v>
      </c>
      <c r="C8" s="21">
        <f>C5</f>
        <v>0</v>
      </c>
      <c r="D8" s="21">
        <f>D5</f>
        <v>47616.940258800001</v>
      </c>
      <c r="E8" s="21">
        <f>E5</f>
        <v>4633.1690789168315</v>
      </c>
      <c r="F8" s="21">
        <f>F5</f>
        <v>0</v>
      </c>
      <c r="G8" s="21"/>
      <c r="H8" s="21"/>
      <c r="I8" s="21"/>
      <c r="J8" s="21">
        <f>J5</f>
        <v>226.02023858412207</v>
      </c>
      <c r="K8" s="21"/>
      <c r="L8" s="21">
        <f>L5</f>
        <v>0</v>
      </c>
      <c r="M8" s="21">
        <f>M5</f>
        <v>0</v>
      </c>
      <c r="N8" s="21">
        <f>N5</f>
        <v>13744.910840865192</v>
      </c>
      <c r="O8" s="21">
        <f>O5</f>
        <v>440.43872470392103</v>
      </c>
      <c r="P8" s="21">
        <f>P5</f>
        <v>389.75649438434584</v>
      </c>
    </row>
    <row r="9" spans="1:16">
      <c r="B9" s="19"/>
      <c r="C9" s="19"/>
      <c r="D9" s="258"/>
      <c r="E9" s="19"/>
      <c r="F9" s="19"/>
      <c r="G9" s="19"/>
      <c r="H9" s="19"/>
      <c r="I9" s="19"/>
      <c r="J9" s="19"/>
      <c r="K9" s="19"/>
      <c r="L9" s="19"/>
      <c r="M9" s="19"/>
      <c r="N9" s="19"/>
      <c r="O9" s="19"/>
      <c r="P9" s="19"/>
    </row>
    <row r="10" spans="1:16">
      <c r="A10" s="24" t="s">
        <v>213</v>
      </c>
      <c r="B10" s="25">
        <f ca="1">'EF ele_warmte'!B12</f>
        <v>5.1405160907544198E-2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1051.5810248990767</v>
      </c>
      <c r="C12" s="23">
        <f ca="1">C10*C8</f>
        <v>0</v>
      </c>
      <c r="D12" s="23">
        <f>D8*D10</f>
        <v>9618.6219322776014</v>
      </c>
      <c r="E12" s="23">
        <f>E10*E8</f>
        <v>1051.7293809141208</v>
      </c>
      <c r="F12" s="23">
        <f>F10*F8</f>
        <v>0</v>
      </c>
      <c r="G12" s="23"/>
      <c r="H12" s="23"/>
      <c r="I12" s="23"/>
      <c r="J12" s="23">
        <f>J10*J8</f>
        <v>80.011164458779206</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2525</v>
      </c>
      <c r="C18" s="166" t="s">
        <v>110</v>
      </c>
      <c r="D18" s="228"/>
      <c r="E18" s="15"/>
    </row>
    <row r="19" spans="1:7">
      <c r="A19" s="171" t="s">
        <v>71</v>
      </c>
      <c r="B19" s="37">
        <f>aantalw2001_ander</f>
        <v>2</v>
      </c>
      <c r="C19" s="166" t="s">
        <v>110</v>
      </c>
      <c r="D19" s="229"/>
      <c r="E19" s="15"/>
    </row>
    <row r="20" spans="1:7">
      <c r="A20" s="171" t="s">
        <v>72</v>
      </c>
      <c r="B20" s="37">
        <f>aantalw2001_propaan</f>
        <v>56</v>
      </c>
      <c r="C20" s="167">
        <f>IF(ISERROR(B20/SUM($B$20,$B$21,$B$22)*100),0,B20/SUM($B$20,$B$21,$B$22)*100)</f>
        <v>9.3178036605657244</v>
      </c>
      <c r="D20" s="229"/>
      <c r="E20" s="15"/>
    </row>
    <row r="21" spans="1:7">
      <c r="A21" s="171" t="s">
        <v>73</v>
      </c>
      <c r="B21" s="37">
        <f>aantalw2001_elektriciteit</f>
        <v>449</v>
      </c>
      <c r="C21" s="167">
        <f>IF(ISERROR(B21/SUM($B$20,$B$21,$B$22)*100),0,B21/SUM($B$20,$B$21,$B$22)*100)</f>
        <v>74.708818635607315</v>
      </c>
      <c r="D21" s="229"/>
      <c r="E21" s="15"/>
    </row>
    <row r="22" spans="1:7">
      <c r="A22" s="171" t="s">
        <v>74</v>
      </c>
      <c r="B22" s="37">
        <f>aantalw2001_hout</f>
        <v>96</v>
      </c>
      <c r="C22" s="167">
        <f>IF(ISERROR(B22/SUM($B$20,$B$21,$B$22)*100),0,B22/SUM($B$20,$B$21,$B$22)*100)</f>
        <v>15.973377703826955</v>
      </c>
      <c r="D22" s="229"/>
      <c r="E22" s="15"/>
    </row>
    <row r="23" spans="1:7">
      <c r="A23" s="171" t="s">
        <v>75</v>
      </c>
      <c r="B23" s="37">
        <f>aantalw2001_niet_gespec</f>
        <v>58</v>
      </c>
      <c r="C23" s="166" t="s">
        <v>110</v>
      </c>
      <c r="D23" s="228"/>
      <c r="E23" s="15"/>
    </row>
    <row r="24" spans="1:7">
      <c r="A24" s="171" t="s">
        <v>76</v>
      </c>
      <c r="B24" s="37">
        <f>aantalw2001_steenkool</f>
        <v>129</v>
      </c>
      <c r="C24" s="166" t="s">
        <v>110</v>
      </c>
      <c r="D24" s="229"/>
      <c r="E24" s="15"/>
    </row>
    <row r="25" spans="1:7">
      <c r="A25" s="171" t="s">
        <v>77</v>
      </c>
      <c r="B25" s="37">
        <f>aantalw2001_stookolie</f>
        <v>902</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836</v>
      </c>
      <c r="B28" s="37">
        <f>aantalHuishoudens2011</f>
        <v>5052</v>
      </c>
      <c r="C28" s="36"/>
      <c r="D28" s="228"/>
    </row>
    <row r="29" spans="1:7" s="15" customFormat="1">
      <c r="A29" s="230" t="s">
        <v>837</v>
      </c>
      <c r="B29" s="37">
        <f>SUM(HH_hh_gas_aantal,HH_rest_gas_aantal)</f>
        <v>3738</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3738</v>
      </c>
      <c r="C32" s="167">
        <f>IF(ISERROR(B32/SUM($B$32,$B$34,$B$35,$B$36,$B$38,$B$39)*100),0,B32/SUM($B$32,$B$34,$B$35,$B$36,$B$38,$B$39)*100)</f>
        <v>74.536390827517451</v>
      </c>
      <c r="D32" s="233"/>
      <c r="G32" s="15"/>
    </row>
    <row r="33" spans="1:7">
      <c r="A33" s="171" t="s">
        <v>71</v>
      </c>
      <c r="B33" s="34" t="s">
        <v>110</v>
      </c>
      <c r="C33" s="167"/>
      <c r="D33" s="233"/>
      <c r="G33" s="15"/>
    </row>
    <row r="34" spans="1:7">
      <c r="A34" s="171" t="s">
        <v>72</v>
      </c>
      <c r="B34" s="33">
        <f>IF((($B$28-$B$32-$B$39-$B$77-$B$38)*C20/100)&lt;0,0,($B$28-$B$32-$B$39-$B$77-$B$38)*C20/100)</f>
        <v>118.27088186356073</v>
      </c>
      <c r="C34" s="167">
        <f>IF(ISERROR(B34/SUM($B$32,$B$34,$B$35,$B$36,$B$38,$B$39)*100),0,B34/SUM($B$32,$B$34,$B$35,$B$36,$B$38,$B$39)*100)</f>
        <v>2.3583426094428859</v>
      </c>
      <c r="D34" s="233"/>
      <c r="G34" s="15"/>
    </row>
    <row r="35" spans="1:7">
      <c r="A35" s="171" t="s">
        <v>73</v>
      </c>
      <c r="B35" s="33">
        <f>IF((($B$28-$B$32-$B$39-$B$77-$B$38)*C21/100)&lt;0,0,($B$28-$B$32-$B$39-$B$77-$B$38)*C21/100)</f>
        <v>948.27903494176371</v>
      </c>
      <c r="C35" s="167">
        <f>IF(ISERROR(B35/SUM($B$32,$B$34,$B$35,$B$36,$B$38,$B$39)*100),0,B35/SUM($B$32,$B$34,$B$35,$B$36,$B$38,$B$39)*100)</f>
        <v>18.908854136425994</v>
      </c>
      <c r="D35" s="233"/>
      <c r="G35" s="15"/>
    </row>
    <row r="36" spans="1:7">
      <c r="A36" s="171" t="s">
        <v>74</v>
      </c>
      <c r="B36" s="33">
        <f>IF((($B$28-$B$32-$B$39-$B$77-$B$38)*C22/100)&lt;0,0,($B$28-$B$32-$B$39-$B$77-$B$38)*C22/100)</f>
        <v>202.75008319467554</v>
      </c>
      <c r="C36" s="167">
        <f>IF(ISERROR(B36/SUM($B$32,$B$34,$B$35,$B$36,$B$38,$B$39)*100),0,B36/SUM($B$32,$B$34,$B$35,$B$36,$B$38,$B$39)*100)</f>
        <v>4.0428730447592338</v>
      </c>
      <c r="D36" s="233"/>
      <c r="G36" s="15"/>
    </row>
    <row r="37" spans="1:7">
      <c r="A37" s="171" t="s">
        <v>75</v>
      </c>
      <c r="B37" s="34" t="s">
        <v>110</v>
      </c>
      <c r="C37" s="167"/>
      <c r="D37" s="173"/>
      <c r="G37" s="15"/>
    </row>
    <row r="38" spans="1:7">
      <c r="A38" s="171" t="s">
        <v>76</v>
      </c>
      <c r="B38" s="33">
        <f>IF((B24-(B29-B18)*0.1)&lt;0,0,B24-(B29-B18)*0.1)</f>
        <v>7.6999999999999886</v>
      </c>
      <c r="C38" s="167">
        <f>IF(ISERROR(B38/SUM($B$32,$B$34,$B$35,$B$36,$B$38,$B$39)*100),0,B38/SUM($B$32,$B$34,$B$35,$B$36,$B$38,$B$39)*100)</f>
        <v>0.15353938185443647</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3738</v>
      </c>
      <c r="C44" s="34" t="s">
        <v>110</v>
      </c>
      <c r="D44" s="174"/>
    </row>
    <row r="45" spans="1:7">
      <c r="A45" s="171" t="s">
        <v>71</v>
      </c>
      <c r="B45" s="33" t="str">
        <f t="shared" si="0"/>
        <v>-</v>
      </c>
      <c r="C45" s="34" t="s">
        <v>110</v>
      </c>
      <c r="D45" s="174"/>
    </row>
    <row r="46" spans="1:7">
      <c r="A46" s="171" t="s">
        <v>72</v>
      </c>
      <c r="B46" s="33">
        <f t="shared" si="0"/>
        <v>118.27088186356073</v>
      </c>
      <c r="C46" s="34" t="s">
        <v>110</v>
      </c>
      <c r="D46" s="174"/>
    </row>
    <row r="47" spans="1:7">
      <c r="A47" s="171" t="s">
        <v>73</v>
      </c>
      <c r="B47" s="33">
        <f t="shared" si="0"/>
        <v>948.27903494176371</v>
      </c>
      <c r="C47" s="34" t="s">
        <v>110</v>
      </c>
      <c r="D47" s="174"/>
    </row>
    <row r="48" spans="1:7">
      <c r="A48" s="171" t="s">
        <v>74</v>
      </c>
      <c r="B48" s="33">
        <f t="shared" si="0"/>
        <v>202.75008319467554</v>
      </c>
      <c r="C48" s="33">
        <f>B48*10</f>
        <v>2027.5008319467554</v>
      </c>
      <c r="D48" s="234"/>
    </row>
    <row r="49" spans="1:6">
      <c r="A49" s="171" t="s">
        <v>75</v>
      </c>
      <c r="B49" s="33" t="str">
        <f t="shared" si="0"/>
        <v>-</v>
      </c>
      <c r="C49" s="34" t="s">
        <v>110</v>
      </c>
      <c r="D49" s="234"/>
    </row>
    <row r="50" spans="1:6">
      <c r="A50" s="171" t="s">
        <v>76</v>
      </c>
      <c r="B50" s="33">
        <f t="shared" si="0"/>
        <v>7.6999999999999886</v>
      </c>
      <c r="C50" s="33">
        <f>B50*2</f>
        <v>15.399999999999977</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222</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37</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10137.100689999999</v>
      </c>
      <c r="C5" s="17">
        <f>IF(ISERROR('Eigen informatie GS &amp; warmtenet'!B60),0,'Eigen informatie GS &amp; warmtenet'!B60)</f>
        <v>0</v>
      </c>
      <c r="D5" s="30">
        <f>SUM(D6:D12)</f>
        <v>15224.923472572</v>
      </c>
      <c r="E5" s="17">
        <f>SUM(E6:E12)</f>
        <v>161.10287913995603</v>
      </c>
      <c r="F5" s="17">
        <f>SUM(F6:F12)</f>
        <v>1149.7771665432747</v>
      </c>
      <c r="G5" s="18"/>
      <c r="H5" s="17"/>
      <c r="I5" s="17"/>
      <c r="J5" s="17">
        <f>SUM(J6:J12)</f>
        <v>3.0197441283562682E-2</v>
      </c>
      <c r="K5" s="17"/>
      <c r="L5" s="17"/>
      <c r="M5" s="17"/>
      <c r="N5" s="17">
        <f>SUM(N6:N12)</f>
        <v>1185.3743647115998</v>
      </c>
      <c r="O5" s="17">
        <f>B38*B39*B40</f>
        <v>9.7945215316823084</v>
      </c>
      <c r="P5" s="17">
        <f>B46*B47*B48/1000-B46*B47*B48/1000/B49</f>
        <v>52.539138306495019</v>
      </c>
      <c r="R5" s="32"/>
    </row>
    <row r="6" spans="1:18">
      <c r="A6" s="32" t="s">
        <v>53</v>
      </c>
      <c r="B6" s="37">
        <f>B26</f>
        <v>1857.2650309999999</v>
      </c>
      <c r="C6" s="33"/>
      <c r="D6" s="37">
        <f>IF(ISERROR(TER_kantoor_gas_kWh/1000),0,TER_kantoor_gas_kWh/1000)*0.902</f>
        <v>3382.9082452000002</v>
      </c>
      <c r="E6" s="33">
        <f>$C$26*'E Balans VL '!I12/100/3.6*1000000</f>
        <v>14.944816218374243</v>
      </c>
      <c r="F6" s="33">
        <f>$C$26*('E Balans VL '!L12+'E Balans VL '!N12)/100/3.6*1000000</f>
        <v>227.0701878423605</v>
      </c>
      <c r="G6" s="34"/>
      <c r="H6" s="33"/>
      <c r="I6" s="33"/>
      <c r="J6" s="33">
        <f>$C$26*('E Balans VL '!D12+'E Balans VL '!E12)/100/3.6*1000000</f>
        <v>0</v>
      </c>
      <c r="K6" s="33"/>
      <c r="L6" s="33"/>
      <c r="M6" s="33"/>
      <c r="N6" s="33">
        <f>$C$26*'E Balans VL '!Y12/100/3.6*1000000</f>
        <v>0.99818849375889396</v>
      </c>
      <c r="O6" s="33"/>
      <c r="P6" s="33"/>
      <c r="R6" s="32"/>
    </row>
    <row r="7" spans="1:18">
      <c r="A7" s="32" t="s">
        <v>52</v>
      </c>
      <c r="B7" s="37">
        <f t="shared" ref="B7:B12" si="0">B27</f>
        <v>957.77721499999996</v>
      </c>
      <c r="C7" s="33"/>
      <c r="D7" s="37">
        <f>IF(ISERROR(TER_horeca_gas_kWh/1000),0,TER_horeca_gas_kWh/1000)*0.902</f>
        <v>1440.312698</v>
      </c>
      <c r="E7" s="33">
        <f>$C$27*'E Balans VL '!I9/100/3.6*1000000</f>
        <v>10.284175399436755</v>
      </c>
      <c r="F7" s="33">
        <f>$C$27*('E Balans VL '!L9+'E Balans VL '!N9)/100/3.6*1000000</f>
        <v>115.19737411913319</v>
      </c>
      <c r="G7" s="34"/>
      <c r="H7" s="33"/>
      <c r="I7" s="33"/>
      <c r="J7" s="33">
        <f>$C$27*('E Balans VL '!D9+'E Balans VL '!E9)/100/3.6*1000000</f>
        <v>0</v>
      </c>
      <c r="K7" s="33"/>
      <c r="L7" s="33"/>
      <c r="M7" s="33"/>
      <c r="N7" s="33">
        <f>$C$27*'E Balans VL '!Y9/100/3.6*1000000</f>
        <v>0.143590216418956</v>
      </c>
      <c r="O7" s="33"/>
      <c r="P7" s="33"/>
      <c r="R7" s="32"/>
    </row>
    <row r="8" spans="1:18">
      <c r="A8" s="6" t="s">
        <v>51</v>
      </c>
      <c r="B8" s="37">
        <f t="shared" si="0"/>
        <v>4522.8713930000004</v>
      </c>
      <c r="C8" s="33"/>
      <c r="D8" s="37">
        <f>IF(ISERROR(TER_handel_gas_kWh/1000),0,TER_handel_gas_kWh/1000)*0.902</f>
        <v>4071.20406</v>
      </c>
      <c r="E8" s="33">
        <f>$C$28*'E Balans VL '!I13/100/3.6*1000000</f>
        <v>121.38002155167374</v>
      </c>
      <c r="F8" s="33">
        <f>$C$28*('E Balans VL '!L13+'E Balans VL '!N13)/100/3.6*1000000</f>
        <v>431.62132938288812</v>
      </c>
      <c r="G8" s="34"/>
      <c r="H8" s="33"/>
      <c r="I8" s="33"/>
      <c r="J8" s="33">
        <f>$C$28*('E Balans VL '!D13+'E Balans VL '!E13)/100/3.6*1000000</f>
        <v>0</v>
      </c>
      <c r="K8" s="33"/>
      <c r="L8" s="33"/>
      <c r="M8" s="33"/>
      <c r="N8" s="33">
        <f>$C$28*'E Balans VL '!Y13/100/3.6*1000000</f>
        <v>1.7929176469764185</v>
      </c>
      <c r="O8" s="33"/>
      <c r="P8" s="33"/>
      <c r="R8" s="32"/>
    </row>
    <row r="9" spans="1:18">
      <c r="A9" s="32" t="s">
        <v>50</v>
      </c>
      <c r="B9" s="37">
        <f t="shared" si="0"/>
        <v>604.01540800000009</v>
      </c>
      <c r="C9" s="33"/>
      <c r="D9" s="37">
        <f>IF(ISERROR(TER_gezond_gas_kWh/1000),0,TER_gezond_gas_kWh/1000)*0.902</f>
        <v>1958.2510010579999</v>
      </c>
      <c r="E9" s="33">
        <f>$C$29*'E Balans VL '!I10/100/3.6*1000000</f>
        <v>1.1321215505492619</v>
      </c>
      <c r="F9" s="33">
        <f>$C$29*('E Balans VL '!L10+'E Balans VL '!N10)/100/3.6*1000000</f>
        <v>49.655577753540548</v>
      </c>
      <c r="G9" s="34"/>
      <c r="H9" s="33"/>
      <c r="I9" s="33"/>
      <c r="J9" s="33">
        <f>$C$29*('E Balans VL '!D10+'E Balans VL '!E10)/100/3.6*1000000</f>
        <v>0</v>
      </c>
      <c r="K9" s="33"/>
      <c r="L9" s="33"/>
      <c r="M9" s="33"/>
      <c r="N9" s="33">
        <f>$C$29*'E Balans VL '!Y10/100/3.6*1000000</f>
        <v>4.6996905344883668</v>
      </c>
      <c r="O9" s="33"/>
      <c r="P9" s="33"/>
      <c r="R9" s="32"/>
    </row>
    <row r="10" spans="1:18">
      <c r="A10" s="32" t="s">
        <v>49</v>
      </c>
      <c r="B10" s="37">
        <f t="shared" si="0"/>
        <v>1778.8256429999999</v>
      </c>
      <c r="C10" s="33"/>
      <c r="D10" s="37">
        <f>IF(ISERROR(TER_ander_gas_kWh/1000),0,TER_ander_gas_kWh/1000)*0.902</f>
        <v>2505.5078922719999</v>
      </c>
      <c r="E10" s="33">
        <f>$C$30*'E Balans VL '!I14/100/3.6*1000000</f>
        <v>2.7420777532462375</v>
      </c>
      <c r="F10" s="33">
        <f>$C$30*('E Balans VL '!L14+'E Balans VL '!N14)/100/3.6*1000000</f>
        <v>276.16317214756731</v>
      </c>
      <c r="G10" s="34"/>
      <c r="H10" s="33"/>
      <c r="I10" s="33"/>
      <c r="J10" s="33">
        <f>$C$30*('E Balans VL '!D14+'E Balans VL '!E14)/100/3.6*1000000</f>
        <v>3.0197441283562682E-2</v>
      </c>
      <c r="K10" s="33"/>
      <c r="L10" s="33"/>
      <c r="M10" s="33"/>
      <c r="N10" s="33">
        <f>$C$30*'E Balans VL '!Y14/100/3.6*1000000</f>
        <v>1176.8140344748872</v>
      </c>
      <c r="O10" s="33"/>
      <c r="P10" s="33"/>
      <c r="R10" s="32"/>
    </row>
    <row r="11" spans="1:18">
      <c r="A11" s="32" t="s">
        <v>54</v>
      </c>
      <c r="B11" s="37">
        <f t="shared" si="0"/>
        <v>416.346</v>
      </c>
      <c r="C11" s="33"/>
      <c r="D11" s="37">
        <f>IF(ISERROR(TER_onderwijs_gas_kWh/1000),0,TER_onderwijs_gas_kWh/1000)*0.902</f>
        <v>1866.739576042</v>
      </c>
      <c r="E11" s="33">
        <f>$C$31*'E Balans VL '!I11/100/3.6*1000000</f>
        <v>10.619666666675798</v>
      </c>
      <c r="F11" s="33">
        <f>$C$31*('E Balans VL '!L11+'E Balans VL '!N11)/100/3.6*1000000</f>
        <v>50.069525297785049</v>
      </c>
      <c r="G11" s="34"/>
      <c r="H11" s="33"/>
      <c r="I11" s="33"/>
      <c r="J11" s="33">
        <f>$C$31*('E Balans VL '!D11+'E Balans VL '!E11)/100/3.6*1000000</f>
        <v>0</v>
      </c>
      <c r="K11" s="33"/>
      <c r="L11" s="33"/>
      <c r="M11" s="33"/>
      <c r="N11" s="33">
        <f>$C$31*'E Balans VL '!Y11/100/3.6*1000000</f>
        <v>0.92594334507006393</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855</v>
      </c>
      <c r="C13" s="247">
        <f ca="1">'lokale energieproductie'!O91+'lokale energieproductie'!O60</f>
        <v>1221.4285714285716</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-2442.8571428571431</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10992.100689999999</v>
      </c>
      <c r="C16" s="21">
        <f t="shared" ca="1" si="1"/>
        <v>1221.4285714285716</v>
      </c>
      <c r="D16" s="21">
        <f t="shared" ca="1" si="1"/>
        <v>15224.923472572</v>
      </c>
      <c r="E16" s="21">
        <f t="shared" si="1"/>
        <v>161.10287913995603</v>
      </c>
      <c r="F16" s="21">
        <f t="shared" ca="1" si="1"/>
        <v>1149.7771665432747</v>
      </c>
      <c r="G16" s="21">
        <f t="shared" si="1"/>
        <v>0</v>
      </c>
      <c r="H16" s="21">
        <f t="shared" si="1"/>
        <v>0</v>
      </c>
      <c r="I16" s="21">
        <f t="shared" si="1"/>
        <v>0</v>
      </c>
      <c r="J16" s="21">
        <f t="shared" si="1"/>
        <v>3.0197441283562682E-2</v>
      </c>
      <c r="K16" s="21">
        <f t="shared" si="1"/>
        <v>0</v>
      </c>
      <c r="L16" s="21">
        <f t="shared" ca="1" si="1"/>
        <v>0</v>
      </c>
      <c r="M16" s="21">
        <f t="shared" si="1"/>
        <v>0</v>
      </c>
      <c r="N16" s="21">
        <f t="shared" ca="1" si="1"/>
        <v>0</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5.1405160907544198E-2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565.05070468137762</v>
      </c>
      <c r="C20" s="23">
        <f t="shared" ref="C20:P20" ca="1" si="2">C16*C18</f>
        <v>0</v>
      </c>
      <c r="D20" s="23">
        <f t="shared" ca="1" si="2"/>
        <v>3075.4345414595441</v>
      </c>
      <c r="E20" s="23">
        <f t="shared" si="2"/>
        <v>36.570353564770024</v>
      </c>
      <c r="F20" s="23">
        <f t="shared" ca="1" si="2"/>
        <v>306.99050346705434</v>
      </c>
      <c r="G20" s="23">
        <f t="shared" si="2"/>
        <v>0</v>
      </c>
      <c r="H20" s="23">
        <f t="shared" si="2"/>
        <v>0</v>
      </c>
      <c r="I20" s="23">
        <f t="shared" si="2"/>
        <v>0</v>
      </c>
      <c r="J20" s="23">
        <f t="shared" si="2"/>
        <v>1.0689894214381188E-2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1857.2650309999999</v>
      </c>
      <c r="C26" s="39">
        <f>IF(ISERROR(B26*3.6/1000000/'E Balans VL '!Z12*100),0,B26*3.6/1000000/'E Balans VL '!Z12*100)</f>
        <v>3.9400178430287272E-2</v>
      </c>
      <c r="D26" s="237" t="s">
        <v>716</v>
      </c>
      <c r="F26" s="6"/>
    </row>
    <row r="27" spans="1:18">
      <c r="A27" s="231" t="s">
        <v>52</v>
      </c>
      <c r="B27" s="33">
        <f>IF(ISERROR(TER_horeca_ele_kWh/1000),0,TER_horeca_ele_kWh/1000)</f>
        <v>957.77721499999996</v>
      </c>
      <c r="C27" s="39">
        <f>IF(ISERROR(B27*3.6/1000000/'E Balans VL '!Z9*100),0,B27*3.6/1000000/'E Balans VL '!Z9*100)</f>
        <v>7.2129108765239786E-2</v>
      </c>
      <c r="D27" s="237" t="s">
        <v>716</v>
      </c>
      <c r="F27" s="6"/>
    </row>
    <row r="28" spans="1:18">
      <c r="A28" s="171" t="s">
        <v>51</v>
      </c>
      <c r="B28" s="33">
        <f>IF(ISERROR(TER_handel_ele_kWh/1000),0,TER_handel_ele_kWh/1000)</f>
        <v>4522.8713930000004</v>
      </c>
      <c r="C28" s="39">
        <f>IF(ISERROR(B28*3.6/1000000/'E Balans VL '!Z13*100),0,B28*3.6/1000000/'E Balans VL '!Z13*100)</f>
        <v>0.1312829307550841</v>
      </c>
      <c r="D28" s="237" t="s">
        <v>716</v>
      </c>
      <c r="F28" s="6"/>
    </row>
    <row r="29" spans="1:18">
      <c r="A29" s="231" t="s">
        <v>50</v>
      </c>
      <c r="B29" s="33">
        <f>IF(ISERROR(TER_gezond_ele_kWh/1000),0,TER_gezond_ele_kWh/1000)</f>
        <v>604.01540800000009</v>
      </c>
      <c r="C29" s="39">
        <f>IF(ISERROR(B29*3.6/1000000/'E Balans VL '!Z10*100),0,B29*3.6/1000000/'E Balans VL '!Z10*100)</f>
        <v>6.0915674214511946E-2</v>
      </c>
      <c r="D29" s="237" t="s">
        <v>716</v>
      </c>
      <c r="F29" s="6"/>
    </row>
    <row r="30" spans="1:18">
      <c r="A30" s="231" t="s">
        <v>49</v>
      </c>
      <c r="B30" s="33">
        <f>IF(ISERROR(TER_ander_ele_kWh/1000),0,TER_ander_ele_kWh/1000)</f>
        <v>1778.8256429999999</v>
      </c>
      <c r="C30" s="39">
        <f>IF(ISERROR(B30*3.6/1000000/'E Balans VL '!Z14*100),0,B30*3.6/1000000/'E Balans VL '!Z14*100)</f>
        <v>0.1290780680310141</v>
      </c>
      <c r="D30" s="237" t="s">
        <v>716</v>
      </c>
      <c r="F30" s="6"/>
    </row>
    <row r="31" spans="1:18">
      <c r="A31" s="231" t="s">
        <v>54</v>
      </c>
      <c r="B31" s="33">
        <f>IF(ISERROR(TER_onderwijs_ele_kWh/1000),0,TER_onderwijs_ele_kWh/1000)</f>
        <v>416.346</v>
      </c>
      <c r="C31" s="39">
        <f>IF(ISERROR(B31*3.6/1000000/'E Balans VL '!Z11*100),0,B31*3.6/1000000/'E Balans VL '!Z11*100)</f>
        <v>0.11867556439857829</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4802.6745959999989</v>
      </c>
      <c r="C5" s="17">
        <f>IF(ISERROR('Eigen informatie GS &amp; warmtenet'!B61),0,'Eigen informatie GS &amp; warmtenet'!B61)</f>
        <v>0</v>
      </c>
      <c r="D5" s="30">
        <f>SUM(D6:D15)</f>
        <v>8700.8026627719992</v>
      </c>
      <c r="E5" s="17">
        <f>SUM(E6:E15)</f>
        <v>795.44875551595214</v>
      </c>
      <c r="F5" s="17">
        <f>SUM(F6:F15)</f>
        <v>2653.0106481353464</v>
      </c>
      <c r="G5" s="18"/>
      <c r="H5" s="17"/>
      <c r="I5" s="17"/>
      <c r="J5" s="17">
        <f>SUM(J6:J15)</f>
        <v>21.61899848621611</v>
      </c>
      <c r="K5" s="17"/>
      <c r="L5" s="17"/>
      <c r="M5" s="17"/>
      <c r="N5" s="17">
        <f>SUM(N6:N15)</f>
        <v>436.20087871989955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473.35199999999998</v>
      </c>
      <c r="C8" s="33"/>
      <c r="D8" s="37">
        <f>IF( ISERROR(IND_metaal_Gas_kWH/1000),0,IND_metaal_Gas_kWH/1000)*0.902</f>
        <v>615.36695000000009</v>
      </c>
      <c r="E8" s="33">
        <f>C30*'E Balans VL '!I18/100/3.6*1000000</f>
        <v>3.4149024505163772</v>
      </c>
      <c r="F8" s="33">
        <f>C30*'E Balans VL '!L18/100/3.6*1000000+C30*'E Balans VL '!N18/100/3.6*1000000</f>
        <v>44.770371200518213</v>
      </c>
      <c r="G8" s="34"/>
      <c r="H8" s="33"/>
      <c r="I8" s="33"/>
      <c r="J8" s="40">
        <f>C30*'E Balans VL '!D18/100/3.6*1000000+C30*'E Balans VL '!E18/100/3.6*1000000</f>
        <v>0.47610019234225104</v>
      </c>
      <c r="K8" s="33"/>
      <c r="L8" s="33"/>
      <c r="M8" s="33"/>
      <c r="N8" s="33">
        <f>C30*'E Balans VL '!Y18/100/3.6*1000000</f>
        <v>5.9844216457503725</v>
      </c>
      <c r="O8" s="33"/>
      <c r="P8" s="33"/>
      <c r="R8" s="32"/>
    </row>
    <row r="9" spans="1:18">
      <c r="A9" s="6" t="s">
        <v>32</v>
      </c>
      <c r="B9" s="37">
        <f t="shared" si="0"/>
        <v>2723.6262140000003</v>
      </c>
      <c r="C9" s="33"/>
      <c r="D9" s="37">
        <f>IF( ISERROR(IND_andere_gas_kWh/1000),0,IND_andere_gas_kWh/1000)*0.902</f>
        <v>6671.8546867719997</v>
      </c>
      <c r="E9" s="33">
        <f>C31*'E Balans VL '!I19/100/3.6*1000000</f>
        <v>754.75324334459037</v>
      </c>
      <c r="F9" s="33">
        <f>C31*'E Balans VL '!L19/100/3.6*1000000+C31*'E Balans VL '!N19/100/3.6*1000000</f>
        <v>2257.3472919648102</v>
      </c>
      <c r="G9" s="34"/>
      <c r="H9" s="33"/>
      <c r="I9" s="33"/>
      <c r="J9" s="40">
        <f>C31*'E Balans VL '!D19/100/3.6*1000000+C31*'E Balans VL '!E19/100/3.6*1000000</f>
        <v>0</v>
      </c>
      <c r="K9" s="33"/>
      <c r="L9" s="33"/>
      <c r="M9" s="33"/>
      <c r="N9" s="33">
        <f>C31*'E Balans VL '!Y19/100/3.6*1000000</f>
        <v>197.7019495813351</v>
      </c>
      <c r="O9" s="33"/>
      <c r="P9" s="33"/>
      <c r="R9" s="32"/>
    </row>
    <row r="10" spans="1:18">
      <c r="A10" s="6" t="s">
        <v>40</v>
      </c>
      <c r="B10" s="37">
        <f t="shared" si="0"/>
        <v>600.22838200000001</v>
      </c>
      <c r="C10" s="33"/>
      <c r="D10" s="37">
        <f>IF( ISERROR(IND_voed_gas_kWh/1000),0,IND_voed_gas_kWh/1000)*0.902</f>
        <v>511.19046000000003</v>
      </c>
      <c r="E10" s="33">
        <f>C32*'E Balans VL '!I20/100/3.6*1000000</f>
        <v>1.0626075465277944</v>
      </c>
      <c r="F10" s="33">
        <f>C32*'E Balans VL '!L20/100/3.6*1000000+C32*'E Balans VL '!N20/100/3.6*1000000</f>
        <v>32.417652404430491</v>
      </c>
      <c r="G10" s="34"/>
      <c r="H10" s="33"/>
      <c r="I10" s="33"/>
      <c r="J10" s="40">
        <f>C32*'E Balans VL '!D20/100/3.6*1000000+C32*'E Balans VL '!E20/100/3.6*1000000</f>
        <v>0</v>
      </c>
      <c r="K10" s="33"/>
      <c r="L10" s="33"/>
      <c r="M10" s="33"/>
      <c r="N10" s="33">
        <f>C32*'E Balans VL '!Y20/100/3.6*1000000</f>
        <v>34.877852995474065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804.16800000000001</v>
      </c>
      <c r="C12" s="33"/>
      <c r="D12" s="37">
        <f>IF( ISERROR(IND_min_gas_kWh/1000),0,IND_min_gas_kWh/1000)*0.902</f>
        <v>577.587582</v>
      </c>
      <c r="E12" s="33">
        <f>C34*'E Balans VL '!I22/100/3.6*1000000</f>
        <v>35.412690225414003</v>
      </c>
      <c r="F12" s="33">
        <f>C34*'E Balans VL '!L22/100/3.6*1000000+C34*'E Balans VL '!N22/100/3.6*1000000</f>
        <v>314.46216477467755</v>
      </c>
      <c r="G12" s="34"/>
      <c r="H12" s="33"/>
      <c r="I12" s="33"/>
      <c r="J12" s="40">
        <f>C34*'E Balans VL '!D22/100/3.6*1000000+C34*'E Balans VL '!E22/100/3.6*1000000</f>
        <v>0.24417398168267149</v>
      </c>
      <c r="K12" s="33"/>
      <c r="L12" s="33"/>
      <c r="M12" s="33"/>
      <c r="N12" s="33">
        <f>C34*'E Balans VL '!Y22/100/3.6*1000000</f>
        <v>198.92679282443353</v>
      </c>
      <c r="O12" s="33"/>
      <c r="P12" s="33"/>
      <c r="R12" s="32"/>
    </row>
    <row r="13" spans="1:18">
      <c r="A13" s="6" t="s">
        <v>38</v>
      </c>
      <c r="B13" s="37">
        <f t="shared" si="0"/>
        <v>190.18100000000001</v>
      </c>
      <c r="C13" s="33"/>
      <c r="D13" s="37">
        <f>IF( ISERROR(IND_papier_gas_kWh/1000),0,IND_papier_gas_kWh/1000)*0.902</f>
        <v>306.20284200000003</v>
      </c>
      <c r="E13" s="33">
        <f>C35*'E Balans VL '!I23/100/3.6*1000000</f>
        <v>0.27982155538526787</v>
      </c>
      <c r="F13" s="33">
        <f>C35*'E Balans VL '!L23/100/3.6*1000000+C35*'E Balans VL '!N23/100/3.6*1000000</f>
        <v>2.0363262627165155</v>
      </c>
      <c r="G13" s="34"/>
      <c r="H13" s="33"/>
      <c r="I13" s="33"/>
      <c r="J13" s="40">
        <f>C35*'E Balans VL '!D23/100/3.6*1000000+C35*'E Balans VL '!E23/100/3.6*1000000</f>
        <v>20.806867879240038</v>
      </c>
      <c r="K13" s="33"/>
      <c r="L13" s="33"/>
      <c r="M13" s="33"/>
      <c r="N13" s="33">
        <f>C35*'E Balans VL '!Y23/100/3.6*1000000</f>
        <v>-1.7228769000474546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11.119</v>
      </c>
      <c r="C15" s="33"/>
      <c r="D15" s="37">
        <f>IF( ISERROR(IND_rest_gas_kWh/1000),0,IND_rest_gas_kWh/1000)*0.902</f>
        <v>18.600141999999998</v>
      </c>
      <c r="E15" s="33">
        <f>C37*'E Balans VL '!I15/100/3.6*1000000</f>
        <v>0.52549039351819182</v>
      </c>
      <c r="F15" s="33">
        <f>C37*'E Balans VL '!L15/100/3.6*1000000+C37*'E Balans VL '!N15/100/3.6*1000000</f>
        <v>1.9768415281934859</v>
      </c>
      <c r="G15" s="34"/>
      <c r="H15" s="33"/>
      <c r="I15" s="33"/>
      <c r="J15" s="40">
        <f>C37*'E Balans VL '!D15/100/3.6*1000000+C37*'E Balans VL '!E15/100/3.6*1000000</f>
        <v>9.1856432951151618E-2</v>
      </c>
      <c r="K15" s="33"/>
      <c r="L15" s="33"/>
      <c r="M15" s="33"/>
      <c r="N15" s="33">
        <f>C37*'E Balans VL '!Y15/100/3.6*1000000</f>
        <v>0.43273857295395429</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4802.6745959999989</v>
      </c>
      <c r="C18" s="21">
        <f>C5+C16</f>
        <v>0</v>
      </c>
      <c r="D18" s="21">
        <f>MAX((D5+D16),0)</f>
        <v>8700.8026627719992</v>
      </c>
      <c r="E18" s="21">
        <f>MAX((E5+E16),0)</f>
        <v>795.44875551595214</v>
      </c>
      <c r="F18" s="21">
        <f>MAX((F5+F16),0)</f>
        <v>2653.0106481353464</v>
      </c>
      <c r="G18" s="21"/>
      <c r="H18" s="21"/>
      <c r="I18" s="21"/>
      <c r="J18" s="21">
        <f>MAX((J5+J16),0)</f>
        <v>21.61899848621611</v>
      </c>
      <c r="K18" s="21"/>
      <c r="L18" s="21">
        <f>MAX((L5+L16),0)</f>
        <v>0</v>
      </c>
      <c r="M18" s="21"/>
      <c r="N18" s="21">
        <f>MAX((N5+N16),0)</f>
        <v>436.20087871989955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5.1405160907544198E-2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246.88226039395477</v>
      </c>
      <c r="C22" s="23">
        <f ca="1">C18*C20</f>
        <v>0</v>
      </c>
      <c r="D22" s="23">
        <f>D18*D20</f>
        <v>1757.562137879944</v>
      </c>
      <c r="E22" s="23">
        <f>E18*E20</f>
        <v>180.56686750212114</v>
      </c>
      <c r="F22" s="23">
        <f>F18*F20</f>
        <v>708.35384305213756</v>
      </c>
      <c r="G22" s="23"/>
      <c r="H22" s="23"/>
      <c r="I22" s="23"/>
      <c r="J22" s="23">
        <f>J18*J20</f>
        <v>7.6531254641205031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473.35199999999998</v>
      </c>
      <c r="C30" s="39">
        <f>IF(ISERROR(B30*3.6/1000000/'E Balans VL '!Z18*100),0,B30*3.6/1000000/'E Balans VL '!Z18*100)</f>
        <v>2.7325872366310747E-2</v>
      </c>
      <c r="D30" s="237" t="s">
        <v>716</v>
      </c>
    </row>
    <row r="31" spans="1:18">
      <c r="A31" s="6" t="s">
        <v>32</v>
      </c>
      <c r="B31" s="37">
        <f>IF( ISERROR(IND_ander_ele_kWh/1000),0,IND_ander_ele_kWh/1000)</f>
        <v>2723.6262140000003</v>
      </c>
      <c r="C31" s="39">
        <f>IF(ISERROR(B31*3.6/1000000/'E Balans VL '!Z19*100),0,B31*3.6/1000000/'E Balans VL '!Z19*100)</f>
        <v>0.13698957027166742</v>
      </c>
      <c r="D31" s="237" t="s">
        <v>716</v>
      </c>
    </row>
    <row r="32" spans="1:18">
      <c r="A32" s="171" t="s">
        <v>40</v>
      </c>
      <c r="B32" s="37">
        <f>IF( ISERROR(IND_voed_ele_kWh/1000),0,IND_voed_ele_kWh/1000)</f>
        <v>600.22838200000001</v>
      </c>
      <c r="C32" s="39">
        <f>IF(ISERROR(B32*3.6/1000000/'E Balans VL '!Z20*100),0,B32*3.6/1000000/'E Balans VL '!Z20*100)</f>
        <v>1.9991169425640196E-2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804.16800000000001</v>
      </c>
      <c r="C34" s="39">
        <f>IF(ISERROR(B34*3.6/1000000/'E Balans VL '!Z22*100),0,B34*3.6/1000000/'E Balans VL '!Z22*100)</f>
        <v>0.15000449386647968</v>
      </c>
      <c r="D34" s="237" t="s">
        <v>716</v>
      </c>
    </row>
    <row r="35" spans="1:5">
      <c r="A35" s="171" t="s">
        <v>38</v>
      </c>
      <c r="B35" s="37">
        <f>IF( ISERROR(IND_papier_ele_kWh/1000),0,IND_papier_ele_kWh/1000)</f>
        <v>190.18100000000001</v>
      </c>
      <c r="C35" s="39">
        <f>IF(ISERROR(B35*3.6/1000000/'E Balans VL '!Z22*100),0,B35*3.6/1000000/'E Balans VL '!Z22*100)</f>
        <v>3.5475180121592717E-2</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11.119</v>
      </c>
      <c r="C37" s="39">
        <f>IF(ISERROR(B37*3.6/1000000/'E Balans VL '!Z15*100),0,B37*3.6/1000000/'E Balans VL '!Z15*100)</f>
        <v>8.6758606364236191E-5</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2710.3968930000001</v>
      </c>
      <c r="C5" s="17">
        <f>'Eigen informatie GS &amp; warmtenet'!B62</f>
        <v>0</v>
      </c>
      <c r="D5" s="30">
        <f>IF(ISERROR(SUM(LB_lb_gas_kWh,LB_rest_gas_kWh)/1000),0,SUM(LB_lb_gas_kWh,LB_rest_gas_kWh)/1000)*0.902</f>
        <v>355.42317800000001</v>
      </c>
      <c r="E5" s="17">
        <f>B17*'E Balans VL '!I25/3.6*1000000/100</f>
        <v>84.590593251898298</v>
      </c>
      <c r="F5" s="17">
        <f>B17*('E Balans VL '!L25/3.6*1000000+'E Balans VL '!N25/3.6*1000000)/100</f>
        <v>9578.8428695302755</v>
      </c>
      <c r="G5" s="18"/>
      <c r="H5" s="17"/>
      <c r="I5" s="17"/>
      <c r="J5" s="17">
        <f>('E Balans VL '!D25+'E Balans VL '!E25)/3.6*1000000*landbouw!B17/100</f>
        <v>746.73314045922234</v>
      </c>
      <c r="K5" s="17"/>
      <c r="L5" s="17">
        <f>L6*(-1)</f>
        <v>1012.5</v>
      </c>
      <c r="M5" s="17"/>
      <c r="N5" s="17">
        <f>N6*(-1)</f>
        <v>124.71428571428569</v>
      </c>
      <c r="O5" s="17"/>
      <c r="P5" s="17"/>
      <c r="R5" s="32"/>
    </row>
    <row r="6" spans="1:18">
      <c r="A6" s="16" t="s">
        <v>482</v>
      </c>
      <c r="B6" s="17" t="s">
        <v>210</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-1012.5</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2710.3968930000001</v>
      </c>
      <c r="C8" s="21">
        <f>C5+C6</f>
        <v>62.357142857142847</v>
      </c>
      <c r="D8" s="21">
        <f>MAX((D5+D6),0)</f>
        <v>355.42317800000001</v>
      </c>
      <c r="E8" s="21">
        <f>MAX((E5+E6),0)</f>
        <v>84.590593251898298</v>
      </c>
      <c r="F8" s="21">
        <f>MAX((F5+F6),0)</f>
        <v>9578.8428695302755</v>
      </c>
      <c r="G8" s="21"/>
      <c r="H8" s="21"/>
      <c r="I8" s="21"/>
      <c r="J8" s="21">
        <f>MAX((J5+J6),0)</f>
        <v>746.73314045922234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5.1405160907544198E-2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139.32838840797285</v>
      </c>
      <c r="C12" s="23">
        <f ca="1">C8*C10</f>
        <v>0</v>
      </c>
      <c r="D12" s="23">
        <f>D8*D10</f>
        <v>71.795481956000003</v>
      </c>
      <c r="E12" s="23">
        <f>E8*E10</f>
        <v>19.202064668180913</v>
      </c>
      <c r="F12" s="23">
        <f>F8*F10</f>
        <v>2557.5510461645836</v>
      </c>
      <c r="G12" s="23"/>
      <c r="H12" s="23"/>
      <c r="I12" s="23"/>
      <c r="J12" s="23">
        <f>J8*J10</f>
        <v>264.34353172256471</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0.40291992810982774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555.69038096156294</v>
      </c>
      <c r="C26" s="247">
        <f>B26*'GWP N2O_CH4'!B5</f>
        <v>11669.498000192822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203.27373961471818</v>
      </c>
      <c r="C27" s="247">
        <f>B27*'GWP N2O_CH4'!B5</f>
        <v>4268.748531909082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6.7314731362895293</v>
      </c>
      <c r="C28" s="247">
        <f>B28*'GWP N2O_CH4'!B4</f>
        <v>2086.756672249754</v>
      </c>
      <c r="D28" s="50"/>
    </row>
    <row r="29" spans="1:4">
      <c r="A29" s="41" t="s">
        <v>276</v>
      </c>
      <c r="B29" s="247">
        <f>B34*'ha_N2O bodem landbouw'!B4</f>
        <v>21.290635818843761</v>
      </c>
      <c r="C29" s="247">
        <f>B29*'GWP N2O_CH4'!B4</f>
        <v>6600.0971038415655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4.6686531057936066E-3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3.1625327485499999E-4</v>
      </c>
      <c r="C5" s="463" t="s">
        <v>210</v>
      </c>
      <c r="D5" s="448">
        <f>SUM(D6:D11)</f>
        <v>1.1790932618700762E-3</v>
      </c>
      <c r="E5" s="448">
        <f>SUM(E6:E11)</f>
        <v>1.0660488804512249E-3</v>
      </c>
      <c r="F5" s="461" t="s">
        <v>210</v>
      </c>
      <c r="G5" s="448">
        <f>SUM(G6:G11)</f>
        <v>0.55824584229209662</v>
      </c>
      <c r="H5" s="448">
        <f>SUM(H6:H11)</f>
        <v>9.0683747874745327E-2</v>
      </c>
      <c r="I5" s="463" t="s">
        <v>210</v>
      </c>
      <c r="J5" s="463" t="s">
        <v>210</v>
      </c>
      <c r="K5" s="463" t="s">
        <v>210</v>
      </c>
      <c r="L5" s="463" t="s">
        <v>210</v>
      </c>
      <c r="M5" s="448">
        <f>SUM(M6:M11)</f>
        <v>3.8146599644377527E-2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9.3834221019999987E-5</v>
      </c>
      <c r="C6" s="449"/>
      <c r="D6" s="917">
        <f>vkm_2011_GW_PW*SUMIFS(TableVerdeelsleutelVkm[CNG],TableVerdeelsleutelVkm[Voertuigtype],"Lichte voertuigen")*SUMIFS(TableECFTransport[EnergieConsumptieFactor (PJ per km)],TableECFTransport[Index],CONCATENATE($A6,"_CNG_CNG"))</f>
        <v>3.2627756950219202E-4</v>
      </c>
      <c r="E6" s="917">
        <f>vkm_2011_GW_PW*SUMIFS(TableVerdeelsleutelVkm[LPG],TableVerdeelsleutelVkm[Voertuigtype],"Lichte voertuigen")*SUMIFS(TableECFTransport[EnergieConsumptieFactor (PJ per km)],TableECFTransport[Index],CONCATENATE($A6,"_LPG_LPG"))</f>
        <v>2.5705296884639999E-4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6.9972806988163078E-2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2.4485834961240391E-2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5.6444975619230689E-3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5.0963702452752113E-2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1.2839398945922776E-5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2.9387263051200109E-3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1.7781088630000001E-5</v>
      </c>
      <c r="C8" s="449"/>
      <c r="D8" s="451">
        <f>vkm_2011_NGW_PW*SUMIFS(TableVerdeelsleutelVkm[CNG],TableVerdeelsleutelVkm[Voertuigtype],"Lichte voertuigen")*SUMIFS(TableECFTransport[EnergieConsumptieFactor (PJ per km)],TableECFTransport[Index],CONCATENATE($A8,"_CNG_CNG"))</f>
        <v>1.0941945326928E-4</v>
      </c>
      <c r="E8" s="451">
        <f>vkm_2011_NGW_PW*SUMIFS(TableVerdeelsleutelVkm[LPG],TableVerdeelsleutelVkm[Voertuigtype],"Lichte voertuigen")*SUMIFS(TableECFTransport[EnergieConsumptieFactor (PJ per km)],TableECFTransport[Index],CONCATENATE($A8,"_LPG_LPG"))</f>
        <v>7.9916898205850001E-5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2.0187335604377445E-2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8.0013457815298894E-3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1.6901007395286431E-3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8.8385949919883942E-3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2.101038673172745E-6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5.0965273250122697E-4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2.0463796520499999E-4</v>
      </c>
      <c r="C10" s="449"/>
      <c r="D10" s="451">
        <f>vkm_2011_SW_PW*SUMIFS(TableVerdeelsleutelVkm[CNG],TableVerdeelsleutelVkm[Voertuigtype],"Lichte voertuigen")*SUMIFS(TableECFTransport[EnergieConsumptieFactor (PJ per km)],TableECFTransport[Index],CONCATENATE($A10,"_CNG_CNG"))</f>
        <v>7.433962390986041E-4</v>
      </c>
      <c r="E10" s="451">
        <f>vkm_2011_SW_PW*SUMIFS(TableVerdeelsleutelVkm[LPG],TableVerdeelsleutelVkm[Voertuigtype],"Lichte voertuigen")*SUMIFS(TableECFTransport[EnergieConsumptieFactor (PJ per km)],TableECFTransport[Index],CONCATENATE($A10,"_LPG_LPG"))</f>
        <v>7.2907901339897495E-4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0.17629519666308729</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5.8118325779675316E-2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1.3986138161784137E-2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0.23198820559172822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6.3300914680637703E-5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1.3377484143520442E-2</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87.848131904166664</v>
      </c>
      <c r="C14" s="21"/>
      <c r="D14" s="21">
        <f t="shared" ref="D14:M14" si="0">((D5)*10^9/3600)+D12</f>
        <v>327.52590607502117</v>
      </c>
      <c r="E14" s="21">
        <f t="shared" si="0"/>
        <v>296.12468901422915</v>
      </c>
      <c r="F14" s="21"/>
      <c r="G14" s="21">
        <f t="shared" si="0"/>
        <v>155068.2895255824</v>
      </c>
      <c r="H14" s="21">
        <f t="shared" si="0"/>
        <v>25189.929965207033</v>
      </c>
      <c r="I14" s="21"/>
      <c r="J14" s="21"/>
      <c r="K14" s="21"/>
      <c r="L14" s="21"/>
      <c r="M14" s="21">
        <f t="shared" si="0"/>
        <v>10596.277678993758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5.1405160907544198E-2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4.5158473559608545</v>
      </c>
      <c r="C18" s="23"/>
      <c r="D18" s="23">
        <f t="shared" ref="D18:M18" si="1">D14*D16</f>
        <v>66.160233027154277</v>
      </c>
      <c r="E18" s="23">
        <f t="shared" si="1"/>
        <v>67.220304406230014</v>
      </c>
      <c r="F18" s="23"/>
      <c r="G18" s="23">
        <f t="shared" si="1"/>
        <v>41403.233303330504</v>
      </c>
      <c r="H18" s="23">
        <f t="shared" si="1"/>
        <v>6272.2925613365514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4.61532067652043E-3</v>
      </c>
      <c r="H50" s="321">
        <f t="shared" si="2"/>
        <v>0</v>
      </c>
      <c r="I50" s="321">
        <f t="shared" si="2"/>
        <v>0</v>
      </c>
      <c r="J50" s="321">
        <f t="shared" si="2"/>
        <v>0</v>
      </c>
      <c r="K50" s="321">
        <f t="shared" si="2"/>
        <v>0</v>
      </c>
      <c r="L50" s="321">
        <f t="shared" si="2"/>
        <v>0</v>
      </c>
      <c r="M50" s="321">
        <f t="shared" si="2"/>
        <v>2.5652003385818534E-4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4.61532067652043E-3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2.5652003385818534E-4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1282.0335212556749</v>
      </c>
      <c r="H54" s="21">
        <f t="shared" si="3"/>
        <v>0</v>
      </c>
      <c r="I54" s="21">
        <f t="shared" si="3"/>
        <v>0</v>
      </c>
      <c r="J54" s="21">
        <f t="shared" si="3"/>
        <v>0</v>
      </c>
      <c r="K54" s="21">
        <f t="shared" si="3"/>
        <v>0</v>
      </c>
      <c r="L54" s="21">
        <f t="shared" si="3"/>
        <v>0</v>
      </c>
      <c r="M54" s="21">
        <f t="shared" si="3"/>
        <v>71.255564960607046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5.1405160907544198E-2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342.30295017526521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24216.918108854567</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5497.5514480089732</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898.65</v>
      </c>
      <c r="C8" s="574">
        <f>B101</f>
        <v>0</v>
      </c>
      <c r="D8" s="575"/>
      <c r="E8" s="575">
        <f>E101</f>
        <v>0</v>
      </c>
      <c r="F8" s="576"/>
      <c r="G8" s="577"/>
      <c r="H8" s="575">
        <f>I101</f>
        <v>0</v>
      </c>
      <c r="I8" s="575">
        <f>G101+F101</f>
        <v>0</v>
      </c>
      <c r="J8" s="575">
        <f>H101+D101+C101</f>
        <v>1057.2352941176471</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405</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1012.5</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31018.119556863541</v>
      </c>
      <c r="C10" s="589">
        <f t="shared" ref="C10:L10" si="0">SUM(C8:C9)</f>
        <v>0</v>
      </c>
      <c r="D10" s="589">
        <f t="shared" si="0"/>
        <v>0</v>
      </c>
      <c r="E10" s="589">
        <f t="shared" si="0"/>
        <v>0</v>
      </c>
      <c r="F10" s="589">
        <f t="shared" si="0"/>
        <v>0</v>
      </c>
      <c r="G10" s="589">
        <f t="shared" si="0"/>
        <v>0</v>
      </c>
      <c r="H10" s="589">
        <f t="shared" si="0"/>
        <v>0</v>
      </c>
      <c r="I10" s="589">
        <f t="shared" si="0"/>
        <v>1012.5</v>
      </c>
      <c r="J10" s="589">
        <f t="shared" si="0"/>
        <v>1057.2352941176471</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1283.7857142857144</v>
      </c>
      <c r="C17" s="605">
        <f>B102</f>
        <v>0</v>
      </c>
      <c r="D17" s="606"/>
      <c r="E17" s="606">
        <f>E102</f>
        <v>0</v>
      </c>
      <c r="F17" s="607"/>
      <c r="G17" s="608"/>
      <c r="H17" s="605">
        <f>I102</f>
        <v>0</v>
      </c>
      <c r="I17" s="606">
        <f>G102+F102</f>
        <v>0</v>
      </c>
      <c r="J17" s="606">
        <f>H102+D102+C102</f>
        <v>1510.3361344537818</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1283.7857142857144</v>
      </c>
      <c r="C20" s="588">
        <f>SUM(C17:C19)</f>
        <v>0</v>
      </c>
      <c r="D20" s="588">
        <f t="shared" ref="D20:L20" si="1">SUM(D17:D19)</f>
        <v>0</v>
      </c>
      <c r="E20" s="588">
        <f t="shared" si="1"/>
        <v>0</v>
      </c>
      <c r="F20" s="588">
        <f t="shared" si="1"/>
        <v>0</v>
      </c>
      <c r="G20" s="588">
        <f t="shared" si="1"/>
        <v>0</v>
      </c>
      <c r="H20" s="588">
        <f t="shared" si="1"/>
        <v>0</v>
      </c>
      <c r="I20" s="588">
        <f t="shared" si="1"/>
        <v>0</v>
      </c>
      <c r="J20" s="588">
        <f t="shared" si="1"/>
        <v>1510.3361344537818</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35005</v>
      </c>
      <c r="C28" s="817">
        <v>8470</v>
      </c>
      <c r="D28" s="666" t="s">
        <v>886</v>
      </c>
      <c r="E28" s="665" t="s">
        <v>887</v>
      </c>
      <c r="F28" s="665" t="s">
        <v>888</v>
      </c>
      <c r="G28" s="665" t="s">
        <v>889</v>
      </c>
      <c r="H28" s="665" t="s">
        <v>890</v>
      </c>
      <c r="I28" s="665" t="s">
        <v>887</v>
      </c>
      <c r="J28" s="816">
        <v>41117</v>
      </c>
      <c r="K28" s="816">
        <v>41275</v>
      </c>
      <c r="L28" s="665" t="s">
        <v>891</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25.5">
      <c r="A29" s="618"/>
      <c r="B29" s="817">
        <v>35005</v>
      </c>
      <c r="C29" s="817">
        <v>8470</v>
      </c>
      <c r="D29" s="666" t="s">
        <v>892</v>
      </c>
      <c r="E29" s="665" t="s">
        <v>893</v>
      </c>
      <c r="F29" s="665" t="s">
        <v>894</v>
      </c>
      <c r="G29" s="665" t="s">
        <v>889</v>
      </c>
      <c r="H29" s="665" t="s">
        <v>890</v>
      </c>
      <c r="I29" s="665" t="s">
        <v>895</v>
      </c>
      <c r="J29" s="816">
        <v>41400</v>
      </c>
      <c r="K29" s="816">
        <v>41400</v>
      </c>
      <c r="L29" s="665" t="s">
        <v>891</v>
      </c>
      <c r="M29" s="665">
        <v>190</v>
      </c>
      <c r="N29" s="665">
        <v>855</v>
      </c>
      <c r="O29" s="665">
        <v>1221.4285714285716</v>
      </c>
      <c r="P29" s="665">
        <v>0</v>
      </c>
      <c r="Q29" s="665">
        <v>2442.8571428571431</v>
      </c>
      <c r="R29" s="665">
        <v>0</v>
      </c>
      <c r="S29" s="665">
        <v>0</v>
      </c>
      <c r="T29" s="665">
        <v>0</v>
      </c>
      <c r="U29" s="665">
        <v>0</v>
      </c>
      <c r="V29" s="665">
        <v>0</v>
      </c>
      <c r="W29" s="665">
        <v>0</v>
      </c>
      <c r="X29" s="665">
        <v>1600</v>
      </c>
      <c r="Y29" s="665" t="s">
        <v>53</v>
      </c>
      <c r="Z29" s="667" t="s">
        <v>155</v>
      </c>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199.7</v>
      </c>
      <c r="N58" s="623">
        <f>SUM(N28:N57)</f>
        <v>898.65</v>
      </c>
      <c r="O58" s="623">
        <f t="shared" ref="O58:W58" si="2">SUM(O28:O57)</f>
        <v>1283.7857142857144</v>
      </c>
      <c r="P58" s="623">
        <f t="shared" si="2"/>
        <v>0</v>
      </c>
      <c r="Q58" s="623">
        <f t="shared" si="2"/>
        <v>2567.5714285714289</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190</v>
      </c>
      <c r="N60" s="623">
        <f ca="1">SUMIF($Z$28:AD57,"tertiair",N28:N57)</f>
        <v>855</v>
      </c>
      <c r="O60" s="623">
        <f ca="1">SUMIF($Z$28:AE57,"tertiair",O28:O57)</f>
        <v>1221.4285714285716</v>
      </c>
      <c r="P60" s="623">
        <f ca="1">SUMIF($Z$28:AF57,"tertiair",P28:P57)</f>
        <v>0</v>
      </c>
      <c r="Q60" s="623">
        <f ca="1">SUMIF($Z$28:AG57,"tertiair",Q28:Q57)</f>
        <v>2442.8571428571431</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9.6999999999999993</v>
      </c>
      <c r="N61" s="628">
        <f t="shared" si="4"/>
        <v>43.649999999999991</v>
      </c>
      <c r="O61" s="628">
        <f t="shared" si="4"/>
        <v>62.357142857142847</v>
      </c>
      <c r="P61" s="628">
        <f t="shared" si="4"/>
        <v>0</v>
      </c>
      <c r="Q61" s="628">
        <f t="shared" si="4"/>
        <v>124.71428571428569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38.25">
      <c r="A64" s="620"/>
      <c r="B64" s="817">
        <v>35005</v>
      </c>
      <c r="C64" s="817">
        <v>8470</v>
      </c>
      <c r="D64" s="668" t="s">
        <v>896</v>
      </c>
      <c r="E64" s="668" t="s">
        <v>897</v>
      </c>
      <c r="F64" s="668" t="s">
        <v>898</v>
      </c>
      <c r="G64" s="668" t="s">
        <v>899</v>
      </c>
      <c r="H64" s="668" t="s">
        <v>900</v>
      </c>
      <c r="I64" s="668" t="s">
        <v>897</v>
      </c>
      <c r="J64" s="816">
        <v>38944</v>
      </c>
      <c r="K64" s="816">
        <v>39239</v>
      </c>
      <c r="L64" s="668" t="s">
        <v>891</v>
      </c>
      <c r="M64" s="668">
        <v>90</v>
      </c>
      <c r="N64" s="668">
        <v>405</v>
      </c>
      <c r="O64" s="668">
        <v>0</v>
      </c>
      <c r="P64" s="668">
        <v>0</v>
      </c>
      <c r="Q64" s="668">
        <v>0</v>
      </c>
      <c r="R64" s="668">
        <v>0</v>
      </c>
      <c r="S64" s="668">
        <v>0</v>
      </c>
      <c r="T64" s="668">
        <v>0</v>
      </c>
      <c r="U64" s="668">
        <v>1012.5</v>
      </c>
      <c r="V64" s="668">
        <v>0</v>
      </c>
      <c r="W64" s="668">
        <v>0</v>
      </c>
      <c r="X64" s="668">
        <v>10</v>
      </c>
      <c r="Y64" s="668" t="s">
        <v>111</v>
      </c>
      <c r="Z64" s="669" t="s">
        <v>111</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90</v>
      </c>
      <c r="N89" s="623">
        <f t="shared" ref="N89:W89" si="5">SUM(N64:N88)</f>
        <v>405</v>
      </c>
      <c r="O89" s="623">
        <f t="shared" si="5"/>
        <v>0</v>
      </c>
      <c r="P89" s="623">
        <f t="shared" si="5"/>
        <v>0</v>
      </c>
      <c r="Q89" s="623">
        <f t="shared" si="5"/>
        <v>0</v>
      </c>
      <c r="R89" s="623">
        <f t="shared" si="5"/>
        <v>0</v>
      </c>
      <c r="S89" s="623">
        <f t="shared" si="5"/>
        <v>0</v>
      </c>
      <c r="T89" s="623">
        <f t="shared" si="5"/>
        <v>0</v>
      </c>
      <c r="U89" s="623">
        <f t="shared" si="5"/>
        <v>1012.5</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90</v>
      </c>
      <c r="N92" s="628">
        <f t="shared" si="8"/>
        <v>405</v>
      </c>
      <c r="O92" s="628">
        <f t="shared" si="8"/>
        <v>0</v>
      </c>
      <c r="P92" s="628">
        <f t="shared" si="8"/>
        <v>0</v>
      </c>
      <c r="Q92" s="628">
        <f t="shared" si="8"/>
        <v>0</v>
      </c>
      <c r="R92" s="628">
        <f t="shared" si="8"/>
        <v>0</v>
      </c>
      <c r="S92" s="628">
        <f t="shared" si="8"/>
        <v>0</v>
      </c>
      <c r="T92" s="628">
        <f t="shared" si="8"/>
        <v>0</v>
      </c>
      <c r="U92" s="628">
        <f t="shared" si="8"/>
        <v>1012.5</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1057.2352941176471</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1510.3361344537818</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2019-08-12T08:39:58Z</dcterms:modified>
</cp:coreProperties>
</file>