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<sst xmlns="http://schemas.openxmlformats.org/spreadsheetml/2006/main" count="2384" uniqueCount="886">
  <si>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</si>
  <si>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</si>
  <si>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</si>
  <si>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</si>
  <si>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</si>
  <si>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</si>
  <si>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</si>
  <si>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</si>
  <si>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</si>
  <si>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</si>
  <si>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</si>
  <si>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</si>
  <si>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</si>
  <si>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</si>
  <si>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</si>
  <si>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</si>
  <si>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</si>
  <si>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</si>
  <si>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</si>
  <si>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</si>
  <si>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</si>
  <si>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</si>
  <si>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</si>
  <si>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</si>
  <si>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</si>
  <si>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</si>
  <si>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</si>
  <si>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</si>
  <si>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</si>
  <si>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</si>
  <si>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</si>
  <si>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</si>
  <si>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</si>
  <si>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</si>
  <si>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</si>
  <si>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</si>
  <si>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</si>
  <si>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</si>
  <si>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</si>
  <si>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</si>
  <si>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</si>
  <si>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</si>
  <si>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</si>
  <si>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</si>
  <si>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</si>
  <si>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</si>
  <si>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</si>
  <si>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</si>
  <si>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</si>
  <si>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</si>
  <si>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</si>
  <si>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</si>
  <si>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</si>
  <si>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</si>
  <si>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</si>
  <si>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</si>
  <si>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</si>
  <si>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</si>
  <si>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</si>
  <si>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</si>
  <si>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</si>
  <si>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</si>
  <si>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</si>
  <si>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</si>
  <si>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</si>
  <si>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</si>
  <si>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</si>
  <si>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</si>
  <si>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</si>
  <si>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</si>
  <si>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</si>
  <si>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</si>
  <si>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</si>
  <si>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</si>
  <si>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</si>
  <si>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</si>
  <si>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</si>
  <si>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</si>
  <si>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</si>
  <si>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</si>
  <si>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</si>
  <si>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</si>
  <si>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</si>
  <si>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</si>
  <si>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</si>
  <si>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</si>
  <si>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</si>
  <si>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</si>
  <si>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</si>
  <si>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</si>
  <si>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</si>
  <si>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</si>
  <si>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</si>
  <si>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</si>
  <si>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</si>
  <si>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</si>
  <si>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</si>
  <si>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</si>
  <si>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</si>
  <si>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</si>
  <si>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</si>
  <si>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</si>
  <si>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</si>
  <si>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</si>
  <si>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</si>
  <si>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</si>
  <si>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</si>
  <si>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</si>
  <si>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</si>
  <si>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</si>
  <si>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</si>
  <si>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</si>
  <si>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</si>
  <si>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</si>
  <si>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</si>
  <si>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</si>
  <si>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</si>
  <si>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</si>
  <si>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</si>
  <si>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</si>
  <si>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</si>
  <si>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</si>
  <si>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</si>
  <si>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</si>
  <si>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</si>
  <si>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</si>
  <si>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</si>
  <si>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</si>
  <si>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</si>
  <si>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</si>
  <si>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</si>
  <si>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</si>
  <si>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</si>
  <si>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</si>
  <si>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</si>
  <si>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</si>
  <si>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</si>
  <si>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</si>
  <si>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</si>
  <si>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</si>
  <si>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</si>
  <si>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</si>
  <si>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</si>
  <si>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</si>
  <si>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</si>
  <si>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</si>
  <si>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</si>
  <si>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</si>
  <si>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</si>
  <si>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</si>
  <si>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</si>
  <si>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</si>
  <si>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</si>
  <si>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</si>
  <si>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</si>
  <si>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</si>
  <si>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</si>
  <si>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</si>
  <si>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</si>
  <si>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</si>
  <si>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</si>
  <si>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</si>
  <si>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</si>
  <si>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</si>
  <si>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</si>
  <si>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</si>
  <si>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</si>
  <si>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</si>
  <si>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</si>
  <si>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</si>
  <si>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</si>
  <si>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</si>
  <si>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</si>
  <si>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</si>
  <si>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</si>
  <si>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</si>
  <si>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</si>
  <si>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</si>
  <si>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</si>
  <si>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</si>
  <si>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</si>
  <si>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</si>
  <si>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</si>
  <si>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</si>
  <si>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</si>
  <si>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</si>
  <si>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</si>
  <si>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</si>
  <si>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</si>
  <si>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</si>
  <si>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</si>
  <si>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</si>
  <si>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</si>
  <si>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</si>
  <si>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</si>
  <si>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</si>
  <si>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</si>
  <si>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</si>
  <si>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</si>
  <si>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</si>
  <si>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</si>
  <si>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</si>
  <si>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</si>
  <si>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</si>
  <si>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</si>
  <si>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</si>
  <si>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</si>
  <si>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</si>
  <si>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</si>
  <si>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</si>
  <si>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</si>
  <si>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</si>
  <si>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</si>
  <si>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</si>
  <si>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</si>
  <si>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</si>
  <si>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</si>
  <si>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</si>
  <si>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</si>
  <si>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</si>
  <si>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</si>
  <si>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</si>
  <si>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</si>
  <si>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</si>
  <si>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</si>
  <si>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</si>
  <si>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</si>
  <si>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</si>
  <si>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</si>
  <si>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</si>
  <si>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</si>
  <si>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</si>
  <si>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</si>
  <si>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</si>
  <si>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</si>
  <si>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</si>
  <si>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</si>
  <si>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</si>
  <si>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</si>
  <si>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</si>
  <si>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</si>
  <si>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</si>
  <si>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</si>
  <si>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</si>
  <si>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</si>
  <si>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</si>
  <si>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</si>
  <si>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</si>
  <si>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</si>
  <si>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</si>
  <si>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</si>
  <si>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</si>
  <si>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</si>
  <si>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</si>
  <si>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</si>
  <si>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</si>
  <si>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</si>
  <si>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</si>
  <si>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</si>
  <si>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</si>
  <si>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</si>
  <si>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</si>
  <si>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</si>
  <si>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</si>
  <si>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</si>
  <si>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</si>
  <si>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</si>
  <si>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</si>
  <si>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</si>
  <si>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</si>
  <si>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</si>
  <si>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</si>
  <si>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</si>
  <si>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</si>
  <si>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</si>
  <si>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</si>
  <si>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</si>
  <si>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</si>
  <si>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</si>
  <si>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</si>
  <si>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</si>
  <si>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</si>
  <si>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</si>
  <si>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</si>
  <si>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</si>
  <si>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</si>
  <si>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</si>
  <si>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</si>
  <si>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</si>
  <si>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</si>
  <si>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</si>
  <si>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</si>
  <si>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</si>
  <si>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</si>
  <si>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</si>
  <si>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</si>
  <si>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</si>
  <si>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</si>
  <si>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</si>
  <si>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</si>
  <si>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</si>
  <si>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</si>
  <si>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</si>
  <si>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</si>
  <si>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</si>
  <si>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</si>
  <si>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</si>
  <si>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</si>
  <si>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</si>
  <si>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</si>
  <si>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</si>
  <si>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</si>
  <si>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</si>
  <si>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</si>
  <si>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</si>
  <si>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</si>
  <si>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</si>
  <si>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</si>
  <si>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</si>
  <si>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</si>
  <si>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</si>
  <si>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</si>
  <si>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</si>
  <si>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</si>
  <si>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</si>
  <si>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</si>
  <si>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</si>
  <si>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</si>
  <si>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</si>
  <si>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</si>
  <si>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</si>
  <si>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</si>
  <si>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</si>
  <si>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</si>
  <si>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</si>
  <si>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</si>
  <si>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</si>
  <si>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</si>
  <si>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</si>
  <si>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</si>
  <si>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</si>
  <si>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</si>
  <si>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</si>
  <si>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</si>
  <si>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</si>
  <si>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</si>
  <si>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</si>
  <si>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</si>
  <si>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</si>
  <si>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</si>
  <si>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</si>
  <si>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</si>
  <si>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</si>
  <si>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</si>
  <si>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</si>
  <si>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</si>
  <si>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</si>
  <si>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</si>
  <si>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</si>
  <si>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</si>
  <si>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</si>
  <si>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</si>
  <si>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</si>
  <si>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</si>
  <si>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</si>
  <si>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</si>
  <si>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</si>
  <si>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</si>
  <si>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</si>
  <si>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</si>
  <si>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</si>
  <si>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</si>
  <si>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</si>
  <si>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</si>
  <si>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</si>
  <si>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</si>
  <si>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</si>
  <si>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</si>
  <si>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</si>
  <si>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</si>
  <si>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</si>
  <si>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</si>
  <si>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</si>
  <si>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</si>
  <si>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</si>
  <si>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</si>
  <si>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</si>
  <si>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</si>
  <si>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</si>
  <si>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</si>
  <si>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</si>
  <si>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</si>
  <si>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</si>
  <si>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</si>
  <si>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</si>
  <si>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</si>
  <si>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</si>
  <si>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</si>
  <si>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</si>
  <si>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</si>
  <si>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</si>
  <si>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</si>
  <si>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</si>
  <si>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</si>
  <si>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</si>
  <si>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</si>
  <si>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</si>
  <si>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</si>
  <si>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</si>
  <si>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</si>
  <si>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</si>
  <si>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</si>
  <si>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</si>
  <si>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</si>
  <si>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</si>
  <si>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</si>
  <si>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</si>
  <si>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</si>
  <si>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</si>
  <si>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</si>
  <si>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</si>
  <si>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</si>
  <si>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</si>
  <si>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</si>
  <si>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</si>
  <si>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</si>
  <si>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</si>
  <si>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</si>
  <si>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</si>
  <si>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</si>
  <si>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</si>
  <si>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</si>
  <si>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</si>
  <si>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</si>
  <si>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</si>
  <si>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</si>
  <si>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</si>
  <si>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</si>
  <si>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</si>
  <si>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</si>
  <si>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</si>
  <si>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</si>
  <si>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</si>
  <si>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</si>
  <si>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</si>
  <si>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</si>
  <si>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</si>
  <si>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</si>
  <si>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</si>
  <si>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</si>
  <si>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</si>
  <si>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</si>
  <si>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</si>
  <si>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</si>
  <si>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</si>
  <si>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</si>
  <si>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</si>
  <si>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</si>
  <si>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</si>
  <si>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</si>
  <si>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</si>
  <si>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</si>
  <si>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</si>
  <si>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</si>
  <si>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</si>
  <si>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</si>
  <si>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</si>
  <si>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</si>
  <si>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</si>
  <si>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</si>
  <si>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</si>
  <si>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</si>
  <si>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</si>
  <si>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</si>
  <si>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</si>
  <si>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</si>
  <si>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</si>
  <si>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</si>
  <si>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</si>
  <si>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</si>
  <si>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</si>
  <si>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</si>
  <si>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</si>
  <si>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</si>
  <si>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</si>
  <si>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</si>
  <si>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</si>
  <si>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</si>
  <si>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</si>
  <si>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</si>
  <si>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</si>
  <si>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</si>
  <si>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</si>
  <si>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</si>
  <si>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</si>
  <si>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</si>
  <si>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</si>
  <si>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</si>
  <si>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</si>
  <si>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</si>
  <si>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</si>
  <si>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</si>
  <si>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</si>
  <si>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</si>
  <si>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</si>
  <si>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</si>
  <si>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</si>
  <si>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</si>
  <si>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</si>
  <si>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</si>
  <si>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</si>
  <si>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</si>
  <si>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</si>
  <si>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</si>
  <si>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</si>
  <si>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</si>
  <si>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</si>
  <si>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</si>
  <si>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</si>
  <si>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</si>
  <si>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</si>
  <si>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</si>
  <si>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</si>
  <si>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</si>
  <si>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</si>
  <si>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</si>
  <si>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</si>
  <si>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</si>
  <si>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</si>
  <si>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</si>
  <si>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</si>
  <si>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</si>
  <si>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</si>
  <si>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</si>
  <si>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</si>
  <si>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</si>
  <si>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</si>
  <si>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</si>
  <si>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</si>
  <si>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</si>
  <si>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</si>
  <si>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</si>
  <si>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</si>
  <si>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</si>
  <si>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</si>
  <si>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</si>
  <si>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</si>
  <si>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</si>
  <si>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</si>
  <si>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</si>
  <si>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</si>
  <si>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</si>
  <si>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</si>
  <si>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</si>
  <si>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</si>
  <si>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</si>
  <si>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</si>
  <si>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</si>
  <si>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</si>
  <si>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</si>
  <si>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</si>
  <si>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</si>
  <si>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</si>
  <si>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</si>
  <si>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</si>
  <si>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</si>
  <si>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</si>
  <si>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</si>
  <si>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</si>
  <si>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</si>
  <si>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</si>
  <si>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</si>
  <si>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</si>
  <si>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</si>
  <si>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</si>
  <si>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</si>
  <si>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</si>
  <si>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</si>
  <si>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</si>
  <si>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</si>
  <si>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</si>
  <si>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</si>
  <si>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</si>
  <si>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</si>
  <si>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</si>
  <si>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</si>
  <si>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</si>
  <si>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</si>
  <si>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</si>
  <si>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</si>
  <si>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</si>
  <si>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</si>
  <si>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</si>
  <si>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</si>
  <si>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</si>
  <si>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</si>
  <si>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</si>
  <si>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</si>
  <si>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</si>
  <si>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</si>
  <si>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</si>
  <si>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</si>
  <si>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</si>
  <si>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</si>
  <si>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</si>
  <si>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</si>
  <si>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</si>
  <si>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</si>
  <si>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</si>
  <si>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</si>
  <si>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</si>
  <si>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</si>
  <si>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</si>
  <si>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</si>
  <si>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</si>
  <si>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</si>
  <si>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</si>
  <si>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</si>
  <si>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</si>
  <si>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</si>
  <si>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</si>
  <si>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</si>
  <si>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</si>
  <si>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</si>
  <si>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</si>
  <si>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</si>
  <si>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</si>
  <si>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</si>
  <si>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</si>
  <si>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</si>
  <si>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</si>
  <si>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</si>
  <si>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</si>
  <si>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</si>
  <si>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</si>
  <si>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</si>
  <si>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</si>
  <si>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</si>
  <si>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</si>
  <si>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</si>
  <si>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</si>
  <si>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</si>
  <si>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</si>
  <si>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</si>
  <si>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</si>
  <si>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</si>
  <si>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</si>
  <si>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</si>
  <si>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</si>
  <si>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</si>
  <si>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</si>
  <si>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</si>
  <si>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</si>
  <si>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</si>
  <si>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</si>
  <si>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</si>
  <si>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</si>
  <si>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</si>
  <si>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</si>
  <si>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</si>
  <si>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</si>
  <si>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</si>
  <si>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</si>
  <si>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</si>
  <si>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</si>
  <si>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</si>
  <si>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</si>
  <si>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</si>
  <si>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</si>
  <si>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</si>
  <si>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</si>
  <si>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</si>
  <si>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</si>
  <si>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</si>
  <si>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</si>
  <si>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</si>
  <si>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</si>
  <si>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</si>
  <si>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</si>
  <si>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</si>
  <si>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</si>
  <si>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</si>
  <si>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</si>
  <si>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</si>
  <si>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</si>
  <si>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</si>
  <si>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</si>
  <si>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</si>
  <si>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</si>
  <si>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</si>
  <si>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</si>
  <si>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</si>
  <si>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</si>
  <si>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</si>
  <si>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</si>
  <si>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</si>
  <si>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</si>
  <si>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</si>
  <si>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</si>
  <si>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</si>
  <si>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</si>
  <si>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</si>
  <si>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</si>
  <si>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</si>
  <si>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</si>
  <si>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</si>
  <si>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</si>
  <si>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</si>
  <si>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</si>
  <si>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</si>
  <si>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</si>
  <si>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</si>
  <si>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</si>
  <si>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</si>
  <si>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</si>
  <si>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</si>
  <si>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</si>
  <si>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</si>
  <si>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</si>
  <si>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</si>
  <si>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</si>
  <si>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</si>
  <si>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</si>
  <si>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</si>
  <si>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</si>
  <si>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</si>
  <si>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</si>
  <si>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</si>
  <si>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</si>
  <si>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</si>
  <si>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</si>
  <si>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</si>
  <si>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</si>
  <si>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</si>
  <si>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</si>
  <si>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</si>
  <si>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</si>
  <si>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</si>
  <si>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</si>
  <si>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</si>
  <si>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</si>
  <si>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</si>
  <si>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</si>
  <si>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</si>
  <si>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</si>
  <si>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</si>
  <si>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</si>
  <si>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</si>
  <si>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</si>
  <si>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</si>
  <si>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</si>
  <si>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</si>
  <si>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</si>
  <si>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</si>
  <si>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</si>
  <si>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</si>
  <si>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</si>
  <si>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</si>
  <si>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</si>
  <si>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</si>
  <si>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</si>
  <si>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</si>
  <si>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</si>
  <si>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</si>
  <si>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</si>
  <si>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</si>
  <si>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</si>
  <si>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</si>
  <si>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</si>
  <si>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</si>
  <si>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</si>
  <si>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</si>
  <si>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</si>
  <si>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</si>
  <si>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</si>
  <si>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</si>
  <si>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</si>
  <si>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</si>
  <si>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</si>
  <si>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</si>
  <si>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</si>
  <si>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</si>
  <si>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</si>
  <si>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</si>
  <si>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</si>
  <si>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</si>
  <si>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</si>
  <si>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</si>
  <si>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</si>
  <si>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</si>
  <si>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</si>
  <si>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</si>
  <si>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</si>
  <si>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</si>
  <si>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</si>
  <si>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</si>
  <si>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</si>
  <si>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</si>
  <si>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</si>
  <si>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</si>
  <si>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</si>
  <si>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</si>
  <si>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</si>
  <si>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</si>
  <si>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</si>
  <si>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</si>
  <si>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</si>
  <si>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</si>
  <si>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</si>
  <si>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</si>
  <si>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</si>
  <si>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</si>
  <si>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</si>
  <si>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</si>
  <si>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</si>
  <si>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</si>
  <si>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</si>
  <si>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</si>
  <si>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</si>
  <si>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</si>
  <si>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</si>
  <si>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</si>
  <si>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</si>
  <si>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</si>
  <si>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</si>
  <si>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</si>
  <si>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</si>
  <si>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</si>
  <si>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</si>
  <si>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</si>
  <si>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</si>
  <si>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</si>
  <si>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</si>
  <si>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</si>
  <si>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</si>
  <si>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</si>
  <si>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</si>
  <si>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</si>
  <si>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</si>
  <si>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</si>
  <si>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</si>
  <si>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</si>
  <si>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</si>
  <si>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</si>
  <si>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</si>
  <si>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</si>
  <si>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</si>
  <si>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</si>
  <si>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</si>
  <si>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</si>
  <si>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</si>
  <si>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</si>
  <si>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</si>
  <si>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</si>
  <si>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</si>
  <si>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</si>
  <si>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</si>
  <si>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</si>
  <si>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</si>
  <si>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</si>
  <si>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</si>
  <si>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</si>
  <si>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</si>
  <si>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</si>
  <si>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</si>
  <si>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</si>
  <si>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</si>
  <si>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</si>
  <si>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</si>
  <si>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</si>
  <si>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</si>
  <si>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</si>
  <si>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</si>
  <si>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</si>
  <si>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</si>
  <si>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</si>
  <si>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</si>
  <si>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</si>
  <si>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34043</t>
  </si>
  <si>
    <t>SPIERE-HELKIJN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</si>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</sst>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18090.237897677704</c:v>
                </c:pt>
                <c:pt idx="1">
                  <c:v>4201.781662760658</c:v>
                </c:pt>
                <c:pt idx="2">
                  <c:v>197.02600000000001</c:v>
                </c:pt>
                <c:pt idx="3">
                  <c:v>1134.526478167493</c:v>
                </c:pt>
                <c:pt idx="4">
                  <c:v>17739.514883104937</c:v>
                </c:pt>
                <c:pt idx="5">
                  <c:v>22955.769579499807</c:v>
                </c:pt>
                <c:pt idx="6">
                  <c:v>264.6710515728945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18090.237897677704</c:v>
                </c:pt>
                <c:pt idx="1">
                  <c:v>4201.781662760658</c:v>
                </c:pt>
                <c:pt idx="2">
                  <c:v>197.02600000000001</c:v>
                </c:pt>
                <c:pt idx="3">
                  <c:v>1134.526478167493</c:v>
                </c:pt>
                <c:pt idx="4">
                  <c:v>17739.514883104937</c:v>
                </c:pt>
                <c:pt idx="5">
                  <c:v>22955.769579499807</c:v>
                </c:pt>
                <c:pt idx="6">
                  <c:v>264.6710515728945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3501.1938982999764</c:v>
                </c:pt>
                <c:pt idx="1">
                  <c:v>825.11572136500388</c:v>
                </c:pt>
                <c:pt idx="2">
                  <c:v>41.768932183851064</c:v>
                </c:pt>
                <c:pt idx="3">
                  <c:v>295.35270589742788</c:v>
                </c:pt>
                <c:pt idx="4">
                  <c:v>3789.3297548960431</c:v>
                </c:pt>
                <c:pt idx="5">
                  <c:v>5710.1606381331449</c:v>
                </c:pt>
                <c:pt idx="6">
                  <c:v>66.94628864014372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3501.1938982999764</c:v>
                </c:pt>
                <c:pt idx="1">
                  <c:v>825.11572136500388</c:v>
                </c:pt>
                <c:pt idx="2">
                  <c:v>41.768932183851064</c:v>
                </c:pt>
                <c:pt idx="3">
                  <c:v>295.35270589742788</c:v>
                </c:pt>
                <c:pt idx="4">
                  <c:v>3789.3297548960431</c:v>
                </c:pt>
                <c:pt idx="5">
                  <c:v>5710.1606381331449</c:v>
                </c:pt>
                <c:pt idx="6">
                  <c:v>66.94628864014372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34043</v>
      </c>
      <c r="B6" s="415"/>
      <c r="C6" s="416"/>
    </row>
    <row r="7" spans="1:7" s="413" customFormat="1" ht="15.75" customHeight="1">
      <c r="A7" s="417" t="str">
        <f>txtMunicipality</f>
        <v>SPIERE-HELKIJN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0.2119970571592128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0.2119970571592128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889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777.1</v>
      </c>
    </row>
    <row r="15" spans="1:6">
      <c r="A15" s="348" t="s">
        <v>183</v>
      </c>
      <c r="B15" s="334">
        <v>2</v>
      </c>
    </row>
    <row r="16" spans="1:6">
      <c r="A16" s="348" t="s">
        <v>6</v>
      </c>
      <c r="B16" s="334">
        <v>0</v>
      </c>
    </row>
    <row r="17" spans="1:6">
      <c r="A17" s="348" t="s">
        <v>7</v>
      </c>
      <c r="B17" s="334">
        <v>181</v>
      </c>
    </row>
    <row r="18" spans="1:6">
      <c r="A18" s="348" t="s">
        <v>8</v>
      </c>
      <c r="B18" s="334">
        <v>156</v>
      </c>
    </row>
    <row r="19" spans="1:6">
      <c r="A19" s="348" t="s">
        <v>9</v>
      </c>
      <c r="B19" s="334">
        <v>113</v>
      </c>
    </row>
    <row r="20" spans="1:6">
      <c r="A20" s="348" t="s">
        <v>10</v>
      </c>
      <c r="B20" s="334">
        <v>65</v>
      </c>
    </row>
    <row r="21" spans="1:6">
      <c r="A21" s="348" t="s">
        <v>11</v>
      </c>
      <c r="B21" s="334">
        <v>393</v>
      </c>
    </row>
    <row r="22" spans="1:6">
      <c r="A22" s="348" t="s">
        <v>12</v>
      </c>
      <c r="B22" s="334">
        <v>1212</v>
      </c>
    </row>
    <row r="23" spans="1:6">
      <c r="A23" s="348" t="s">
        <v>13</v>
      </c>
      <c r="B23" s="334">
        <v>18</v>
      </c>
    </row>
    <row r="24" spans="1:6">
      <c r="A24" s="348" t="s">
        <v>14</v>
      </c>
      <c r="B24" s="334">
        <v>5</v>
      </c>
    </row>
    <row r="25" spans="1:6">
      <c r="A25" s="348" t="s">
        <v>15</v>
      </c>
      <c r="B25" s="334">
        <v>162</v>
      </c>
    </row>
    <row r="26" spans="1:6">
      <c r="A26" s="348" t="s">
        <v>16</v>
      </c>
      <c r="B26" s="334">
        <v>45</v>
      </c>
    </row>
    <row r="27" spans="1:6">
      <c r="A27" s="348" t="s">
        <v>17</v>
      </c>
      <c r="B27" s="334">
        <v>0</v>
      </c>
    </row>
    <row r="28" spans="1:6" s="356" customFormat="1">
      <c r="A28" s="355" t="s">
        <v>18</v>
      </c>
      <c r="B28" s="355">
        <v>0</v>
      </c>
    </row>
    <row r="29" spans="1:6">
      <c r="A29" s="355" t="s">
        <v>713</v>
      </c>
      <c r="B29" s="355">
        <v>42</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0</v>
      </c>
      <c r="E38" s="334">
        <v>1</v>
      </c>
      <c r="F38" s="334">
        <v>2100.6709999999998</v>
      </c>
    </row>
    <row r="39" spans="1:6">
      <c r="A39" s="348" t="s">
        <v>29</v>
      </c>
      <c r="B39" s="348" t="s">
        <v>30</v>
      </c>
      <c r="C39" s="334">
        <v>444</v>
      </c>
      <c r="D39" s="334">
        <v>6268783.5810000002</v>
      </c>
      <c r="E39" s="334">
        <v>835</v>
      </c>
      <c r="F39" s="334">
        <v>3261939.227</v>
      </c>
    </row>
    <row r="40" spans="1:6">
      <c r="A40" s="348" t="s">
        <v>29</v>
      </c>
      <c r="B40" s="348" t="s">
        <v>28</v>
      </c>
      <c r="C40" s="334">
        <v>0</v>
      </c>
      <c r="D40" s="334">
        <v>0</v>
      </c>
      <c r="E40" s="334">
        <v>0</v>
      </c>
      <c r="F40" s="334">
        <v>0</v>
      </c>
    </row>
    <row r="41" spans="1:6">
      <c r="A41" s="348" t="s">
        <v>31</v>
      </c>
      <c r="B41" s="348" t="s">
        <v>32</v>
      </c>
      <c r="C41" s="334">
        <v>3</v>
      </c>
      <c r="D41" s="334">
        <v>17547.800999999999</v>
      </c>
      <c r="E41" s="334">
        <v>11</v>
      </c>
      <c r="F41" s="334">
        <v>87390.888000000006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4</v>
      </c>
      <c r="F45" s="334">
        <v>413682.94699999999</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498617.74900000001</v>
      </c>
      <c r="E48" s="334">
        <v>22</v>
      </c>
      <c r="F48" s="334">
        <v>12793376.970000001</v>
      </c>
    </row>
    <row r="49" spans="1:6">
      <c r="A49" s="348" t="s">
        <v>31</v>
      </c>
      <c r="B49" s="348" t="s">
        <v>39</v>
      </c>
      <c r="C49" s="334">
        <v>0</v>
      </c>
      <c r="D49" s="334">
        <v>0</v>
      </c>
      <c r="E49" s="334">
        <v>3</v>
      </c>
      <c r="F49" s="334">
        <v>46922.637000000002</v>
      </c>
    </row>
    <row r="50" spans="1:6">
      <c r="A50" s="348" t="s">
        <v>31</v>
      </c>
      <c r="B50" s="348" t="s">
        <v>40</v>
      </c>
      <c r="C50" s="334">
        <v>0</v>
      </c>
      <c r="D50" s="334">
        <v>0</v>
      </c>
      <c r="E50" s="334">
        <v>3</v>
      </c>
      <c r="F50" s="334">
        <v>54560.932999999997</v>
      </c>
    </row>
    <row r="51" spans="1:6">
      <c r="A51" s="348" t="s">
        <v>41</v>
      </c>
      <c r="B51" s="348" t="s">
        <v>42</v>
      </c>
      <c r="C51" s="334">
        <v>0</v>
      </c>
      <c r="D51" s="334">
        <v>0</v>
      </c>
      <c r="E51" s="334">
        <v>13</v>
      </c>
      <c r="F51" s="334">
        <v>143773.08900000001</v>
      </c>
    </row>
    <row r="52" spans="1:6">
      <c r="A52" s="348" t="s">
        <v>41</v>
      </c>
      <c r="B52" s="348" t="s">
        <v>28</v>
      </c>
      <c r="C52" s="334">
        <v>0</v>
      </c>
      <c r="D52" s="334">
        <v>0</v>
      </c>
      <c r="E52" s="334">
        <v>7</v>
      </c>
      <c r="F52" s="334">
        <v>90593.144</v>
      </c>
    </row>
    <row r="53" spans="1:6">
      <c r="A53" s="348" t="s">
        <v>43</v>
      </c>
      <c r="B53" s="348" t="s">
        <v>44</v>
      </c>
      <c r="C53" s="334">
        <v>12</v>
      </c>
      <c r="D53" s="334">
        <v>363845.95400000003</v>
      </c>
      <c r="E53" s="334">
        <v>37</v>
      </c>
      <c r="F53" s="334">
        <v>121346.23299999999</v>
      </c>
    </row>
    <row r="54" spans="1:6">
      <c r="A54" s="348" t="s">
        <v>45</v>
      </c>
      <c r="B54" s="348" t="s">
        <v>46</v>
      </c>
      <c r="C54" s="334">
        <v>0</v>
      </c>
      <c r="D54" s="334">
        <v>0</v>
      </c>
      <c r="E54" s="334">
        <v>1</v>
      </c>
      <c r="F54" s="334">
        <v>197026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21</v>
      </c>
      <c r="F57" s="334">
        <v>361961.77100000001</v>
      </c>
    </row>
    <row r="58" spans="1:6">
      <c r="A58" s="348" t="s">
        <v>48</v>
      </c>
      <c r="B58" s="348" t="s">
        <v>50</v>
      </c>
      <c r="C58" s="334">
        <v>0</v>
      </c>
      <c r="D58" s="334">
        <v>0</v>
      </c>
      <c r="E58" s="334">
        <v>0</v>
      </c>
      <c r="F58" s="334">
        <v>0</v>
      </c>
    </row>
    <row r="59" spans="1:6">
      <c r="A59" s="348" t="s">
        <v>48</v>
      </c>
      <c r="B59" s="348" t="s">
        <v>51</v>
      </c>
      <c r="C59" s="334">
        <v>3</v>
      </c>
      <c r="D59" s="334">
        <v>47652.118999999999</v>
      </c>
      <c r="E59" s="334">
        <v>20</v>
      </c>
      <c r="F59" s="334">
        <v>543870.76599999995</v>
      </c>
    </row>
    <row r="60" spans="1:6">
      <c r="A60" s="348" t="s">
        <v>48</v>
      </c>
      <c r="B60" s="348" t="s">
        <v>52</v>
      </c>
      <c r="C60" s="334">
        <v>4</v>
      </c>
      <c r="D60" s="334">
        <v>176636.185</v>
      </c>
      <c r="E60" s="334">
        <v>12</v>
      </c>
      <c r="F60" s="334">
        <v>158157.83900000001</v>
      </c>
    </row>
    <row r="61" spans="1:6">
      <c r="A61" s="348" t="s">
        <v>48</v>
      </c>
      <c r="B61" s="348" t="s">
        <v>53</v>
      </c>
      <c r="C61" s="334">
        <v>5</v>
      </c>
      <c r="D61" s="334">
        <v>127260.549</v>
      </c>
      <c r="E61" s="334">
        <v>16</v>
      </c>
      <c r="F61" s="334">
        <v>93698.683000000005</v>
      </c>
    </row>
    <row r="62" spans="1:6">
      <c r="A62" s="348" t="s">
        <v>48</v>
      </c>
      <c r="B62" s="348" t="s">
        <v>54</v>
      </c>
      <c r="C62" s="334">
        <v>0</v>
      </c>
      <c r="D62" s="334">
        <v>0</v>
      </c>
      <c r="E62" s="334">
        <v>3</v>
      </c>
      <c r="F62" s="334">
        <v>65751.28</v>
      </c>
    </row>
    <row r="63" spans="1:6">
      <c r="A63" s="348" t="s">
        <v>48</v>
      </c>
      <c r="B63" s="348" t="s">
        <v>28</v>
      </c>
      <c r="C63" s="334">
        <v>21</v>
      </c>
      <c r="D63" s="334">
        <v>1119669.2</v>
      </c>
      <c r="E63" s="334">
        <v>48</v>
      </c>
      <c r="F63" s="334">
        <v>1034997.245</v>
      </c>
    </row>
    <row r="64" spans="1:6">
      <c r="A64" s="348" t="s">
        <v>55</v>
      </c>
      <c r="B64" s="348" t="s">
        <v>56</v>
      </c>
      <c r="C64" s="334">
        <v>0</v>
      </c>
      <c r="D64" s="334">
        <v>0</v>
      </c>
      <c r="E64" s="334">
        <v>0</v>
      </c>
      <c r="F64" s="334">
        <v>0</v>
      </c>
    </row>
    <row r="65" spans="1:6">
      <c r="A65" s="348" t="s">
        <v>55</v>
      </c>
      <c r="B65" s="348" t="s">
        <v>28</v>
      </c>
      <c r="C65" s="334">
        <v>1</v>
      </c>
      <c r="D65" s="334">
        <v>39657.057999999997</v>
      </c>
      <c r="E65" s="334">
        <v>2</v>
      </c>
      <c r="F65" s="334">
        <v>52741.870999999999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36376.625999999997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26450413</v>
      </c>
      <c r="E73" s="476"/>
    </row>
    <row r="74" spans="1:6">
      <c r="A74" s="348" t="s">
        <v>63</v>
      </c>
      <c r="B74" s="348" t="s">
        <v>651</v>
      </c>
      <c r="C74" s="1307" t="s">
        <v>653</v>
      </c>
      <c r="D74" s="476">
        <v>2329429.5</v>
      </c>
      <c r="E74" s="476"/>
    </row>
    <row r="75" spans="1:6">
      <c r="A75" s="348" t="s">
        <v>64</v>
      </c>
      <c r="B75" s="348" t="s">
        <v>650</v>
      </c>
      <c r="C75" s="1307" t="s">
        <v>654</v>
      </c>
      <c r="D75" s="476">
        <v>1097910</v>
      </c>
      <c r="E75" s="476"/>
    </row>
    <row r="76" spans="1:6">
      <c r="A76" s="348" t="s">
        <v>64</v>
      </c>
      <c r="B76" s="348" t="s">
        <v>651</v>
      </c>
      <c r="C76" s="1307" t="s">
        <v>655</v>
      </c>
      <c r="D76" s="476">
        <v>12305.5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73529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325.36021451833028</v>
      </c>
    </row>
    <row r="92" spans="1:6">
      <c r="A92" s="341" t="s">
        <v>68</v>
      </c>
      <c r="B92" s="342">
        <v>481.61999837639178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110</v>
      </c>
    </row>
    <row r="98" spans="1:6">
      <c r="A98" s="348" t="s">
        <v>71</v>
      </c>
      <c r="B98" s="334">
        <v>0</v>
      </c>
    </row>
    <row r="99" spans="1:6">
      <c r="A99" s="348" t="s">
        <v>72</v>
      </c>
      <c r="B99" s="334">
        <v>20</v>
      </c>
    </row>
    <row r="100" spans="1:6">
      <c r="A100" s="348" t="s">
        <v>73</v>
      </c>
      <c r="B100" s="334">
        <v>71</v>
      </c>
    </row>
    <row r="101" spans="1:6">
      <c r="A101" s="348" t="s">
        <v>74</v>
      </c>
      <c r="B101" s="334">
        <v>18</v>
      </c>
    </row>
    <row r="102" spans="1:6">
      <c r="A102" s="348" t="s">
        <v>75</v>
      </c>
      <c r="B102" s="334">
        <v>11</v>
      </c>
    </row>
    <row r="103" spans="1:6">
      <c r="A103" s="348" t="s">
        <v>76</v>
      </c>
      <c r="B103" s="334">
        <v>62</v>
      </c>
    </row>
    <row r="104" spans="1:6">
      <c r="A104" s="348" t="s">
        <v>77</v>
      </c>
      <c r="B104" s="334">
        <v>463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v>
      </c>
      <c r="C123" s="334">
        <v>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v>
      </c>
    </row>
    <row r="130" spans="1:6">
      <c r="A130" s="348" t="s">
        <v>294</v>
      </c>
      <c r="B130" s="334">
        <v>0</v>
      </c>
    </row>
    <row r="131" spans="1:6">
      <c r="A131" s="348" t="s">
        <v>295</v>
      </c>
      <c r="B131" s="334">
        <v>0</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19809.370136369718</v>
      </c>
      <c r="C3" s="43" t="s">
        <v>169</v>
      </c>
      <c r="D3" s="43"/>
      <c r="E3" s="154"/>
      <c r="F3" s="43"/>
      <c r="G3" s="43"/>
      <c r="H3" s="43"/>
      <c r="I3" s="43"/>
      <c r="J3" s="43"/>
      <c r="K3" s="96"/>
    </row>
    <row r="4" spans="1:11">
      <c r="A4" s="383" t="s">
        <v>170</v>
      </c>
      <c r="B4" s="49">
        <f>IF(ISERROR('SEAP template'!B78+'SEAP template'!C78),0,'SEAP template'!B78+'SEAP template'!C78)</f>
        <v>806.98021289472206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0.2119970571592128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197.02600000000001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197.02600000000001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0.2119970571592128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41.768932183851064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3261.9392269999998</v>
      </c>
      <c r="C5" s="17">
        <f>IF(ISERROR('Eigen informatie GS &amp; warmtenet'!B59),0,'Eigen informatie GS &amp; warmtenet'!B59)</f>
        <v>0</v>
      </c>
      <c r="D5" s="30">
        <f>(SUM(HH_hh_gas_kWh,HH_rest_gas_kWh)/1000)*0.902</f>
        <v>5654.4427900620003</v>
      </c>
      <c r="E5" s="17">
        <f>B46*B57</f>
        <v>1761.0427400028975</v>
      </c>
      <c r="F5" s="17">
        <f>B51*B62</f>
        <v>3376.6236061551003</v>
      </c>
      <c r="G5" s="18"/>
      <c r="H5" s="17"/>
      <c r="I5" s="17"/>
      <c r="J5" s="17">
        <f>B50*B61+C50*C61</f>
        <v>839.50374331245473</v>
      </c>
      <c r="K5" s="17"/>
      <c r="L5" s="17"/>
      <c r="M5" s="17"/>
      <c r="N5" s="17">
        <f>B48*B59+C48*C59</f>
        <v>2742.7926531281728</v>
      </c>
      <c r="O5" s="17">
        <f>B69*B70*B71</f>
        <v>33.727289729579546</v>
      </c>
      <c r="P5" s="17">
        <f>B77*B78*B79/1000-B77*B78*B79/1000/B80</f>
        <v>94.805633769165212</v>
      </c>
    </row>
    <row r="6" spans="1:16">
      <c r="A6" s="16" t="s">
        <v>615</v>
      </c>
      <c r="B6" s="809">
        <f>kWh_PV_kleiner_dan_10kW</f>
        <v>325.36021451833028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3587.2994415183302</v>
      </c>
      <c r="C8" s="21">
        <f>C5</f>
        <v>0</v>
      </c>
      <c r="D8" s="21">
        <f>D5</f>
        <v>5654.4427900620003</v>
      </c>
      <c r="E8" s="21">
        <f>E5</f>
        <v>1761.0427400028975</v>
      </c>
      <c r="F8" s="21">
        <f>F5</f>
        <v>3376.6236061551003</v>
      </c>
      <c r="G8" s="21"/>
      <c r="H8" s="21"/>
      <c r="I8" s="21"/>
      <c r="J8" s="21">
        <f>J5</f>
        <v>839.50374331245473</v>
      </c>
      <c r="K8" s="21"/>
      <c r="L8" s="21">
        <f>L5</f>
        <v>0</v>
      </c>
      <c r="M8" s="21">
        <f>M5</f>
        <v>0</v>
      </c>
      <c r="N8" s="21">
        <f>N5</f>
        <v>2742.7926531281728</v>
      </c>
      <c r="O8" s="21">
        <f>O5</f>
        <v>33.727289729579546</v>
      </c>
      <c r="P8" s="21">
        <f>P5</f>
        <v>94.805633769165212</v>
      </c>
    </row>
    <row r="9" spans="1:16">
      <c r="B9" s="19"/>
      <c r="C9" s="19"/>
      <c r="D9" s="258"/>
      <c r="E9" s="19"/>
      <c r="F9" s="19"/>
      <c r="G9" s="19"/>
      <c r="H9" s="19"/>
      <c r="I9" s="19"/>
      <c r="J9" s="19"/>
      <c r="K9" s="19"/>
      <c r="L9" s="19"/>
      <c r="M9" s="19"/>
      <c r="N9" s="19"/>
      <c r="O9" s="19"/>
      <c r="P9" s="19"/>
    </row>
    <row r="10" spans="1:16">
      <c r="A10" s="24" t="s">
        <v>213</v>
      </c>
      <c r="B10" s="25">
        <f ca="1">'EF ele_warmte'!B12</f>
        <v>0.2119970571592128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760.49692475077359</v>
      </c>
      <c r="C12" s="23">
        <f ca="1">C10*C8</f>
        <v>0</v>
      </c>
      <c r="D12" s="23">
        <f>D8*D10</f>
        <v>1142.1974435925242</v>
      </c>
      <c r="E12" s="23">
        <f>E10*E8</f>
        <v>399.75670198065774</v>
      </c>
      <c r="F12" s="23">
        <f>F10*F8</f>
        <v>901.55850284341182</v>
      </c>
      <c r="G12" s="23"/>
      <c r="H12" s="23"/>
      <c r="I12" s="23"/>
      <c r="J12" s="23">
        <f>J10*J8</f>
        <v>297.18432513260893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889</v>
      </c>
      <c r="C28" s="36"/>
      <c r="D28" s="228"/>
    </row>
    <row r="29" spans="1:7" s="15" customFormat="1">
      <c r="A29" s="230" t="s">
        <v>837</v>
      </c>
      <c r="B29" s="37">
        <f>SUM(HH_hh_gas_aantal,HH_rest_gas_aantal)</f>
        <v>444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444</v>
      </c>
      <c r="C32" s="167">
        <f>IF(ISERROR(B32/SUM($B$32,$B$34,$B$35,$B$36,$B$38,$B$39)*100),0,B32/SUM($B$32,$B$34,$B$35,$B$36,$B$38,$B$39)*100)</f>
        <v>50.454545454545453</v>
      </c>
      <c r="D32" s="233"/>
      <c r="G32" s="15"/>
    </row>
    <row r="33" spans="1:7">
      <c r="A33" s="171" t="s">
        <v>71</v>
      </c>
      <c r="B33" s="34" t="s">
        <v>110</v>
      </c>
      <c r="C33" s="167"/>
      <c r="D33" s="233"/>
      <c r="G33" s="15"/>
    </row>
    <row r="34" spans="1:7">
      <c r="A34" s="171" t="s">
        <v>72</v>
      </c>
      <c r="B34" s="33">
        <f>IF((($B$28-$B$32-$B$39-$B$77-$B$38)*C20/100)&lt;0,0,($B$28-$B$32-$B$39-$B$77-$B$38)*C20/100)</f>
        <v>44.954128440366979</v>
      </c>
      <c r="C34" s="167">
        <f>IF(ISERROR(B34/SUM($B$32,$B$34,$B$35,$B$36,$B$38,$B$39)*100),0,B34/SUM($B$32,$B$34,$B$35,$B$36,$B$38,$B$39)*100)</f>
        <v>5.1084236864053381</v>
      </c>
      <c r="D34" s="233"/>
      <c r="G34" s="15"/>
    </row>
    <row r="35" spans="1:7">
      <c r="A35" s="171" t="s">
        <v>73</v>
      </c>
      <c r="B35" s="33">
        <f>IF((($B$28-$B$32-$B$39-$B$77-$B$38)*C21/100)&lt;0,0,($B$28-$B$32-$B$39-$B$77-$B$38)*C21/100)</f>
        <v>159.58715596330276</v>
      </c>
      <c r="C35" s="167">
        <f>IF(ISERROR(B35/SUM($B$32,$B$34,$B$35,$B$36,$B$38,$B$39)*100),0,B35/SUM($B$32,$B$34,$B$35,$B$36,$B$38,$B$39)*100)</f>
        <v>18.134904086738953</v>
      </c>
      <c r="D35" s="233"/>
      <c r="G35" s="15"/>
    </row>
    <row r="36" spans="1:7">
      <c r="A36" s="171" t="s">
        <v>74</v>
      </c>
      <c r="B36" s="33">
        <f>IF((($B$28-$B$32-$B$39-$B$77-$B$38)*C22/100)&lt;0,0,($B$28-$B$32-$B$39-$B$77-$B$38)*C22/100)</f>
        <v>40.458715596330286</v>
      </c>
      <c r="C36" s="167">
        <f>IF(ISERROR(B36/SUM($B$32,$B$34,$B$35,$B$36,$B$38,$B$39)*100),0,B36/SUM($B$32,$B$34,$B$35,$B$36,$B$38,$B$39)*100)</f>
        <v>4.5975813177648055</v>
      </c>
      <c r="D36" s="233"/>
      <c r="G36" s="15"/>
    </row>
    <row r="37" spans="1:7">
      <c r="A37" s="171" t="s">
        <v>75</v>
      </c>
      <c r="B37" s="34" t="s">
        <v>110</v>
      </c>
      <c r="C37" s="167"/>
      <c r="D37" s="173"/>
      <c r="G37" s="15"/>
    </row>
    <row r="38" spans="1:7">
      <c r="A38" s="171" t="s">
        <v>76</v>
      </c>
      <c r="B38" s="33">
        <f>IF((B24-(B29-B18)*0.1)&lt;0,0,B24-(B29-B18)*0.1)</f>
        <v>28.6</v>
      </c>
      <c r="C38" s="167">
        <f>IF(ISERROR(B38/SUM($B$32,$B$34,$B$35,$B$36,$B$38,$B$39)*100),0,B38/SUM($B$32,$B$34,$B$35,$B$36,$B$38,$B$39)*100)</f>
        <v>3.25</v>
      </c>
      <c r="D38" s="234"/>
      <c r="G38" s="15"/>
    </row>
    <row r="39" spans="1:7">
      <c r="A39" s="171" t="s">
        <v>77</v>
      </c>
      <c r="B39" s="33">
        <f>IF((B25-(B29-B18))&lt;0,0,B25-(B29-B18)*0.9)</f>
        <v>162.39999999999998</v>
      </c>
      <c r="C39" s="167">
        <f>IF(ISERROR(B39/SUM($B$32,$B$34,$B$35,$B$36,$B$38,$B$39)*100),0,B39/SUM($B$32,$B$34,$B$35,$B$36,$B$38,$B$39)*100)</f>
        <v>18.45454545454545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444</v>
      </c>
      <c r="C44" s="34" t="s">
        <v>110</v>
      </c>
      <c r="D44" s="174"/>
    </row>
    <row r="45" spans="1:7">
      <c r="A45" s="171" t="s">
        <v>71</v>
      </c>
      <c r="B45" s="33" t="str">
        <f t="shared" si="0"/>
        <v>-</v>
      </c>
      <c r="C45" s="34" t="s">
        <v>110</v>
      </c>
      <c r="D45" s="174"/>
    </row>
    <row r="46" spans="1:7">
      <c r="A46" s="171" t="s">
        <v>72</v>
      </c>
      <c r="B46" s="33">
        <f t="shared" si="0"/>
        <v>44.954128440366979</v>
      </c>
      <c r="C46" s="34" t="s">
        <v>110</v>
      </c>
      <c r="D46" s="174"/>
    </row>
    <row r="47" spans="1:7">
      <c r="A47" s="171" t="s">
        <v>73</v>
      </c>
      <c r="B47" s="33">
        <f t="shared" si="0"/>
        <v>159.58715596330276</v>
      </c>
      <c r="C47" s="34" t="s">
        <v>110</v>
      </c>
      <c r="D47" s="174"/>
    </row>
    <row r="48" spans="1:7">
      <c r="A48" s="171" t="s">
        <v>74</v>
      </c>
      <c r="B48" s="33">
        <f t="shared" si="0"/>
        <v>40.458715596330286</v>
      </c>
      <c r="C48" s="33">
        <f>B48*10</f>
        <v>404.58715596330285</v>
      </c>
      <c r="D48" s="234"/>
    </row>
    <row r="49" spans="1:6">
      <c r="A49" s="171" t="s">
        <v>75</v>
      </c>
      <c r="B49" s="33" t="str">
        <f t="shared" si="0"/>
        <v>-</v>
      </c>
      <c r="C49" s="34" t="s">
        <v>110</v>
      </c>
      <c r="D49" s="234"/>
    </row>
    <row r="50" spans="1:6">
      <c r="A50" s="171" t="s">
        <v>76</v>
      </c>
      <c r="B50" s="33">
        <f t="shared" si="0"/>
        <v>28.6</v>
      </c>
      <c r="C50" s="33">
        <f>B50*2</f>
        <v>57.2</v>
      </c>
      <c r="D50" s="234"/>
    </row>
    <row r="51" spans="1:6">
      <c r="A51" s="171" t="s">
        <v>77</v>
      </c>
      <c r="B51" s="33">
        <f t="shared" si="0"/>
        <v>162.39999999999998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2258.4375839999998</v>
      </c>
      <c r="C5" s="17">
        <f>IF(ISERROR('Eigen informatie GS &amp; warmtenet'!B60),0,'Eigen informatie GS &amp; warmtenet'!B60)</f>
        <v>0</v>
      </c>
      <c r="D5" s="30">
        <f>SUM(D6:D12)</f>
        <v>1327.0386838060001</v>
      </c>
      <c r="E5" s="17">
        <f>SUM(E6:E12)</f>
        <v>32.643236651547355</v>
      </c>
      <c r="F5" s="17">
        <f>SUM(F6:F12)</f>
        <v>265.38911441062692</v>
      </c>
      <c r="G5" s="18"/>
      <c r="H5" s="17"/>
      <c r="I5" s="17"/>
      <c r="J5" s="17">
        <f>SUM(J6:J12)</f>
        <v>8.1282002565534542E-3</v>
      </c>
      <c r="K5" s="17"/>
      <c r="L5" s="17"/>
      <c r="M5" s="17"/>
      <c r="N5" s="17">
        <f>SUM(N6:N12)</f>
        <v>318.26491569222719</v>
      </c>
      <c r="O5" s="17">
        <f>B38*B39*B40</f>
        <v>0</v>
      </c>
      <c r="P5" s="17">
        <f>B46*B47*B48/1000-B46*B47*B48/1000/B49</f>
        <v>0</v>
      </c>
      <c r="R5" s="32"/>
    </row>
    <row r="6" spans="1:18">
      <c r="A6" s="32" t="s">
        <v>53</v>
      </c>
      <c r="B6" s="37">
        <f>B26</f>
        <v>93.698683000000003</v>
      </c>
      <c r="C6" s="33"/>
      <c r="D6" s="37">
        <f>IF(ISERROR(TER_kantoor_gas_kWh/1000),0,TER_kantoor_gas_kWh/1000)*0.902</f>
        <v>114.789015198</v>
      </c>
      <c r="E6" s="33">
        <f>$C$26*'E Balans VL '!I12/100/3.6*1000000</f>
        <v>0.75396325993643643</v>
      </c>
      <c r="F6" s="33">
        <f>$C$26*('E Balans VL '!L12+'E Balans VL '!N12)/100/3.6*1000000</f>
        <v>11.455649675338012</v>
      </c>
      <c r="G6" s="34"/>
      <c r="H6" s="33"/>
      <c r="I6" s="33"/>
      <c r="J6" s="33">
        <f>$C$26*('E Balans VL '!D12+'E Balans VL '!E12)/100/3.6*1000000</f>
        <v>0</v>
      </c>
      <c r="K6" s="33"/>
      <c r="L6" s="33"/>
      <c r="M6" s="33"/>
      <c r="N6" s="33">
        <f>$C$26*'E Balans VL '!Y12/100/3.6*1000000</f>
        <v>5.0358427951773616E-2</v>
      </c>
      <c r="O6" s="33"/>
      <c r="P6" s="33"/>
      <c r="R6" s="32"/>
    </row>
    <row r="7" spans="1:18">
      <c r="A7" s="32" t="s">
        <v>52</v>
      </c>
      <c r="B7" s="37">
        <f t="shared" ref="B7:B12" si="0">B27</f>
        <v>158.157839</v>
      </c>
      <c r="C7" s="33"/>
      <c r="D7" s="37">
        <f>IF(ISERROR(TER_horeca_gas_kWh/1000),0,TER_horeca_gas_kWh/1000)*0.902</f>
        <v>159.32583887000001</v>
      </c>
      <c r="E7" s="33">
        <f>$C$27*'E Balans VL '!I9/100/3.6*1000000</f>
        <v>1.6982268231050779</v>
      </c>
      <c r="F7" s="33">
        <f>$C$27*('E Balans VL '!L9+'E Balans VL '!N9)/100/3.6*1000000</f>
        <v>19.022552910863133</v>
      </c>
      <c r="G7" s="34"/>
      <c r="H7" s="33"/>
      <c r="I7" s="33"/>
      <c r="J7" s="33">
        <f>$C$27*('E Balans VL '!D9+'E Balans VL '!E9)/100/3.6*1000000</f>
        <v>0</v>
      </c>
      <c r="K7" s="33"/>
      <c r="L7" s="33"/>
      <c r="M7" s="33"/>
      <c r="N7" s="33">
        <f>$C$27*'E Balans VL '!Y9/100/3.6*1000000</f>
        <v>2.3711065553344162E-2</v>
      </c>
      <c r="O7" s="33"/>
      <c r="P7" s="33"/>
      <c r="R7" s="32"/>
    </row>
    <row r="8" spans="1:18">
      <c r="A8" s="6" t="s">
        <v>51</v>
      </c>
      <c r="B8" s="37">
        <f t="shared" si="0"/>
        <v>543.87076599999989</v>
      </c>
      <c r="C8" s="33"/>
      <c r="D8" s="37">
        <f>IF(ISERROR(TER_handel_gas_kWh/1000),0,TER_handel_gas_kWh/1000)*0.902</f>
        <v>42.982211337999999</v>
      </c>
      <c r="E8" s="33">
        <f>$C$28*'E Balans VL '!I13/100/3.6*1000000</f>
        <v>14.595826315242137</v>
      </c>
      <c r="F8" s="33">
        <f>$C$28*('E Balans VL '!L13+'E Balans VL '!N13)/100/3.6*1000000</f>
        <v>51.902033605625789</v>
      </c>
      <c r="G8" s="34"/>
      <c r="H8" s="33"/>
      <c r="I8" s="33"/>
      <c r="J8" s="33">
        <f>$C$28*('E Balans VL '!D13+'E Balans VL '!E13)/100/3.6*1000000</f>
        <v>0</v>
      </c>
      <c r="K8" s="33"/>
      <c r="L8" s="33"/>
      <c r="M8" s="33"/>
      <c r="N8" s="33">
        <f>$C$28*'E Balans VL '!Y13/100/3.6*1000000</f>
        <v>0.21559655566266103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361.961771</v>
      </c>
      <c r="C10" s="33"/>
      <c r="D10" s="37">
        <f>IF(ISERROR(TER_ander_gas_kWh/1000),0,TER_ander_gas_kWh/1000)*0.902</f>
        <v>0</v>
      </c>
      <c r="E10" s="33">
        <f>$C$30*'E Balans VL '!I14/100/3.6*1000000</f>
        <v>0.55796773769845487</v>
      </c>
      <c r="F10" s="33">
        <f>$C$30*('E Balans VL '!L14+'E Balans VL '!N14)/100/3.6*1000000</f>
        <v>56.194664872790646</v>
      </c>
      <c r="G10" s="34"/>
      <c r="H10" s="33"/>
      <c r="I10" s="33"/>
      <c r="J10" s="33">
        <f>$C$30*('E Balans VL '!D14+'E Balans VL '!E14)/100/3.6*1000000</f>
        <v>6.1446827965852876E-3</v>
      </c>
      <c r="K10" s="33"/>
      <c r="L10" s="33"/>
      <c r="M10" s="33"/>
      <c r="N10" s="33">
        <f>$C$30*'E Balans VL '!Y14/100/3.6*1000000</f>
        <v>239.46230690591929</v>
      </c>
      <c r="O10" s="33"/>
      <c r="P10" s="33"/>
      <c r="R10" s="32"/>
    </row>
    <row r="11" spans="1:18">
      <c r="A11" s="32" t="s">
        <v>54</v>
      </c>
      <c r="B11" s="37">
        <f t="shared" si="0"/>
        <v>65.751279999999994</v>
      </c>
      <c r="C11" s="33"/>
      <c r="D11" s="37">
        <f>IF(ISERROR(TER_onderwijs_gas_kWh/1000),0,TER_onderwijs_gas_kWh/1000)*0.902</f>
        <v>0</v>
      </c>
      <c r="E11" s="33">
        <f>$C$31*'E Balans VL '!I11/100/3.6*1000000</f>
        <v>1.6771067249529648</v>
      </c>
      <c r="F11" s="33">
        <f>$C$31*('E Balans VL '!L11+'E Balans VL '!N11)/100/3.6*1000000</f>
        <v>7.907210294614929</v>
      </c>
      <c r="G11" s="34"/>
      <c r="H11" s="33"/>
      <c r="I11" s="33"/>
      <c r="J11" s="33">
        <f>$C$31*('E Balans VL '!D11+'E Balans VL '!E11)/100/3.6*1000000</f>
        <v>0</v>
      </c>
      <c r="K11" s="33"/>
      <c r="L11" s="33"/>
      <c r="M11" s="33"/>
      <c r="N11" s="33">
        <f>$C$31*'E Balans VL '!Y11/100/3.6*1000000</f>
        <v>0.14622924237494386</v>
      </c>
      <c r="O11" s="33"/>
      <c r="P11" s="33"/>
      <c r="R11" s="32"/>
    </row>
    <row r="12" spans="1:18">
      <c r="A12" s="32" t="s">
        <v>259</v>
      </c>
      <c r="B12" s="37">
        <f t="shared" si="0"/>
        <v>1034.997245</v>
      </c>
      <c r="C12" s="33"/>
      <c r="D12" s="37">
        <f>IF(ISERROR(TER_rest_gas_kWh/1000),0,TER_rest_gas_kWh/1000)*0.902</f>
        <v>1009.9416184</v>
      </c>
      <c r="E12" s="33">
        <f>$C$32*'E Balans VL '!I8/100/3.6*1000000</f>
        <v>13.360145790612286</v>
      </c>
      <c r="F12" s="33">
        <f>$C$32*('E Balans VL '!L8+'E Balans VL '!N8)/100/3.6*1000000</f>
        <v>118.90700305139441</v>
      </c>
      <c r="G12" s="34"/>
      <c r="H12" s="33"/>
      <c r="I12" s="33"/>
      <c r="J12" s="33">
        <f>$C$32*('E Balans VL '!D8+'E Balans VL '!E8)/100/3.6*1000000</f>
        <v>1.983517459968167E-3</v>
      </c>
      <c r="K12" s="33"/>
      <c r="L12" s="33"/>
      <c r="M12" s="33"/>
      <c r="N12" s="33">
        <f>$C$32*'E Balans VL '!Y8/100/3.6*1000000</f>
        <v>78.36671349476515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2258.4375839999998</v>
      </c>
      <c r="C16" s="21">
        <f t="shared" ca="1" si="1"/>
        <v>0</v>
      </c>
      <c r="D16" s="21">
        <f t="shared" ca="1" si="1"/>
        <v>1327.0386838060001</v>
      </c>
      <c r="E16" s="21">
        <f t="shared" si="1"/>
        <v>32.643236651547355</v>
      </c>
      <c r="F16" s="21">
        <f t="shared" ca="1" si="1"/>
        <v>265.38911441062692</v>
      </c>
      <c r="G16" s="21">
        <f t="shared" si="1"/>
        <v>0</v>
      </c>
      <c r="H16" s="21">
        <f t="shared" si="1"/>
        <v>0</v>
      </c>
      <c r="I16" s="21">
        <f t="shared" si="1"/>
        <v>0</v>
      </c>
      <c r="J16" s="21">
        <f t="shared" si="1"/>
        <v>8.1282002565534542E-3</v>
      </c>
      <c r="K16" s="21">
        <f t="shared" si="1"/>
        <v>0</v>
      </c>
      <c r="L16" s="21">
        <f t="shared" ca="1" si="1"/>
        <v>0</v>
      </c>
      <c r="M16" s="21">
        <f t="shared" si="1"/>
        <v>0</v>
      </c>
      <c r="N16" s="21">
        <f t="shared" ca="1" si="1"/>
        <v>318.26491569222719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0.2119970571592128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478.78212158576241</v>
      </c>
      <c r="C20" s="23">
        <f t="shared" ref="C20:P20" ca="1" si="2">C16*C18</f>
        <v>0</v>
      </c>
      <c r="D20" s="23">
        <f t="shared" ca="1" si="2"/>
        <v>268.06181412881205</v>
      </c>
      <c r="E20" s="23">
        <f t="shared" si="2"/>
        <v>7.41001471990125</v>
      </c>
      <c r="F20" s="23">
        <f t="shared" ca="1" si="2"/>
        <v>70.858893547637393</v>
      </c>
      <c r="G20" s="23">
        <f t="shared" si="2"/>
        <v>0</v>
      </c>
      <c r="H20" s="23">
        <f t="shared" si="2"/>
        <v>0</v>
      </c>
      <c r="I20" s="23">
        <f t="shared" si="2"/>
        <v>0</v>
      </c>
      <c r="J20" s="23">
        <f t="shared" si="2"/>
        <v>2.8773828908199225E-3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93.698683000000003</v>
      </c>
      <c r="C26" s="39">
        <f>IF(ISERROR(B26*3.6/1000000/'E Balans VL '!Z12*100),0,B26*3.6/1000000/'E Balans VL '!Z12*100)</f>
        <v>1.987731835394108E-3</v>
      </c>
      <c r="D26" s="237" t="s">
        <v>716</v>
      </c>
      <c r="F26" s="6"/>
    </row>
    <row r="27" spans="1:18">
      <c r="A27" s="231" t="s">
        <v>52</v>
      </c>
      <c r="B27" s="33">
        <f>IF(ISERROR(TER_horeca_ele_kWh/1000),0,TER_horeca_ele_kWh/1000)</f>
        <v>158.157839</v>
      </c>
      <c r="C27" s="39">
        <f>IF(ISERROR(B27*3.6/1000000/'E Balans VL '!Z9*100),0,B27*3.6/1000000/'E Balans VL '!Z9*100)</f>
        <v>1.1910686318953916E-2</v>
      </c>
      <c r="D27" s="237" t="s">
        <v>716</v>
      </c>
      <c r="F27" s="6"/>
    </row>
    <row r="28" spans="1:18">
      <c r="A28" s="171" t="s">
        <v>51</v>
      </c>
      <c r="B28" s="33">
        <f>IF(ISERROR(TER_handel_ele_kWh/1000),0,TER_handel_ele_kWh/1000)</f>
        <v>543.87076599999989</v>
      </c>
      <c r="C28" s="39">
        <f>IF(ISERROR(B28*3.6/1000000/'E Balans VL '!Z13*100),0,B28*3.6/1000000/'E Balans VL '!Z13*100)</f>
        <v>1.5786641252501451E-2</v>
      </c>
      <c r="D28" s="237" t="s">
        <v>716</v>
      </c>
      <c r="F28" s="6"/>
    </row>
    <row r="29" spans="1:18">
      <c r="A29" s="231" t="s">
        <v>50</v>
      </c>
      <c r="B29" s="33">
        <f>IF(ISERROR(TER_gezond_ele_kWh/1000),0,TER_gezond_ele_kWh/1000)</f>
        <v>0</v>
      </c>
      <c r="C29" s="39">
        <f>IF(ISERROR(B29*3.6/1000000/'E Balans VL '!Z10*100),0,B29*3.6/1000000/'E Balans VL '!Z10*100)</f>
        <v>0</v>
      </c>
      <c r="D29" s="237" t="s">
        <v>716</v>
      </c>
      <c r="F29" s="6"/>
    </row>
    <row r="30" spans="1:18">
      <c r="A30" s="231" t="s">
        <v>49</v>
      </c>
      <c r="B30" s="33">
        <f>IF(ISERROR(TER_ander_ele_kWh/1000),0,TER_ander_ele_kWh/1000)</f>
        <v>361.961771</v>
      </c>
      <c r="C30" s="39">
        <f>IF(ISERROR(B30*3.6/1000000/'E Balans VL '!Z14*100),0,B30*3.6/1000000/'E Balans VL '!Z14*100)</f>
        <v>2.6265264550025574E-2</v>
      </c>
      <c r="D30" s="237" t="s">
        <v>716</v>
      </c>
      <c r="F30" s="6"/>
    </row>
    <row r="31" spans="1:18">
      <c r="A31" s="231" t="s">
        <v>54</v>
      </c>
      <c r="B31" s="33">
        <f>IF(ISERROR(TER_onderwijs_ele_kWh/1000),0,TER_onderwijs_ele_kWh/1000)</f>
        <v>65.751279999999994</v>
      </c>
      <c r="C31" s="39">
        <f>IF(ISERROR(B31*3.6/1000000/'E Balans VL '!Z11*100),0,B31*3.6/1000000/'E Balans VL '!Z11*100)</f>
        <v>1.8741792316796489E-2</v>
      </c>
      <c r="D31" s="237" t="s">
        <v>716</v>
      </c>
    </row>
    <row r="32" spans="1:18">
      <c r="A32" s="231" t="s">
        <v>259</v>
      </c>
      <c r="B32" s="33">
        <f>IF(ISERROR(TER_rest_ele_kWh/1000),0,TER_rest_ele_kWh/1000)</f>
        <v>1034.997245</v>
      </c>
      <c r="C32" s="39">
        <f>IF(ISERROR(B32*3.6/1000000/'E Balans VL '!Z8*100),0,B32*3.6/1000000/'E Balans VL '!Z8*100)</f>
        <v>8.47848661197129E-3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13395.934375000001</v>
      </c>
      <c r="C5" s="17">
        <f>IF(ISERROR('Eigen informatie GS &amp; warmtenet'!B61),0,'Eigen informatie GS &amp; warmtenet'!B61)</f>
        <v>0</v>
      </c>
      <c r="D5" s="30">
        <f>SUM(D6:D15)</f>
        <v>465.58132610000001</v>
      </c>
      <c r="E5" s="17">
        <f>SUM(E6:E15)</f>
        <v>647.3187244266669</v>
      </c>
      <c r="F5" s="17">
        <f>SUM(F6:F15)</f>
        <v>2513.0487036362583</v>
      </c>
      <c r="G5" s="18"/>
      <c r="H5" s="17"/>
      <c r="I5" s="17"/>
      <c r="J5" s="17">
        <f>SUM(J6:J15)</f>
        <v>105.81442742985894</v>
      </c>
      <c r="K5" s="17"/>
      <c r="L5" s="17"/>
      <c r="M5" s="17"/>
      <c r="N5" s="17">
        <f>SUM(N6:N15)</f>
        <v>611.81732651215441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87.390888000000004</v>
      </c>
      <c r="C9" s="33"/>
      <c r="D9" s="37">
        <f>IF( ISERROR(IND_andere_gas_kWh/1000),0,IND_andere_gas_kWh/1000)*0.902</f>
        <v>15.828116502</v>
      </c>
      <c r="E9" s="33">
        <f>C31*'E Balans VL '!I19/100/3.6*1000000</f>
        <v>24.217183627372687</v>
      </c>
      <c r="F9" s="33">
        <f>C31*'E Balans VL '!L19/100/3.6*1000000+C31*'E Balans VL '!N19/100/3.6*1000000</f>
        <v>72.429756827564475</v>
      </c>
      <c r="G9" s="34"/>
      <c r="H9" s="33"/>
      <c r="I9" s="33"/>
      <c r="J9" s="40">
        <f>C31*'E Balans VL '!D19/100/3.6*1000000+C31*'E Balans VL '!E19/100/3.6*1000000</f>
        <v>0</v>
      </c>
      <c r="K9" s="33"/>
      <c r="L9" s="33"/>
      <c r="M9" s="33"/>
      <c r="N9" s="33">
        <f>C31*'E Balans VL '!Y19/100/3.6*1000000</f>
        <v>6.3435095625218221</v>
      </c>
      <c r="O9" s="33"/>
      <c r="P9" s="33"/>
      <c r="R9" s="32"/>
    </row>
    <row r="10" spans="1:18">
      <c r="A10" s="6" t="s">
        <v>40</v>
      </c>
      <c r="B10" s="37">
        <f t="shared" si="0"/>
        <v>54.560932999999999</v>
      </c>
      <c r="C10" s="33"/>
      <c r="D10" s="37">
        <f>IF( ISERROR(IND_voed_gas_kWh/1000),0,IND_voed_gas_kWh/1000)*0.902</f>
        <v>0</v>
      </c>
      <c r="E10" s="33">
        <f>C32*'E Balans VL '!I20/100/3.6*1000000</f>
        <v>9.6591332382875192E-2</v>
      </c>
      <c r="F10" s="33">
        <f>C32*'E Balans VL '!L20/100/3.6*1000000+C32*'E Balans VL '!N20/100/3.6*1000000</f>
        <v>2.9467739512114925</v>
      </c>
      <c r="G10" s="34"/>
      <c r="H10" s="33"/>
      <c r="I10" s="33"/>
      <c r="J10" s="40">
        <f>C32*'E Balans VL '!D20/100/3.6*1000000+C32*'E Balans VL '!E20/100/3.6*1000000</f>
        <v>0</v>
      </c>
      <c r="K10" s="33"/>
      <c r="L10" s="33"/>
      <c r="M10" s="33"/>
      <c r="N10" s="33">
        <f>C32*'E Balans VL '!Y20/100/3.6*1000000</f>
        <v>3.1704068943376118</v>
      </c>
      <c r="O10" s="33"/>
      <c r="P10" s="33"/>
      <c r="R10" s="32"/>
    </row>
    <row r="11" spans="1:18">
      <c r="A11" s="6" t="s">
        <v>39</v>
      </c>
      <c r="B11" s="37">
        <f t="shared" si="0"/>
        <v>46.922637000000002</v>
      </c>
      <c r="C11" s="33"/>
      <c r="D11" s="37">
        <f>IF( ISERROR(IND_textiel_gas_kWh/1000),0,IND_textiel_gas_kWh/1000)*0.902</f>
        <v>0</v>
      </c>
      <c r="E11" s="33">
        <f>C33*'E Balans VL '!I21/100/3.6*1000000</f>
        <v>0.16540716575870429</v>
      </c>
      <c r="F11" s="33">
        <f>C33*'E Balans VL '!L21/100/3.6*1000000+C33*'E Balans VL '!N21/100/3.6*1000000</f>
        <v>1.3772495622473762</v>
      </c>
      <c r="G11" s="34"/>
      <c r="H11" s="33"/>
      <c r="I11" s="33"/>
      <c r="J11" s="40">
        <f>C33*'E Balans VL '!D21/100/3.6*1000000+C33*'E Balans VL '!E21/100/3.6*1000000</f>
        <v>0</v>
      </c>
      <c r="K11" s="33"/>
      <c r="L11" s="33"/>
      <c r="M11" s="33"/>
      <c r="N11" s="33">
        <f>C33*'E Balans VL '!Y21/100/3.6*1000000</f>
        <v>2.0674046694192287</v>
      </c>
      <c r="O11" s="33"/>
      <c r="P11" s="33"/>
      <c r="R11" s="32"/>
    </row>
    <row r="12" spans="1:18">
      <c r="A12" s="6" t="s">
        <v>36</v>
      </c>
      <c r="B12" s="37">
        <f t="shared" si="0"/>
        <v>413.68294700000001</v>
      </c>
      <c r="C12" s="33"/>
      <c r="D12" s="37">
        <f>IF( ISERROR(IND_min_gas_kWh/1000),0,IND_min_gas_kWh/1000)*0.902</f>
        <v>0</v>
      </c>
      <c r="E12" s="33">
        <f>C34*'E Balans VL '!I22/100/3.6*1000000</f>
        <v>18.217121364748856</v>
      </c>
      <c r="F12" s="33">
        <f>C34*'E Balans VL '!L22/100/3.6*1000000+C34*'E Balans VL '!N22/100/3.6*1000000</f>
        <v>161.76673909430389</v>
      </c>
      <c r="G12" s="34"/>
      <c r="H12" s="33"/>
      <c r="I12" s="33"/>
      <c r="J12" s="40">
        <f>C34*'E Balans VL '!D22/100/3.6*1000000+C34*'E Balans VL '!E22/100/3.6*1000000</f>
        <v>0.12560884333026373</v>
      </c>
      <c r="K12" s="33"/>
      <c r="L12" s="33"/>
      <c r="M12" s="33"/>
      <c r="N12" s="33">
        <f>C34*'E Balans VL '!Y22/100/3.6*1000000</f>
        <v>102.3326243930001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12793.376970000001</v>
      </c>
      <c r="C15" s="33"/>
      <c r="D15" s="37">
        <f>IF( ISERROR(IND_rest_gas_kWh/1000),0,IND_rest_gas_kWh/1000)*0.902</f>
        <v>449.75320959800001</v>
      </c>
      <c r="E15" s="33">
        <f>C37*'E Balans VL '!I15/100/3.6*1000000</f>
        <v>604.62242093640384</v>
      </c>
      <c r="F15" s="33">
        <f>C37*'E Balans VL '!L15/100/3.6*1000000+C37*'E Balans VL '!N15/100/3.6*1000000</f>
        <v>2274.5281842009313</v>
      </c>
      <c r="G15" s="34"/>
      <c r="H15" s="33"/>
      <c r="I15" s="33"/>
      <c r="J15" s="40">
        <f>C37*'E Balans VL '!D15/100/3.6*1000000+C37*'E Balans VL '!E15/100/3.6*1000000</f>
        <v>105.68881858652867</v>
      </c>
      <c r="K15" s="33"/>
      <c r="L15" s="33"/>
      <c r="M15" s="33"/>
      <c r="N15" s="33">
        <f>C37*'E Balans VL '!Y15/100/3.6*1000000</f>
        <v>497.90338099287567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13395.934375000001</v>
      </c>
      <c r="C18" s="21">
        <f>C5+C16</f>
        <v>0</v>
      </c>
      <c r="D18" s="21">
        <f>MAX((D5+D16),0)</f>
        <v>465.58132610000001</v>
      </c>
      <c r="E18" s="21">
        <f>MAX((E5+E16),0)</f>
        <v>647.3187244266669</v>
      </c>
      <c r="F18" s="21">
        <f>MAX((F5+F16),0)</f>
        <v>2513.0487036362583</v>
      </c>
      <c r="G18" s="21"/>
      <c r="H18" s="21"/>
      <c r="I18" s="21"/>
      <c r="J18" s="21">
        <f>MAX((J5+J16),0)</f>
        <v>105.81442742985894</v>
      </c>
      <c r="K18" s="21"/>
      <c r="L18" s="21">
        <f>MAX((L5+L16),0)</f>
        <v>0</v>
      </c>
      <c r="M18" s="21"/>
      <c r="N18" s="21">
        <f>MAX((N5+N16),0)</f>
        <v>611.81732651215441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0.2119970571592128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2839.8986653979387</v>
      </c>
      <c r="C22" s="23">
        <f ca="1">C18*C20</f>
        <v>0</v>
      </c>
      <c r="D22" s="23">
        <f>D18*D20</f>
        <v>94.047427872200004</v>
      </c>
      <c r="E22" s="23">
        <f>E18*E20</f>
        <v>146.94135044485338</v>
      </c>
      <c r="F22" s="23">
        <f>F18*F20</f>
        <v>670.984003870881</v>
      </c>
      <c r="G22" s="23"/>
      <c r="H22" s="23"/>
      <c r="I22" s="23"/>
      <c r="J22" s="23">
        <f>J18*J20</f>
        <v>37.458307310170063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87.390888000000004</v>
      </c>
      <c r="C31" s="39">
        <f>IF(ISERROR(B31*3.6/1000000/'E Balans VL '!Z19*100),0,B31*3.6/1000000/'E Balans VL '!Z19*100)</f>
        <v>4.3954783998049075E-3</v>
      </c>
      <c r="D31" s="237" t="s">
        <v>716</v>
      </c>
    </row>
    <row r="32" spans="1:18">
      <c r="A32" s="171" t="s">
        <v>40</v>
      </c>
      <c r="B32" s="37">
        <f>IF( ISERROR(IND_voed_ele_kWh/1000),0,IND_voed_ele_kWh/1000)</f>
        <v>54.560932999999999</v>
      </c>
      <c r="C32" s="39">
        <f>IF(ISERROR(B32*3.6/1000000/'E Balans VL '!Z20*100),0,B32*3.6/1000000/'E Balans VL '!Z20*100)</f>
        <v>1.8172030652559232E-3</v>
      </c>
      <c r="D32" s="237" t="s">
        <v>716</v>
      </c>
    </row>
    <row r="33" spans="1:5">
      <c r="A33" s="171" t="s">
        <v>39</v>
      </c>
      <c r="B33" s="37">
        <f>IF( ISERROR(IND_textiel_ele_kWh/1000),0,IND_textiel_ele_kWh/1000)</f>
        <v>46.922637000000002</v>
      </c>
      <c r="C33" s="39">
        <f>IF(ISERROR(B33*3.6/1000000/'E Balans VL '!Z21*100),0,B33*3.6/1000000/'E Balans VL '!Z21*100)</f>
        <v>7.3158363129493887E-3</v>
      </c>
      <c r="D33" s="237" t="s">
        <v>716</v>
      </c>
    </row>
    <row r="34" spans="1:5">
      <c r="A34" s="171" t="s">
        <v>36</v>
      </c>
      <c r="B34" s="37">
        <f>IF( ISERROR(IND_min_ele_kWh/1000),0,IND_min_ele_kWh/1000)</f>
        <v>413.68294700000001</v>
      </c>
      <c r="C34" s="39">
        <f>IF(ISERROR(B34*3.6/1000000/'E Balans VL '!Z22*100),0,B34*3.6/1000000/'E Balans VL '!Z22*100)</f>
        <v>7.7165842318929298E-2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12793.376970000001</v>
      </c>
      <c r="C37" s="39">
        <f>IF(ISERROR(B37*3.6/1000000/'E Balans VL '!Z15*100),0,B37*3.6/1000000/'E Balans VL '!Z15*100)</f>
        <v>9.98233255337274E-2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234.36623299999999</v>
      </c>
      <c r="C5" s="17">
        <f>'Eigen informatie GS &amp; warmtenet'!B62</f>
        <v>0</v>
      </c>
      <c r="D5" s="30">
        <f>IF(ISERROR(SUM(LB_lb_gas_kWh,LB_rest_gas_kWh)/1000),0,SUM(LB_lb_gas_kWh,LB_rest_gas_kWh)/1000)*0.902</f>
        <v>0</v>
      </c>
      <c r="E5" s="17">
        <f>B17*'E Balans VL '!I25/3.6*1000000/100</f>
        <v>7.3144928474807749</v>
      </c>
      <c r="F5" s="17">
        <f>B17*('E Balans VL '!L25/3.6*1000000+'E Balans VL '!N25/3.6*1000000)/100</f>
        <v>828.27622981293041</v>
      </c>
      <c r="G5" s="18"/>
      <c r="H5" s="17"/>
      <c r="I5" s="17"/>
      <c r="J5" s="17">
        <f>('E Balans VL '!D25+'E Balans VL '!E25)/3.6*1000000*landbouw!B17/100</f>
        <v>64.569522507081686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234.36623299999999</v>
      </c>
      <c r="C8" s="21">
        <f>C5+C6</f>
        <v>0</v>
      </c>
      <c r="D8" s="21">
        <f>MAX((D5+D6),0)</f>
        <v>0</v>
      </c>
      <c r="E8" s="21">
        <f>MAX((E5+E6),0)</f>
        <v>7.3144928474807749</v>
      </c>
      <c r="F8" s="21">
        <f>MAX((F5+F6),0)</f>
        <v>828.27622981293041</v>
      </c>
      <c r="G8" s="21"/>
      <c r="H8" s="21"/>
      <c r="I8" s="21"/>
      <c r="J8" s="21">
        <f>MAX((J5+J6),0)</f>
        <v>64.569522507081686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0.2119970571592128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49.684951693490383</v>
      </c>
      <c r="C12" s="23">
        <f ca="1">C8*C10</f>
        <v>0</v>
      </c>
      <c r="D12" s="23">
        <f>D8*D10</f>
        <v>0</v>
      </c>
      <c r="E12" s="23">
        <f>E8*E10</f>
        <v>1.660389876378136</v>
      </c>
      <c r="F12" s="23">
        <f>F8*F10</f>
        <v>221.14975336005244</v>
      </c>
      <c r="G12" s="23"/>
      <c r="H12" s="23"/>
      <c r="I12" s="23"/>
      <c r="J12" s="23">
        <f>J8*J10</f>
        <v>22.857610967506915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3.4840220631750525E-2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34.321223207374928</v>
      </c>
      <c r="C26" s="247">
        <f>B26*'GWP N2O_CH4'!B5</f>
        <v>720.74568735487344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10.186925285497347</v>
      </c>
      <c r="C27" s="247">
        <f>B27*'GWP N2O_CH4'!B5</f>
        <v>213.92543099544429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0.51953526187127208</v>
      </c>
      <c r="C28" s="247">
        <f>B28*'GWP N2O_CH4'!B4</f>
        <v>161.05593118009435</v>
      </c>
      <c r="D28" s="50"/>
    </row>
    <row r="29" spans="1:4">
      <c r="A29" s="41" t="s">
        <v>276</v>
      </c>
      <c r="B29" s="247">
        <f>B34*'ha_N2O bodem landbouw'!B4</f>
        <v>5.2468693415861116</v>
      </c>
      <c r="C29" s="247">
        <f>B29*'GWP N2O_CH4'!B4</f>
        <v>1626.5294958916945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1.1505439788514291E-3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5.3856971464999997E-5</v>
      </c>
      <c r="C5" s="463" t="s">
        <v>210</v>
      </c>
      <c r="D5" s="448">
        <f>SUM(D6:D11)</f>
        <v>1.9301480041628399E-4</v>
      </c>
      <c r="E5" s="448">
        <f>SUM(E6:E11)</f>
        <v>1.5130486510755E-4</v>
      </c>
      <c r="F5" s="461" t="s">
        <v>210</v>
      </c>
      <c r="G5" s="448">
        <f>SUM(G6:G11)</f>
        <v>6.318347388693768E-2</v>
      </c>
      <c r="H5" s="448">
        <f>SUM(H6:H11)</f>
        <v>1.4465213076085838E-2</v>
      </c>
      <c r="I5" s="463" t="s">
        <v>210</v>
      </c>
      <c r="J5" s="463" t="s">
        <v>210</v>
      </c>
      <c r="K5" s="463" t="s">
        <v>210</v>
      </c>
      <c r="L5" s="463" t="s">
        <v>210</v>
      </c>
      <c r="M5" s="448">
        <f>SUM(M6:M11)</f>
        <v>4.5939068861869546E-3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5.1710557414999999E-5</v>
      </c>
      <c r="C6" s="449"/>
      <c r="D6" s="917">
        <f>vkm_2011_GW_PW*SUMIFS(TableVerdeelsleutelVkm[CNG],TableVerdeelsleutelVkm[Voertuigtype],"Lichte voertuigen")*SUMIFS(TableECFTransport[EnergieConsumptieFactor (PJ per km)],TableECFTransport[Index],CONCATENATE($A6,"_CNG_CNG"))</f>
        <v>1.79806416119484E-4</v>
      </c>
      <c r="E6" s="917">
        <f>vkm_2011_GW_PW*SUMIFS(TableVerdeelsleutelVkm[LPG],TableVerdeelsleutelVkm[Voertuigtype],"Lichte voertuigen")*SUMIFS(TableECFTransport[EnergieConsumptieFactor (PJ per km)],TableECFTransport[Index],CONCATENATE($A6,"_LPG_LPG"))</f>
        <v>1.416578318628E-4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3.8560908951105394E-2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1.3493756977505687E-2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3.110593470930382E-3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2.203675508883109E-2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5.5517687381799952E-6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1.2707081460393004E-3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2.1464140499999998E-6</v>
      </c>
      <c r="C8" s="449"/>
      <c r="D8" s="451">
        <f>vkm_2011_NGW_PW*SUMIFS(TableVerdeelsleutelVkm[CNG],TableVerdeelsleutelVkm[Voertuigtype],"Lichte voertuigen")*SUMIFS(TableECFTransport[EnergieConsumptieFactor (PJ per km)],TableECFTransport[Index],CONCATENATE($A8,"_CNG_CNG"))</f>
        <v>1.3208384296800001E-5</v>
      </c>
      <c r="E8" s="451">
        <f>vkm_2011_NGW_PW*SUMIFS(TableVerdeelsleutelVkm[LPG],TableVerdeelsleutelVkm[Voertuigtype],"Lichte voertuigen")*SUMIFS(TableECFTransport[EnergieConsumptieFactor (PJ per km)],TableECFTransport[Index],CONCATENATE($A8,"_LPG_LPG"))</f>
        <v>9.6470332447500003E-6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2.4368800850694027E-3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9.6586892747432308E-4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2.0401765317783413E-4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1.4892976193180081E-4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3.5402367648789594E-8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8.5876160394384056E-6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14.960269851388887</v>
      </c>
      <c r="C14" s="21"/>
      <c r="D14" s="21">
        <f t="shared" ref="D14:M14" si="0">((D5)*10^9/3600)+D12</f>
        <v>53.615222337856657</v>
      </c>
      <c r="E14" s="21">
        <f t="shared" si="0"/>
        <v>42.029129196541668</v>
      </c>
      <c r="F14" s="21"/>
      <c r="G14" s="21">
        <f t="shared" si="0"/>
        <v>17550.964968593798</v>
      </c>
      <c r="H14" s="21">
        <f t="shared" si="0"/>
        <v>4018.1147433571773</v>
      </c>
      <c r="I14" s="21"/>
      <c r="J14" s="21"/>
      <c r="K14" s="21"/>
      <c r="L14" s="21"/>
      <c r="M14" s="21">
        <f t="shared" si="0"/>
        <v>1276.0852461630429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0.2119970571592128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3.1715331828021376</v>
      </c>
      <c r="C18" s="23"/>
      <c r="D18" s="23">
        <f t="shared" ref="D18:M18" si="1">D14*D16</f>
        <v>10.830274912247045</v>
      </c>
      <c r="E18" s="23">
        <f t="shared" si="1"/>
        <v>9.5406123276149586</v>
      </c>
      <c r="F18" s="23"/>
      <c r="G18" s="23">
        <f t="shared" si="1"/>
        <v>4686.1076466145441</v>
      </c>
      <c r="H18" s="23">
        <f t="shared" si="1"/>
        <v>1000.5105710959372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9.026465884064322E-4</v>
      </c>
      <c r="H50" s="321">
        <f t="shared" si="2"/>
        <v>0</v>
      </c>
      <c r="I50" s="321">
        <f t="shared" si="2"/>
        <v>0</v>
      </c>
      <c r="J50" s="321">
        <f t="shared" si="2"/>
        <v>0</v>
      </c>
      <c r="K50" s="321">
        <f t="shared" si="2"/>
        <v>0</v>
      </c>
      <c r="L50" s="321">
        <f t="shared" si="2"/>
        <v>0</v>
      </c>
      <c r="M50" s="321">
        <f t="shared" si="2"/>
        <v>5.016919725598802E-5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9.026465884064322E-4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5.016919725598802E-5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250.73516344623116</v>
      </c>
      <c r="H54" s="21">
        <f t="shared" si="3"/>
        <v>0</v>
      </c>
      <c r="I54" s="21">
        <f t="shared" si="3"/>
        <v>0</v>
      </c>
      <c r="J54" s="21">
        <f t="shared" si="3"/>
        <v>0</v>
      </c>
      <c r="K54" s="21">
        <f t="shared" si="3"/>
        <v>0</v>
      </c>
      <c r="L54" s="21">
        <f t="shared" si="3"/>
        <v>0</v>
      </c>
      <c r="M54" s="21">
        <f t="shared" si="3"/>
        <v>13.93588812666334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0.2119970571592128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66.94628864014372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2455.4635839999996</v>
      </c>
      <c r="D10" s="712">
        <f ca="1">tertiair!C16</f>
        <v>0</v>
      </c>
      <c r="E10" s="712">
        <f ca="1">tertiair!D16</f>
        <v>1327.0386838060001</v>
      </c>
      <c r="F10" s="712">
        <f>tertiair!E16</f>
        <v>32.643236651547355</v>
      </c>
      <c r="G10" s="712">
        <f ca="1">tertiair!F16</f>
        <v>265.38911441062692</v>
      </c>
      <c r="H10" s="712">
        <f>tertiair!G16</f>
        <v>0</v>
      </c>
      <c r="I10" s="712">
        <f>tertiair!H16</f>
        <v>0</v>
      </c>
      <c r="J10" s="712">
        <f>tertiair!I16</f>
        <v>0</v>
      </c>
      <c r="K10" s="712">
        <f>tertiair!J16</f>
        <v>8.1282002565534542E-3</v>
      </c>
      <c r="L10" s="712">
        <f>tertiair!K16</f>
        <v>0</v>
      </c>
      <c r="M10" s="712">
        <f ca="1">tertiair!L16</f>
        <v>0</v>
      </c>
      <c r="N10" s="712">
        <f>tertiair!M16</f>
        <v>0</v>
      </c>
      <c r="O10" s="712">
        <f ca="1">tertiair!N16</f>
        <v>318.26491569222719</v>
      </c>
      <c r="P10" s="712">
        <f>tertiair!O16</f>
        <v>0</v>
      </c>
      <c r="Q10" s="713">
        <f>tertiair!P16</f>
        <v>0</v>
      </c>
      <c r="R10" s="715">
        <f ca="1">SUM(C10:Q10)</f>
        <v>4398.8076627606579</v>
      </c>
      <c r="S10" s="67"/>
    </row>
    <row r="11" spans="1:19" s="474" customFormat="1">
      <c r="A11" s="834" t="s">
        <v>224</v>
      </c>
      <c r="B11" s="839"/>
      <c r="C11" s="712">
        <f>huishoudens!B8</f>
        <v>3587.2994415183302</v>
      </c>
      <c r="D11" s="712">
        <f>huishoudens!C8</f>
        <v>0</v>
      </c>
      <c r="E11" s="712">
        <f>huishoudens!D8</f>
        <v>5654.4427900620003</v>
      </c>
      <c r="F11" s="712">
        <f>huishoudens!E8</f>
        <v>1761.0427400028975</v>
      </c>
      <c r="G11" s="712">
        <f>huishoudens!F8</f>
        <v>3376.6236061551003</v>
      </c>
      <c r="H11" s="712">
        <f>huishoudens!G8</f>
        <v>0</v>
      </c>
      <c r="I11" s="712">
        <f>huishoudens!H8</f>
        <v>0</v>
      </c>
      <c r="J11" s="712">
        <f>huishoudens!I8</f>
        <v>0</v>
      </c>
      <c r="K11" s="712">
        <f>huishoudens!J8</f>
        <v>839.50374331245473</v>
      </c>
      <c r="L11" s="712">
        <f>huishoudens!K8</f>
        <v>0</v>
      </c>
      <c r="M11" s="712">
        <f>huishoudens!L8</f>
        <v>0</v>
      </c>
      <c r="N11" s="712">
        <f>huishoudens!M8</f>
        <v>0</v>
      </c>
      <c r="O11" s="712">
        <f>huishoudens!N8</f>
        <v>2742.7926531281728</v>
      </c>
      <c r="P11" s="712">
        <f>huishoudens!O8</f>
        <v>33.727289729579546</v>
      </c>
      <c r="Q11" s="713">
        <f>huishoudens!P8</f>
        <v>94.805633769165212</v>
      </c>
      <c r="R11" s="715">
        <f>SUM(C11:Q11)</f>
        <v>18090.237897677704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13395.934375000001</v>
      </c>
      <c r="D13" s="712">
        <f>industrie!C18</f>
        <v>0</v>
      </c>
      <c r="E13" s="712">
        <f>industrie!D18</f>
        <v>465.58132610000001</v>
      </c>
      <c r="F13" s="712">
        <f>industrie!E18</f>
        <v>647.3187244266669</v>
      </c>
      <c r="G13" s="712">
        <f>industrie!F18</f>
        <v>2513.0487036362583</v>
      </c>
      <c r="H13" s="712">
        <f>industrie!G18</f>
        <v>0</v>
      </c>
      <c r="I13" s="712">
        <f>industrie!H18</f>
        <v>0</v>
      </c>
      <c r="J13" s="712">
        <f>industrie!I18</f>
        <v>0</v>
      </c>
      <c r="K13" s="712">
        <f>industrie!J18</f>
        <v>105.81442742985894</v>
      </c>
      <c r="L13" s="712">
        <f>industrie!K18</f>
        <v>0</v>
      </c>
      <c r="M13" s="712">
        <f>industrie!L18</f>
        <v>0</v>
      </c>
      <c r="N13" s="712">
        <f>industrie!M18</f>
        <v>0</v>
      </c>
      <c r="O13" s="712">
        <f>industrie!N18</f>
        <v>611.81732651215441</v>
      </c>
      <c r="P13" s="712">
        <f>industrie!O18</f>
        <v>0</v>
      </c>
      <c r="Q13" s="713">
        <f>industrie!P18</f>
        <v>0</v>
      </c>
      <c r="R13" s="715">
        <f>SUM(C13:Q13)</f>
        <v>17739.514883104937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19438.697400518329</v>
      </c>
      <c r="D16" s="748">
        <f t="shared" ref="D16:R16" ca="1" si="0">SUM(D9:D15)</f>
        <v>0</v>
      </c>
      <c r="E16" s="748">
        <f t="shared" ca="1" si="0"/>
        <v>7447.0627999680009</v>
      </c>
      <c r="F16" s="748">
        <f t="shared" si="0"/>
        <v>2441.0047010811118</v>
      </c>
      <c r="G16" s="748">
        <f t="shared" ca="1" si="0"/>
        <v>6155.0614242019856</v>
      </c>
      <c r="H16" s="748">
        <f t="shared" si="0"/>
        <v>0</v>
      </c>
      <c r="I16" s="748">
        <f t="shared" si="0"/>
        <v>0</v>
      </c>
      <c r="J16" s="748">
        <f t="shared" si="0"/>
        <v>0</v>
      </c>
      <c r="K16" s="748">
        <f t="shared" si="0"/>
        <v>945.32629894257025</v>
      </c>
      <c r="L16" s="748">
        <f t="shared" si="0"/>
        <v>0</v>
      </c>
      <c r="M16" s="748">
        <f t="shared" ca="1" si="0"/>
        <v>0</v>
      </c>
      <c r="N16" s="748">
        <f t="shared" si="0"/>
        <v>0</v>
      </c>
      <c r="O16" s="748">
        <f t="shared" ca="1" si="0"/>
        <v>3672.8748953325544</v>
      </c>
      <c r="P16" s="748">
        <f t="shared" si="0"/>
        <v>33.727289729579546</v>
      </c>
      <c r="Q16" s="748">
        <f t="shared" si="0"/>
        <v>94.805633769165212</v>
      </c>
      <c r="R16" s="748">
        <f t="shared" ca="1" si="0"/>
        <v>40228.560443543298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250.73516344623116</v>
      </c>
      <c r="I19" s="712">
        <f>transport!H54</f>
        <v>0</v>
      </c>
      <c r="J19" s="712">
        <f>transport!I54</f>
        <v>0</v>
      </c>
      <c r="K19" s="712">
        <f>transport!J54</f>
        <v>0</v>
      </c>
      <c r="L19" s="712">
        <f>transport!K54</f>
        <v>0</v>
      </c>
      <c r="M19" s="712">
        <f>transport!L54</f>
        <v>0</v>
      </c>
      <c r="N19" s="712">
        <f>transport!M54</f>
        <v>13.93588812666334</v>
      </c>
      <c r="O19" s="712">
        <f>transport!N54</f>
        <v>0</v>
      </c>
      <c r="P19" s="712">
        <f>transport!O54</f>
        <v>0</v>
      </c>
      <c r="Q19" s="713">
        <f>transport!P54</f>
        <v>0</v>
      </c>
      <c r="R19" s="715">
        <f>SUM(C19:Q19)</f>
        <v>264.6710515728945</v>
      </c>
      <c r="S19" s="67"/>
    </row>
    <row r="20" spans="1:19" s="474" customFormat="1">
      <c r="A20" s="834" t="s">
        <v>306</v>
      </c>
      <c r="B20" s="839"/>
      <c r="C20" s="712">
        <f>transport!B14</f>
        <v>14.960269851388887</v>
      </c>
      <c r="D20" s="712">
        <f>transport!C14</f>
        <v>0</v>
      </c>
      <c r="E20" s="712">
        <f>transport!D14</f>
        <v>53.615222337856657</v>
      </c>
      <c r="F20" s="712">
        <f>transport!E14</f>
        <v>42.029129196541668</v>
      </c>
      <c r="G20" s="712">
        <f>transport!F14</f>
        <v>0</v>
      </c>
      <c r="H20" s="712">
        <f>transport!G14</f>
        <v>17550.964968593798</v>
      </c>
      <c r="I20" s="712">
        <f>transport!H14</f>
        <v>4018.1147433571773</v>
      </c>
      <c r="J20" s="712">
        <f>transport!I14</f>
        <v>0</v>
      </c>
      <c r="K20" s="712">
        <f>transport!J14</f>
        <v>0</v>
      </c>
      <c r="L20" s="712">
        <f>transport!K14</f>
        <v>0</v>
      </c>
      <c r="M20" s="712">
        <f>transport!L14</f>
        <v>0</v>
      </c>
      <c r="N20" s="712">
        <f>transport!M14</f>
        <v>1276.0852461630429</v>
      </c>
      <c r="O20" s="712">
        <f>transport!N14</f>
        <v>0</v>
      </c>
      <c r="P20" s="712">
        <f>transport!O14</f>
        <v>0</v>
      </c>
      <c r="Q20" s="713">
        <f>transport!P14</f>
        <v>0</v>
      </c>
      <c r="R20" s="715">
        <f>SUM(C20:Q20)</f>
        <v>22955.769579499807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14.960269851388887</v>
      </c>
      <c r="D22" s="837">
        <f t="shared" ref="D22:R22" si="1">SUM(D18:D21)</f>
        <v>0</v>
      </c>
      <c r="E22" s="837">
        <f t="shared" si="1"/>
        <v>53.615222337856657</v>
      </c>
      <c r="F22" s="837">
        <f t="shared" si="1"/>
        <v>42.029129196541668</v>
      </c>
      <c r="G22" s="837">
        <f t="shared" si="1"/>
        <v>0</v>
      </c>
      <c r="H22" s="837">
        <f t="shared" si="1"/>
        <v>17801.70013204003</v>
      </c>
      <c r="I22" s="837">
        <f t="shared" si="1"/>
        <v>4018.1147433571773</v>
      </c>
      <c r="J22" s="837">
        <f t="shared" si="1"/>
        <v>0</v>
      </c>
      <c r="K22" s="837">
        <f t="shared" si="1"/>
        <v>0</v>
      </c>
      <c r="L22" s="837">
        <f t="shared" si="1"/>
        <v>0</v>
      </c>
      <c r="M22" s="837">
        <f t="shared" si="1"/>
        <v>0</v>
      </c>
      <c r="N22" s="837">
        <f t="shared" si="1"/>
        <v>1290.0211342897062</v>
      </c>
      <c r="O22" s="837">
        <f t="shared" si="1"/>
        <v>0</v>
      </c>
      <c r="P22" s="837">
        <f t="shared" si="1"/>
        <v>0</v>
      </c>
      <c r="Q22" s="837">
        <f t="shared" si="1"/>
        <v>0</v>
      </c>
      <c r="R22" s="837">
        <f t="shared" si="1"/>
        <v>23220.440631072703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234.36623299999999</v>
      </c>
      <c r="D24" s="712">
        <f>+landbouw!C8</f>
        <v>0</v>
      </c>
      <c r="E24" s="712">
        <f>+landbouw!D8</f>
        <v>0</v>
      </c>
      <c r="F24" s="712">
        <f>+landbouw!E8</f>
        <v>7.3144928474807749</v>
      </c>
      <c r="G24" s="712">
        <f>+landbouw!F8</f>
        <v>828.27622981293041</v>
      </c>
      <c r="H24" s="712">
        <f>+landbouw!G8</f>
        <v>0</v>
      </c>
      <c r="I24" s="712">
        <f>+landbouw!H8</f>
        <v>0</v>
      </c>
      <c r="J24" s="712">
        <f>+landbouw!I8</f>
        <v>0</v>
      </c>
      <c r="K24" s="712">
        <f>+landbouw!J8</f>
        <v>64.569522507081686</v>
      </c>
      <c r="L24" s="712">
        <f>+landbouw!K8</f>
        <v>0</v>
      </c>
      <c r="M24" s="712">
        <f>+landbouw!L8</f>
        <v>0</v>
      </c>
      <c r="N24" s="712">
        <f>+landbouw!M8</f>
        <v>0</v>
      </c>
      <c r="O24" s="712">
        <f>+landbouw!N8</f>
        <v>0</v>
      </c>
      <c r="P24" s="712">
        <f>+landbouw!O8</f>
        <v>0</v>
      </c>
      <c r="Q24" s="713">
        <f>+landbouw!P8</f>
        <v>0</v>
      </c>
      <c r="R24" s="715">
        <f>SUM(C24:Q24)</f>
        <v>1134.526478167493</v>
      </c>
      <c r="S24" s="67"/>
    </row>
    <row r="25" spans="1:19" s="474" customFormat="1" ht="15" thickBot="1">
      <c r="A25" s="856" t="s">
        <v>734</v>
      </c>
      <c r="B25" s="982"/>
      <c r="C25" s="983">
        <f>IF(Onbekend_ele_kWh="---",0,Onbekend_ele_kWh)/1000+IF(REST_rest_ele_kWh="---",0,REST_rest_ele_kWh)/1000</f>
        <v>121.346233</v>
      </c>
      <c r="D25" s="983"/>
      <c r="E25" s="983">
        <f>IF(onbekend_gas_kWh="---",0,onbekend_gas_kWh)/1000+IF(REST_rest_gas_kWh="---",0,REST_rest_gas_kWh)/1000</f>
        <v>363.84595400000001</v>
      </c>
      <c r="F25" s="983"/>
      <c r="G25" s="983"/>
      <c r="H25" s="983"/>
      <c r="I25" s="983"/>
      <c r="J25" s="983"/>
      <c r="K25" s="983"/>
      <c r="L25" s="983"/>
      <c r="M25" s="983"/>
      <c r="N25" s="983"/>
      <c r="O25" s="983"/>
      <c r="P25" s="983"/>
      <c r="Q25" s="984"/>
      <c r="R25" s="715">
        <f>SUM(C25:Q25)</f>
        <v>485.19218699999999</v>
      </c>
      <c r="S25" s="67"/>
    </row>
    <row r="26" spans="1:19" s="474" customFormat="1" ht="15.75" thickBot="1">
      <c r="A26" s="720" t="s">
        <v>735</v>
      </c>
      <c r="B26" s="842"/>
      <c r="C26" s="837">
        <f>SUM(C24:C25)</f>
        <v>355.71246600000001</v>
      </c>
      <c r="D26" s="837">
        <f t="shared" ref="D26:R26" si="2">SUM(D24:D25)</f>
        <v>0</v>
      </c>
      <c r="E26" s="837">
        <f t="shared" si="2"/>
        <v>363.84595400000001</v>
      </c>
      <c r="F26" s="837">
        <f t="shared" si="2"/>
        <v>7.3144928474807749</v>
      </c>
      <c r="G26" s="837">
        <f t="shared" si="2"/>
        <v>828.27622981293041</v>
      </c>
      <c r="H26" s="837">
        <f t="shared" si="2"/>
        <v>0</v>
      </c>
      <c r="I26" s="837">
        <f t="shared" si="2"/>
        <v>0</v>
      </c>
      <c r="J26" s="837">
        <f t="shared" si="2"/>
        <v>0</v>
      </c>
      <c r="K26" s="837">
        <f t="shared" si="2"/>
        <v>64.569522507081686</v>
      </c>
      <c r="L26" s="837">
        <f t="shared" si="2"/>
        <v>0</v>
      </c>
      <c r="M26" s="837">
        <f t="shared" si="2"/>
        <v>0</v>
      </c>
      <c r="N26" s="837">
        <f t="shared" si="2"/>
        <v>0</v>
      </c>
      <c r="O26" s="837">
        <f t="shared" si="2"/>
        <v>0</v>
      </c>
      <c r="P26" s="837">
        <f t="shared" si="2"/>
        <v>0</v>
      </c>
      <c r="Q26" s="837">
        <f t="shared" si="2"/>
        <v>0</v>
      </c>
      <c r="R26" s="837">
        <f t="shared" si="2"/>
        <v>1619.7186651674929</v>
      </c>
      <c r="S26" s="67"/>
    </row>
    <row r="27" spans="1:19" s="474" customFormat="1" ht="17.25" thickTop="1" thickBot="1">
      <c r="A27" s="721" t="s">
        <v>115</v>
      </c>
      <c r="B27" s="829"/>
      <c r="C27" s="722">
        <f ca="1">C22+C16+C26</f>
        <v>19809.370136369718</v>
      </c>
      <c r="D27" s="722">
        <f t="shared" ref="D27:R27" ca="1" si="3">D22+D16+D26</f>
        <v>0</v>
      </c>
      <c r="E27" s="722">
        <f t="shared" ca="1" si="3"/>
        <v>7864.523976305858</v>
      </c>
      <c r="F27" s="722">
        <f t="shared" si="3"/>
        <v>2490.3483231251344</v>
      </c>
      <c r="G27" s="722">
        <f t="shared" ca="1" si="3"/>
        <v>6983.3376540149156</v>
      </c>
      <c r="H27" s="722">
        <f t="shared" si="3"/>
        <v>17801.70013204003</v>
      </c>
      <c r="I27" s="722">
        <f t="shared" si="3"/>
        <v>4018.1147433571773</v>
      </c>
      <c r="J27" s="722">
        <f t="shared" si="3"/>
        <v>0</v>
      </c>
      <c r="K27" s="722">
        <f t="shared" si="3"/>
        <v>1009.895821449652</v>
      </c>
      <c r="L27" s="722">
        <f t="shared" si="3"/>
        <v>0</v>
      </c>
      <c r="M27" s="722">
        <f t="shared" ca="1" si="3"/>
        <v>0</v>
      </c>
      <c r="N27" s="722">
        <f t="shared" si="3"/>
        <v>1290.0211342897062</v>
      </c>
      <c r="O27" s="722">
        <f t="shared" ca="1" si="3"/>
        <v>3672.8748953325544</v>
      </c>
      <c r="P27" s="722">
        <f t="shared" si="3"/>
        <v>33.727289729579546</v>
      </c>
      <c r="Q27" s="722">
        <f t="shared" si="3"/>
        <v>94.805633769165212</v>
      </c>
      <c r="R27" s="722">
        <f t="shared" ca="1" si="3"/>
        <v>65068.71973978349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520.55105376961342</v>
      </c>
      <c r="D40" s="712">
        <f ca="1">tertiair!C20</f>
        <v>0</v>
      </c>
      <c r="E40" s="712">
        <f ca="1">tertiair!D20</f>
        <v>268.06181412881205</v>
      </c>
      <c r="F40" s="712">
        <f>tertiair!E20</f>
        <v>7.41001471990125</v>
      </c>
      <c r="G40" s="712">
        <f ca="1">tertiair!F20</f>
        <v>70.858893547637393</v>
      </c>
      <c r="H40" s="712">
        <f>tertiair!G20</f>
        <v>0</v>
      </c>
      <c r="I40" s="712">
        <f>tertiair!H20</f>
        <v>0</v>
      </c>
      <c r="J40" s="712">
        <f>tertiair!I20</f>
        <v>0</v>
      </c>
      <c r="K40" s="712">
        <f>tertiair!J20</f>
        <v>2.8773828908199225E-3</v>
      </c>
      <c r="L40" s="712">
        <f>tertiair!K20</f>
        <v>0</v>
      </c>
      <c r="M40" s="712">
        <f ca="1">tertiair!L20</f>
        <v>0</v>
      </c>
      <c r="N40" s="712">
        <f>tertiair!M20</f>
        <v>0</v>
      </c>
      <c r="O40" s="712">
        <f ca="1">tertiair!N20</f>
        <v>0</v>
      </c>
      <c r="P40" s="712">
        <f>tertiair!O20</f>
        <v>0</v>
      </c>
      <c r="Q40" s="795">
        <f>tertiair!P20</f>
        <v>0</v>
      </c>
      <c r="R40" s="875">
        <f t="shared" ca="1" si="4"/>
        <v>866.884653548855</v>
      </c>
    </row>
    <row r="41" spans="1:18">
      <c r="A41" s="847" t="s">
        <v>224</v>
      </c>
      <c r="B41" s="854"/>
      <c r="C41" s="712">
        <f ca="1">huishoudens!B12</f>
        <v>760.49692475077359</v>
      </c>
      <c r="D41" s="712">
        <f ca="1">huishoudens!C12</f>
        <v>0</v>
      </c>
      <c r="E41" s="712">
        <f>huishoudens!D12</f>
        <v>1142.1974435925242</v>
      </c>
      <c r="F41" s="712">
        <f>huishoudens!E12</f>
        <v>399.75670198065774</v>
      </c>
      <c r="G41" s="712">
        <f>huishoudens!F12</f>
        <v>901.55850284341182</v>
      </c>
      <c r="H41" s="712">
        <f>huishoudens!G12</f>
        <v>0</v>
      </c>
      <c r="I41" s="712">
        <f>huishoudens!H12</f>
        <v>0</v>
      </c>
      <c r="J41" s="712">
        <f>huishoudens!I12</f>
        <v>0</v>
      </c>
      <c r="K41" s="712">
        <f>huishoudens!J12</f>
        <v>297.18432513260893</v>
      </c>
      <c r="L41" s="712">
        <f>huishoudens!K12</f>
        <v>0</v>
      </c>
      <c r="M41" s="712">
        <f>huishoudens!L12</f>
        <v>0</v>
      </c>
      <c r="N41" s="712">
        <f>huishoudens!M12</f>
        <v>0</v>
      </c>
      <c r="O41" s="712">
        <f>huishoudens!N12</f>
        <v>0</v>
      </c>
      <c r="P41" s="712">
        <f>huishoudens!O12</f>
        <v>0</v>
      </c>
      <c r="Q41" s="795">
        <f>huishoudens!P12</f>
        <v>0</v>
      </c>
      <c r="R41" s="875">
        <f t="shared" ca="1" si="4"/>
        <v>3501.1938982999764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2839.8986653979387</v>
      </c>
      <c r="D43" s="712">
        <f ca="1">industrie!C22</f>
        <v>0</v>
      </c>
      <c r="E43" s="712">
        <f>industrie!D22</f>
        <v>94.047427872200004</v>
      </c>
      <c r="F43" s="712">
        <f>industrie!E22</f>
        <v>146.94135044485338</v>
      </c>
      <c r="G43" s="712">
        <f>industrie!F22</f>
        <v>670.984003870881</v>
      </c>
      <c r="H43" s="712">
        <f>industrie!G22</f>
        <v>0</v>
      </c>
      <c r="I43" s="712">
        <f>industrie!H22</f>
        <v>0</v>
      </c>
      <c r="J43" s="712">
        <f>industrie!I22</f>
        <v>0</v>
      </c>
      <c r="K43" s="712">
        <f>industrie!J22</f>
        <v>37.458307310170063</v>
      </c>
      <c r="L43" s="712">
        <f>industrie!K22</f>
        <v>0</v>
      </c>
      <c r="M43" s="712">
        <f>industrie!L22</f>
        <v>0</v>
      </c>
      <c r="N43" s="712">
        <f>industrie!M22</f>
        <v>0</v>
      </c>
      <c r="O43" s="712">
        <f>industrie!N22</f>
        <v>0</v>
      </c>
      <c r="P43" s="712">
        <f>industrie!O22</f>
        <v>0</v>
      </c>
      <c r="Q43" s="795">
        <f>industrie!P22</f>
        <v>0</v>
      </c>
      <c r="R43" s="874">
        <f t="shared" ca="1" si="4"/>
        <v>3789.3297548960431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4120.9466439183252</v>
      </c>
      <c r="D46" s="748">
        <f t="shared" ref="D46:Q46" ca="1" si="5">SUM(D39:D45)</f>
        <v>0</v>
      </c>
      <c r="E46" s="748">
        <f t="shared" ca="1" si="5"/>
        <v>1504.3066855935363</v>
      </c>
      <c r="F46" s="748">
        <f t="shared" si="5"/>
        <v>554.10806714541241</v>
      </c>
      <c r="G46" s="748">
        <f t="shared" ca="1" si="5"/>
        <v>1643.4014002619301</v>
      </c>
      <c r="H46" s="748">
        <f t="shared" si="5"/>
        <v>0</v>
      </c>
      <c r="I46" s="748">
        <f t="shared" si="5"/>
        <v>0</v>
      </c>
      <c r="J46" s="748">
        <f t="shared" si="5"/>
        <v>0</v>
      </c>
      <c r="K46" s="748">
        <f t="shared" si="5"/>
        <v>334.64550982566982</v>
      </c>
      <c r="L46" s="748">
        <f t="shared" si="5"/>
        <v>0</v>
      </c>
      <c r="M46" s="748">
        <f t="shared" ca="1" si="5"/>
        <v>0</v>
      </c>
      <c r="N46" s="748">
        <f t="shared" si="5"/>
        <v>0</v>
      </c>
      <c r="O46" s="748">
        <f t="shared" ca="1" si="5"/>
        <v>0</v>
      </c>
      <c r="P46" s="748">
        <f t="shared" si="5"/>
        <v>0</v>
      </c>
      <c r="Q46" s="748">
        <f t="shared" si="5"/>
        <v>0</v>
      </c>
      <c r="R46" s="748">
        <f ca="1">SUM(R39:R45)</f>
        <v>8157.4083067448737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66.94628864014372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66.94628864014372</v>
      </c>
    </row>
    <row r="50" spans="1:18">
      <c r="A50" s="850" t="s">
        <v>306</v>
      </c>
      <c r="B50" s="860"/>
      <c r="C50" s="718">
        <f ca="1">transport!B18</f>
        <v>3.1715331828021376</v>
      </c>
      <c r="D50" s="718">
        <f>transport!C18</f>
        <v>0</v>
      </c>
      <c r="E50" s="718">
        <f>transport!D18</f>
        <v>10.830274912247045</v>
      </c>
      <c r="F50" s="718">
        <f>transport!E18</f>
        <v>9.5406123276149586</v>
      </c>
      <c r="G50" s="718">
        <f>transport!F18</f>
        <v>0</v>
      </c>
      <c r="H50" s="718">
        <f>transport!G18</f>
        <v>4686.1076466145441</v>
      </c>
      <c r="I50" s="718">
        <f>transport!H18</f>
        <v>1000.5105710959372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5710.1606381331449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3.1715331828021376</v>
      </c>
      <c r="D52" s="748">
        <f t="shared" ref="D52:Q52" ca="1" si="6">SUM(D48:D51)</f>
        <v>0</v>
      </c>
      <c r="E52" s="748">
        <f t="shared" si="6"/>
        <v>10.830274912247045</v>
      </c>
      <c r="F52" s="748">
        <f t="shared" si="6"/>
        <v>9.5406123276149586</v>
      </c>
      <c r="G52" s="748">
        <f t="shared" si="6"/>
        <v>0</v>
      </c>
      <c r="H52" s="748">
        <f t="shared" si="6"/>
        <v>4753.0539352546875</v>
      </c>
      <c r="I52" s="748">
        <f t="shared" si="6"/>
        <v>1000.5105710959372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5777.1069267732883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49.684951693490383</v>
      </c>
      <c r="D54" s="718">
        <f ca="1">+landbouw!C12</f>
        <v>0</v>
      </c>
      <c r="E54" s="718">
        <f>+landbouw!D12</f>
        <v>0</v>
      </c>
      <c r="F54" s="718">
        <f>+landbouw!E12</f>
        <v>1.660389876378136</v>
      </c>
      <c r="G54" s="718">
        <f>+landbouw!F12</f>
        <v>221.14975336005244</v>
      </c>
      <c r="H54" s="718">
        <f>+landbouw!G12</f>
        <v>0</v>
      </c>
      <c r="I54" s="718">
        <f>+landbouw!H12</f>
        <v>0</v>
      </c>
      <c r="J54" s="718">
        <f>+landbouw!I12</f>
        <v>0</v>
      </c>
      <c r="K54" s="718">
        <f>+landbouw!J12</f>
        <v>22.857610967506915</v>
      </c>
      <c r="L54" s="718">
        <f>+landbouw!K12</f>
        <v>0</v>
      </c>
      <c r="M54" s="718">
        <f>+landbouw!L12</f>
        <v>0</v>
      </c>
      <c r="N54" s="718">
        <f>+landbouw!M12</f>
        <v>0</v>
      </c>
      <c r="O54" s="718">
        <f>+landbouw!N12</f>
        <v>0</v>
      </c>
      <c r="P54" s="718">
        <f>+landbouw!O12</f>
        <v>0</v>
      </c>
      <c r="Q54" s="719">
        <f>+landbouw!P12</f>
        <v>0</v>
      </c>
      <c r="R54" s="747">
        <f ca="1">SUM(C54:Q54)</f>
        <v>295.35270589742788</v>
      </c>
    </row>
    <row r="55" spans="1:18" ht="15" thickBot="1">
      <c r="A55" s="850" t="s">
        <v>734</v>
      </c>
      <c r="B55" s="860"/>
      <c r="C55" s="718">
        <f ca="1">C25*'EF ele_warmte'!B12</f>
        <v>25.725044293356152</v>
      </c>
      <c r="D55" s="718"/>
      <c r="E55" s="718">
        <f>E25*EF_CO2_aardgas</f>
        <v>73.496882708000001</v>
      </c>
      <c r="F55" s="718"/>
      <c r="G55" s="718"/>
      <c r="H55" s="718"/>
      <c r="I55" s="718"/>
      <c r="J55" s="718"/>
      <c r="K55" s="718"/>
      <c r="L55" s="718"/>
      <c r="M55" s="718"/>
      <c r="N55" s="718"/>
      <c r="O55" s="718"/>
      <c r="P55" s="718"/>
      <c r="Q55" s="719"/>
      <c r="R55" s="747">
        <f ca="1">SUM(C55:Q55)</f>
        <v>99.22192700135615</v>
      </c>
    </row>
    <row r="56" spans="1:18" ht="15.75" thickBot="1">
      <c r="A56" s="848" t="s">
        <v>735</v>
      </c>
      <c r="B56" s="861"/>
      <c r="C56" s="748">
        <f ca="1">SUM(C54:C55)</f>
        <v>75.409995986846539</v>
      </c>
      <c r="D56" s="748">
        <f t="shared" ref="D56:Q56" ca="1" si="7">SUM(D54:D55)</f>
        <v>0</v>
      </c>
      <c r="E56" s="748">
        <f t="shared" si="7"/>
        <v>73.496882708000001</v>
      </c>
      <c r="F56" s="748">
        <f t="shared" si="7"/>
        <v>1.660389876378136</v>
      </c>
      <c r="G56" s="748">
        <f t="shared" si="7"/>
        <v>221.14975336005244</v>
      </c>
      <c r="H56" s="748">
        <f t="shared" si="7"/>
        <v>0</v>
      </c>
      <c r="I56" s="748">
        <f t="shared" si="7"/>
        <v>0</v>
      </c>
      <c r="J56" s="748">
        <f t="shared" si="7"/>
        <v>0</v>
      </c>
      <c r="K56" s="748">
        <f t="shared" si="7"/>
        <v>22.857610967506915</v>
      </c>
      <c r="L56" s="748">
        <f t="shared" si="7"/>
        <v>0</v>
      </c>
      <c r="M56" s="748">
        <f t="shared" si="7"/>
        <v>0</v>
      </c>
      <c r="N56" s="748">
        <f t="shared" si="7"/>
        <v>0</v>
      </c>
      <c r="O56" s="748">
        <f t="shared" si="7"/>
        <v>0</v>
      </c>
      <c r="P56" s="748">
        <f t="shared" si="7"/>
        <v>0</v>
      </c>
      <c r="Q56" s="749">
        <f t="shared" si="7"/>
        <v>0</v>
      </c>
      <c r="R56" s="750">
        <f ca="1">SUM(R54:R55)</f>
        <v>394.57463289878405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4199.5281730879733</v>
      </c>
      <c r="D61" s="756">
        <f t="shared" ref="D61:Q61" ca="1" si="8">D46+D52+D56</f>
        <v>0</v>
      </c>
      <c r="E61" s="756">
        <f t="shared" ca="1" si="8"/>
        <v>1588.6338432137832</v>
      </c>
      <c r="F61" s="756">
        <f t="shared" si="8"/>
        <v>565.3090693494056</v>
      </c>
      <c r="G61" s="756">
        <f t="shared" ca="1" si="8"/>
        <v>1864.5511536219826</v>
      </c>
      <c r="H61" s="756">
        <f t="shared" si="8"/>
        <v>4753.0539352546875</v>
      </c>
      <c r="I61" s="756">
        <f t="shared" si="8"/>
        <v>1000.5105710959372</v>
      </c>
      <c r="J61" s="756">
        <f t="shared" si="8"/>
        <v>0</v>
      </c>
      <c r="K61" s="756">
        <f t="shared" si="8"/>
        <v>357.50312079317672</v>
      </c>
      <c r="L61" s="756">
        <f t="shared" si="8"/>
        <v>0</v>
      </c>
      <c r="M61" s="756">
        <f t="shared" ca="1" si="8"/>
        <v>0</v>
      </c>
      <c r="N61" s="756">
        <f t="shared" si="8"/>
        <v>0</v>
      </c>
      <c r="O61" s="756">
        <f t="shared" ca="1" si="8"/>
        <v>0</v>
      </c>
      <c r="P61" s="756">
        <f t="shared" si="8"/>
        <v>0</v>
      </c>
      <c r="Q61" s="756">
        <f t="shared" si="8"/>
        <v>0</v>
      </c>
      <c r="R61" s="756">
        <f ca="1">R46+R52+R56</f>
        <v>14329.089866416947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0.21199705715921274</v>
      </c>
      <c r="D63" s="802">
        <f t="shared" ca="1" si="9"/>
        <v>0</v>
      </c>
      <c r="E63" s="1008">
        <f t="shared" ca="1" si="9"/>
        <v>0.20199999999999999</v>
      </c>
      <c r="F63" s="802">
        <f t="shared" si="9"/>
        <v>0.22700000000000004</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806.98021289472206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806.98021289472206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806.98021289472206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806.98021289472206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3587.2994415183302</v>
      </c>
      <c r="C4" s="478">
        <f>huishoudens!C8</f>
        <v>0</v>
      </c>
      <c r="D4" s="478">
        <f>huishoudens!D8</f>
        <v>5654.4427900620003</v>
      </c>
      <c r="E4" s="478">
        <f>huishoudens!E8</f>
        <v>1761.0427400028975</v>
      </c>
      <c r="F4" s="478">
        <f>huishoudens!F8</f>
        <v>3376.6236061551003</v>
      </c>
      <c r="G4" s="478">
        <f>huishoudens!G8</f>
        <v>0</v>
      </c>
      <c r="H4" s="478">
        <f>huishoudens!H8</f>
        <v>0</v>
      </c>
      <c r="I4" s="478">
        <f>huishoudens!I8</f>
        <v>0</v>
      </c>
      <c r="J4" s="478">
        <f>huishoudens!J8</f>
        <v>839.50374331245473</v>
      </c>
      <c r="K4" s="478">
        <f>huishoudens!K8</f>
        <v>0</v>
      </c>
      <c r="L4" s="478">
        <f>huishoudens!L8</f>
        <v>0</v>
      </c>
      <c r="M4" s="478">
        <f>huishoudens!M8</f>
        <v>0</v>
      </c>
      <c r="N4" s="478">
        <f>huishoudens!N8</f>
        <v>2742.7926531281728</v>
      </c>
      <c r="O4" s="478">
        <f>huishoudens!O8</f>
        <v>33.727289729579546</v>
      </c>
      <c r="P4" s="479">
        <f>huishoudens!P8</f>
        <v>94.805633769165212</v>
      </c>
      <c r="Q4" s="480">
        <f>SUM(B4:P4)</f>
        <v>18090.237897677704</v>
      </c>
    </row>
    <row r="5" spans="1:17">
      <c r="A5" s="477" t="s">
        <v>155</v>
      </c>
      <c r="B5" s="478">
        <f ca="1">tertiair!B16</f>
        <v>2258.4375839999998</v>
      </c>
      <c r="C5" s="478">
        <f ca="1">tertiair!C16</f>
        <v>0</v>
      </c>
      <c r="D5" s="478">
        <f ca="1">tertiair!D16</f>
        <v>1327.0386838060001</v>
      </c>
      <c r="E5" s="478">
        <f>tertiair!E16</f>
        <v>32.643236651547355</v>
      </c>
      <c r="F5" s="478">
        <f ca="1">tertiair!F16</f>
        <v>265.38911441062692</v>
      </c>
      <c r="G5" s="478">
        <f>tertiair!G16</f>
        <v>0</v>
      </c>
      <c r="H5" s="478">
        <f>tertiair!H16</f>
        <v>0</v>
      </c>
      <c r="I5" s="478">
        <f>tertiair!I16</f>
        <v>0</v>
      </c>
      <c r="J5" s="478">
        <f>tertiair!J16</f>
        <v>8.1282002565534542E-3</v>
      </c>
      <c r="K5" s="478">
        <f>tertiair!K16</f>
        <v>0</v>
      </c>
      <c r="L5" s="478">
        <f ca="1">tertiair!L16</f>
        <v>0</v>
      </c>
      <c r="M5" s="478">
        <f>tertiair!M16</f>
        <v>0</v>
      </c>
      <c r="N5" s="478">
        <f ca="1">tertiair!N16</f>
        <v>318.26491569222719</v>
      </c>
      <c r="O5" s="478">
        <f>tertiair!O16</f>
        <v>0</v>
      </c>
      <c r="P5" s="479">
        <f>tertiair!P16</f>
        <v>0</v>
      </c>
      <c r="Q5" s="477">
        <f t="shared" ref="Q5:Q14" ca="1" si="0">SUM(B5:P5)</f>
        <v>4201.781662760658</v>
      </c>
    </row>
    <row r="6" spans="1:17">
      <c r="A6" s="477" t="s">
        <v>193</v>
      </c>
      <c r="B6" s="478">
        <f>'openbare verlichting'!B8</f>
        <v>197.02600000000001</v>
      </c>
      <c r="C6" s="478"/>
      <c r="D6" s="478"/>
      <c r="E6" s="478"/>
      <c r="F6" s="478"/>
      <c r="G6" s="478"/>
      <c r="H6" s="478"/>
      <c r="I6" s="478"/>
      <c r="J6" s="478"/>
      <c r="K6" s="478"/>
      <c r="L6" s="478"/>
      <c r="M6" s="478"/>
      <c r="N6" s="478"/>
      <c r="O6" s="478"/>
      <c r="P6" s="479"/>
      <c r="Q6" s="477">
        <f t="shared" si="0"/>
        <v>197.02600000000001</v>
      </c>
    </row>
    <row r="7" spans="1:17">
      <c r="A7" s="477" t="s">
        <v>111</v>
      </c>
      <c r="B7" s="478">
        <f>landbouw!B8</f>
        <v>234.36623299999999</v>
      </c>
      <c r="C7" s="478">
        <f>landbouw!C8</f>
        <v>0</v>
      </c>
      <c r="D7" s="478">
        <f>landbouw!D8</f>
        <v>0</v>
      </c>
      <c r="E7" s="478">
        <f>landbouw!E8</f>
        <v>7.3144928474807749</v>
      </c>
      <c r="F7" s="478">
        <f>landbouw!F8</f>
        <v>828.27622981293041</v>
      </c>
      <c r="G7" s="478">
        <f>landbouw!G8</f>
        <v>0</v>
      </c>
      <c r="H7" s="478">
        <f>landbouw!H8</f>
        <v>0</v>
      </c>
      <c r="I7" s="478">
        <f>landbouw!I8</f>
        <v>0</v>
      </c>
      <c r="J7" s="478">
        <f>landbouw!J8</f>
        <v>64.569522507081686</v>
      </c>
      <c r="K7" s="478">
        <f>landbouw!K8</f>
        <v>0</v>
      </c>
      <c r="L7" s="478">
        <f>landbouw!L8</f>
        <v>0</v>
      </c>
      <c r="M7" s="478">
        <f>landbouw!M8</f>
        <v>0</v>
      </c>
      <c r="N7" s="478">
        <f>landbouw!N8</f>
        <v>0</v>
      </c>
      <c r="O7" s="478">
        <f>landbouw!O8</f>
        <v>0</v>
      </c>
      <c r="P7" s="479">
        <f>landbouw!P8</f>
        <v>0</v>
      </c>
      <c r="Q7" s="477">
        <f t="shared" si="0"/>
        <v>1134.526478167493</v>
      </c>
    </row>
    <row r="8" spans="1:17">
      <c r="A8" s="477" t="s">
        <v>629</v>
      </c>
      <c r="B8" s="478">
        <f>industrie!B18</f>
        <v>13395.934375000001</v>
      </c>
      <c r="C8" s="478">
        <f>industrie!C18</f>
        <v>0</v>
      </c>
      <c r="D8" s="478">
        <f>industrie!D18</f>
        <v>465.58132610000001</v>
      </c>
      <c r="E8" s="478">
        <f>industrie!E18</f>
        <v>647.3187244266669</v>
      </c>
      <c r="F8" s="478">
        <f>industrie!F18</f>
        <v>2513.0487036362583</v>
      </c>
      <c r="G8" s="478">
        <f>industrie!G18</f>
        <v>0</v>
      </c>
      <c r="H8" s="478">
        <f>industrie!H18</f>
        <v>0</v>
      </c>
      <c r="I8" s="478">
        <f>industrie!I18</f>
        <v>0</v>
      </c>
      <c r="J8" s="478">
        <f>industrie!J18</f>
        <v>105.81442742985894</v>
      </c>
      <c r="K8" s="478">
        <f>industrie!K18</f>
        <v>0</v>
      </c>
      <c r="L8" s="478">
        <f>industrie!L18</f>
        <v>0</v>
      </c>
      <c r="M8" s="478">
        <f>industrie!M18</f>
        <v>0</v>
      </c>
      <c r="N8" s="478">
        <f>industrie!N18</f>
        <v>611.81732651215441</v>
      </c>
      <c r="O8" s="478">
        <f>industrie!O18</f>
        <v>0</v>
      </c>
      <c r="P8" s="479">
        <f>industrie!P18</f>
        <v>0</v>
      </c>
      <c r="Q8" s="477">
        <f t="shared" si="0"/>
        <v>17739.514883104937</v>
      </c>
    </row>
    <row r="9" spans="1:17" s="483" customFormat="1">
      <c r="A9" s="481" t="s">
        <v>555</v>
      </c>
      <c r="B9" s="482">
        <f>transport!B14</f>
        <v>14.960269851388887</v>
      </c>
      <c r="C9" s="482">
        <f>transport!C14</f>
        <v>0</v>
      </c>
      <c r="D9" s="482">
        <f>transport!D14</f>
        <v>53.615222337856657</v>
      </c>
      <c r="E9" s="482">
        <f>transport!E14</f>
        <v>42.029129196541668</v>
      </c>
      <c r="F9" s="482">
        <f>transport!F14</f>
        <v>0</v>
      </c>
      <c r="G9" s="482">
        <f>transport!G14</f>
        <v>17550.964968593798</v>
      </c>
      <c r="H9" s="482">
        <f>transport!H14</f>
        <v>4018.1147433571773</v>
      </c>
      <c r="I9" s="482">
        <f>transport!I14</f>
        <v>0</v>
      </c>
      <c r="J9" s="482">
        <f>transport!J14</f>
        <v>0</v>
      </c>
      <c r="K9" s="482">
        <f>transport!K14</f>
        <v>0</v>
      </c>
      <c r="L9" s="482">
        <f>transport!L14</f>
        <v>0</v>
      </c>
      <c r="M9" s="482">
        <f>transport!M14</f>
        <v>1276.0852461630429</v>
      </c>
      <c r="N9" s="482">
        <f>transport!N14</f>
        <v>0</v>
      </c>
      <c r="O9" s="482">
        <f>transport!O14</f>
        <v>0</v>
      </c>
      <c r="P9" s="482">
        <f>transport!P14</f>
        <v>0</v>
      </c>
      <c r="Q9" s="481">
        <f>SUM(B9:P9)</f>
        <v>22955.769579499807</v>
      </c>
    </row>
    <row r="10" spans="1:17">
      <c r="A10" s="477" t="s">
        <v>545</v>
      </c>
      <c r="B10" s="478">
        <f>transport!B54</f>
        <v>0</v>
      </c>
      <c r="C10" s="478">
        <f>transport!C54</f>
        <v>0</v>
      </c>
      <c r="D10" s="478">
        <f>transport!D54</f>
        <v>0</v>
      </c>
      <c r="E10" s="478">
        <f>transport!E54</f>
        <v>0</v>
      </c>
      <c r="F10" s="478">
        <f>transport!F54</f>
        <v>0</v>
      </c>
      <c r="G10" s="478">
        <f>transport!G54</f>
        <v>250.73516344623116</v>
      </c>
      <c r="H10" s="478">
        <f>transport!H54</f>
        <v>0</v>
      </c>
      <c r="I10" s="478">
        <f>transport!I54</f>
        <v>0</v>
      </c>
      <c r="J10" s="478">
        <f>transport!J54</f>
        <v>0</v>
      </c>
      <c r="K10" s="478">
        <f>transport!K54</f>
        <v>0</v>
      </c>
      <c r="L10" s="478">
        <f>transport!L54</f>
        <v>0</v>
      </c>
      <c r="M10" s="478">
        <f>transport!M54</f>
        <v>13.93588812666334</v>
      </c>
      <c r="N10" s="478">
        <f>transport!N54</f>
        <v>0</v>
      </c>
      <c r="O10" s="478">
        <f>transport!O54</f>
        <v>0</v>
      </c>
      <c r="P10" s="479">
        <f>transport!P54</f>
        <v>0</v>
      </c>
      <c r="Q10" s="477">
        <f t="shared" si="0"/>
        <v>264.6710515728945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121.346233</v>
      </c>
      <c r="C14" s="485"/>
      <c r="D14" s="485">
        <f>'SEAP template'!E25</f>
        <v>363.84595400000001</v>
      </c>
      <c r="E14" s="485"/>
      <c r="F14" s="485"/>
      <c r="G14" s="485"/>
      <c r="H14" s="485"/>
      <c r="I14" s="485"/>
      <c r="J14" s="485"/>
      <c r="K14" s="485"/>
      <c r="L14" s="485"/>
      <c r="M14" s="485"/>
      <c r="N14" s="485"/>
      <c r="O14" s="485"/>
      <c r="P14" s="486"/>
      <c r="Q14" s="477">
        <f t="shared" si="0"/>
        <v>485.19218699999999</v>
      </c>
    </row>
    <row r="15" spans="1:17" s="489" customFormat="1">
      <c r="A15" s="487" t="s">
        <v>549</v>
      </c>
      <c r="B15" s="488">
        <f ca="1">SUM(B4:B14)</f>
        <v>19809.370136369718</v>
      </c>
      <c r="C15" s="488">
        <f t="shared" ref="C15:Q15" ca="1" si="1">SUM(C4:C14)</f>
        <v>0</v>
      </c>
      <c r="D15" s="488">
        <f t="shared" ca="1" si="1"/>
        <v>7864.523976305858</v>
      </c>
      <c r="E15" s="488">
        <f t="shared" si="1"/>
        <v>2490.3483231251344</v>
      </c>
      <c r="F15" s="488">
        <f t="shared" ca="1" si="1"/>
        <v>6983.3376540149156</v>
      </c>
      <c r="G15" s="488">
        <f t="shared" si="1"/>
        <v>17801.70013204003</v>
      </c>
      <c r="H15" s="488">
        <f t="shared" si="1"/>
        <v>4018.1147433571773</v>
      </c>
      <c r="I15" s="488">
        <f t="shared" si="1"/>
        <v>0</v>
      </c>
      <c r="J15" s="488">
        <f t="shared" si="1"/>
        <v>1009.895821449652</v>
      </c>
      <c r="K15" s="488">
        <f t="shared" si="1"/>
        <v>0</v>
      </c>
      <c r="L15" s="488">
        <f t="shared" ca="1" si="1"/>
        <v>0</v>
      </c>
      <c r="M15" s="488">
        <f t="shared" si="1"/>
        <v>1290.0211342897062</v>
      </c>
      <c r="N15" s="488">
        <f t="shared" ca="1" si="1"/>
        <v>3672.8748953325544</v>
      </c>
      <c r="O15" s="488">
        <f t="shared" si="1"/>
        <v>33.727289729579546</v>
      </c>
      <c r="P15" s="488">
        <f t="shared" si="1"/>
        <v>94.805633769165212</v>
      </c>
      <c r="Q15" s="488">
        <f t="shared" ca="1" si="1"/>
        <v>65068.719739783497</v>
      </c>
    </row>
    <row r="17" spans="1:17">
      <c r="A17" s="490" t="s">
        <v>550</v>
      </c>
      <c r="B17" s="807">
        <f ca="1">huishoudens!B10</f>
        <v>0.2119970571592128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760.49692475077359</v>
      </c>
      <c r="C22" s="478">
        <f t="shared" ref="C22:C32" ca="1" si="3">C4*$C$17</f>
        <v>0</v>
      </c>
      <c r="D22" s="478">
        <f t="shared" ref="D22:D32" si="4">D4*$D$17</f>
        <v>1142.1974435925242</v>
      </c>
      <c r="E22" s="478">
        <f t="shared" ref="E22:E32" si="5">E4*$E$17</f>
        <v>399.75670198065774</v>
      </c>
      <c r="F22" s="478">
        <f t="shared" ref="F22:F32" si="6">F4*$F$17</f>
        <v>901.55850284341182</v>
      </c>
      <c r="G22" s="478">
        <f t="shared" ref="G22:G32" si="7">G4*$G$17</f>
        <v>0</v>
      </c>
      <c r="H22" s="478">
        <f t="shared" ref="H22:H32" si="8">H4*$H$17</f>
        <v>0</v>
      </c>
      <c r="I22" s="478">
        <f t="shared" ref="I22:I32" si="9">I4*$I$17</f>
        <v>0</v>
      </c>
      <c r="J22" s="478">
        <f t="shared" ref="J22:J32" si="10">J4*$J$17</f>
        <v>297.18432513260893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3501.1938982999764</v>
      </c>
    </row>
    <row r="23" spans="1:17">
      <c r="A23" s="477" t="s">
        <v>155</v>
      </c>
      <c r="B23" s="478">
        <f t="shared" ca="1" si="2"/>
        <v>478.78212158576241</v>
      </c>
      <c r="C23" s="478">
        <f t="shared" ca="1" si="3"/>
        <v>0</v>
      </c>
      <c r="D23" s="478">
        <f t="shared" ca="1" si="4"/>
        <v>268.06181412881205</v>
      </c>
      <c r="E23" s="478">
        <f t="shared" si="5"/>
        <v>7.41001471990125</v>
      </c>
      <c r="F23" s="478">
        <f t="shared" ca="1" si="6"/>
        <v>70.858893547637393</v>
      </c>
      <c r="G23" s="478">
        <f t="shared" si="7"/>
        <v>0</v>
      </c>
      <c r="H23" s="478">
        <f t="shared" si="8"/>
        <v>0</v>
      </c>
      <c r="I23" s="478">
        <f t="shared" si="9"/>
        <v>0</v>
      </c>
      <c r="J23" s="478">
        <f t="shared" si="10"/>
        <v>2.8773828908199225E-3</v>
      </c>
      <c r="K23" s="478">
        <f t="shared" si="11"/>
        <v>0</v>
      </c>
      <c r="L23" s="478">
        <f t="shared" ca="1" si="12"/>
        <v>0</v>
      </c>
      <c r="M23" s="478">
        <f t="shared" si="13"/>
        <v>0</v>
      </c>
      <c r="N23" s="478">
        <f t="shared" ca="1" si="14"/>
        <v>0</v>
      </c>
      <c r="O23" s="478">
        <f t="shared" si="15"/>
        <v>0</v>
      </c>
      <c r="P23" s="479">
        <f t="shared" si="16"/>
        <v>0</v>
      </c>
      <c r="Q23" s="477">
        <f t="shared" ref="Q23:Q31" ca="1" si="17">SUM(B23:P23)</f>
        <v>825.11572136500388</v>
      </c>
    </row>
    <row r="24" spans="1:17">
      <c r="A24" s="477" t="s">
        <v>193</v>
      </c>
      <c r="B24" s="478">
        <f t="shared" ca="1" si="2"/>
        <v>41.768932183851064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41.768932183851064</v>
      </c>
    </row>
    <row r="25" spans="1:17">
      <c r="A25" s="477" t="s">
        <v>111</v>
      </c>
      <c r="B25" s="478">
        <f t="shared" ca="1" si="2"/>
        <v>49.684951693490383</v>
      </c>
      <c r="C25" s="478">
        <f t="shared" ca="1" si="3"/>
        <v>0</v>
      </c>
      <c r="D25" s="478">
        <f t="shared" si="4"/>
        <v>0</v>
      </c>
      <c r="E25" s="478">
        <f t="shared" si="5"/>
        <v>1.660389876378136</v>
      </c>
      <c r="F25" s="478">
        <f t="shared" si="6"/>
        <v>221.14975336005244</v>
      </c>
      <c r="G25" s="478">
        <f t="shared" si="7"/>
        <v>0</v>
      </c>
      <c r="H25" s="478">
        <f t="shared" si="8"/>
        <v>0</v>
      </c>
      <c r="I25" s="478">
        <f t="shared" si="9"/>
        <v>0</v>
      </c>
      <c r="J25" s="478">
        <f t="shared" si="10"/>
        <v>22.857610967506915</v>
      </c>
      <c r="K25" s="478">
        <f t="shared" si="11"/>
        <v>0</v>
      </c>
      <c r="L25" s="478">
        <f t="shared" si="12"/>
        <v>0</v>
      </c>
      <c r="M25" s="478">
        <f t="shared" si="13"/>
        <v>0</v>
      </c>
      <c r="N25" s="478">
        <f t="shared" si="14"/>
        <v>0</v>
      </c>
      <c r="O25" s="478">
        <f t="shared" si="15"/>
        <v>0</v>
      </c>
      <c r="P25" s="479">
        <f t="shared" si="16"/>
        <v>0</v>
      </c>
      <c r="Q25" s="477">
        <f t="shared" ca="1" si="17"/>
        <v>295.35270589742788</v>
      </c>
    </row>
    <row r="26" spans="1:17">
      <c r="A26" s="477" t="s">
        <v>629</v>
      </c>
      <c r="B26" s="478">
        <f t="shared" ca="1" si="2"/>
        <v>2839.8986653979387</v>
      </c>
      <c r="C26" s="478">
        <f t="shared" ca="1" si="3"/>
        <v>0</v>
      </c>
      <c r="D26" s="478">
        <f t="shared" si="4"/>
        <v>94.047427872200004</v>
      </c>
      <c r="E26" s="478">
        <f t="shared" si="5"/>
        <v>146.94135044485338</v>
      </c>
      <c r="F26" s="478">
        <f t="shared" si="6"/>
        <v>670.984003870881</v>
      </c>
      <c r="G26" s="478">
        <f t="shared" si="7"/>
        <v>0</v>
      </c>
      <c r="H26" s="478">
        <f t="shared" si="8"/>
        <v>0</v>
      </c>
      <c r="I26" s="478">
        <f t="shared" si="9"/>
        <v>0</v>
      </c>
      <c r="J26" s="478">
        <f t="shared" si="10"/>
        <v>37.458307310170063</v>
      </c>
      <c r="K26" s="478">
        <f t="shared" si="11"/>
        <v>0</v>
      </c>
      <c r="L26" s="478">
        <f t="shared" si="12"/>
        <v>0</v>
      </c>
      <c r="M26" s="478">
        <f t="shared" si="13"/>
        <v>0</v>
      </c>
      <c r="N26" s="478">
        <f t="shared" si="14"/>
        <v>0</v>
      </c>
      <c r="O26" s="478">
        <f t="shared" si="15"/>
        <v>0</v>
      </c>
      <c r="P26" s="479">
        <f t="shared" si="16"/>
        <v>0</v>
      </c>
      <c r="Q26" s="477">
        <f t="shared" ca="1" si="17"/>
        <v>3789.3297548960431</v>
      </c>
    </row>
    <row r="27" spans="1:17" s="483" customFormat="1">
      <c r="A27" s="481" t="s">
        <v>555</v>
      </c>
      <c r="B27" s="801">
        <f t="shared" ca="1" si="2"/>
        <v>3.1715331828021376</v>
      </c>
      <c r="C27" s="482">
        <f t="shared" ca="1" si="3"/>
        <v>0</v>
      </c>
      <c r="D27" s="482">
        <f t="shared" si="4"/>
        <v>10.830274912247045</v>
      </c>
      <c r="E27" s="482">
        <f t="shared" si="5"/>
        <v>9.5406123276149586</v>
      </c>
      <c r="F27" s="482">
        <f t="shared" si="6"/>
        <v>0</v>
      </c>
      <c r="G27" s="482">
        <f t="shared" si="7"/>
        <v>4686.1076466145441</v>
      </c>
      <c r="H27" s="482">
        <f t="shared" si="8"/>
        <v>1000.5105710959372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5710.1606381331449</v>
      </c>
    </row>
    <row r="28" spans="1:17" ht="16.5" customHeight="1">
      <c r="A28" s="477" t="s">
        <v>545</v>
      </c>
      <c r="B28" s="478">
        <f t="shared" ca="1" si="2"/>
        <v>0</v>
      </c>
      <c r="C28" s="478">
        <f t="shared" ca="1" si="3"/>
        <v>0</v>
      </c>
      <c r="D28" s="478">
        <f t="shared" si="4"/>
        <v>0</v>
      </c>
      <c r="E28" s="478">
        <f t="shared" si="5"/>
        <v>0</v>
      </c>
      <c r="F28" s="478">
        <f t="shared" si="6"/>
        <v>0</v>
      </c>
      <c r="G28" s="478">
        <f t="shared" si="7"/>
        <v>66.94628864014372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66.94628864014372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25.725044293356152</v>
      </c>
      <c r="C32" s="478">
        <f t="shared" ca="1" si="3"/>
        <v>0</v>
      </c>
      <c r="D32" s="478">
        <f t="shared" si="4"/>
        <v>73.496882708000001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99.22192700135615</v>
      </c>
    </row>
    <row r="33" spans="1:17" s="489" customFormat="1">
      <c r="A33" s="487" t="s">
        <v>549</v>
      </c>
      <c r="B33" s="488">
        <f ca="1">SUM(B22:B32)</f>
        <v>4199.5281730879742</v>
      </c>
      <c r="C33" s="488">
        <f t="shared" ref="C33:Q33" ca="1" si="19">SUM(C22:C32)</f>
        <v>0</v>
      </c>
      <c r="D33" s="488">
        <f t="shared" ca="1" si="19"/>
        <v>1588.6338432137832</v>
      </c>
      <c r="E33" s="488">
        <f t="shared" si="19"/>
        <v>565.30906934940549</v>
      </c>
      <c r="F33" s="488">
        <f t="shared" ca="1" si="19"/>
        <v>1864.5511536219826</v>
      </c>
      <c r="G33" s="488">
        <f t="shared" si="19"/>
        <v>4753.0539352546875</v>
      </c>
      <c r="H33" s="488">
        <f t="shared" si="19"/>
        <v>1000.5105710959372</v>
      </c>
      <c r="I33" s="488">
        <f t="shared" si="19"/>
        <v>0</v>
      </c>
      <c r="J33" s="488">
        <f t="shared" si="19"/>
        <v>357.50312079317672</v>
      </c>
      <c r="K33" s="488">
        <f t="shared" si="19"/>
        <v>0</v>
      </c>
      <c r="L33" s="488">
        <f t="shared" ca="1" si="19"/>
        <v>0</v>
      </c>
      <c r="M33" s="488">
        <f t="shared" si="19"/>
        <v>0</v>
      </c>
      <c r="N33" s="488">
        <f t="shared" ca="1" si="19"/>
        <v>0</v>
      </c>
      <c r="O33" s="488">
        <f t="shared" si="19"/>
        <v>0</v>
      </c>
      <c r="P33" s="488">
        <f t="shared" si="19"/>
        <v>0</v>
      </c>
      <c r="Q33" s="488">
        <f t="shared" ca="1" si="19"/>
        <v>14329.089866416945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806.98021289472206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806.98021289472206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0.2119970571592128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0.2119970571592128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2019-08-12T08:39:57Z</dcterms:modified>
</cp:coreProperties>
</file>