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G78" i="14"/>
  <c r="G9" i="59"/>
  <c r="G10" s="1"/>
  <c r="K15" i="48"/>
  <c r="I15"/>
  <c r="J27" i="14"/>
  <c r="E78"/>
  <c r="E9" i="59"/>
  <c r="E10" s="1"/>
  <c r="H90" i="14"/>
  <c r="H18" i="59"/>
  <c r="H20" s="1"/>
  <c r="H78" i="14"/>
  <c r="H9" i="59"/>
  <c r="H10" s="1"/>
  <c r="N78" i="14"/>
  <c r="N9" i="59"/>
  <c r="N10" s="1"/>
  <c r="M24" i="48"/>
  <c r="M32"/>
  <c r="I33"/>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I90" i="14" l="1"/>
  <c r="I17" i="59"/>
  <c r="I20" s="1"/>
  <c r="B15" i="48"/>
  <c r="D15"/>
  <c r="O33"/>
  <c r="I76" i="14"/>
  <c r="I8" i="59" s="1"/>
  <c r="I10" s="1"/>
  <c r="J78" i="14"/>
  <c r="J8" i="59"/>
  <c r="J10" s="1"/>
  <c r="D90" i="14"/>
  <c r="D17" i="59"/>
  <c r="D20" s="1"/>
  <c r="O15" i="48"/>
  <c r="E27"/>
  <c r="G15"/>
  <c r="O17" i="18"/>
  <c r="O20" s="1"/>
  <c r="Q76" i="14"/>
  <c r="P8" i="59" s="1"/>
  <c r="P10" s="1"/>
  <c r="D78" i="14"/>
  <c r="F23" i="48"/>
  <c r="L23"/>
  <c r="L33" s="1"/>
  <c r="L15"/>
  <c r="B20" i="6"/>
  <c r="B22" s="1"/>
  <c r="E40" i="14"/>
  <c r="E46" s="1"/>
  <c r="G40"/>
  <c r="O40"/>
  <c r="D23" i="48"/>
  <c r="D33" s="1"/>
  <c r="P63" i="14"/>
  <c r="M27"/>
  <c r="N52"/>
  <c r="N61" s="1"/>
  <c r="C16"/>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H20"/>
  <c r="H22" s="1"/>
  <c r="H27" s="1"/>
  <c r="H18" i="22"/>
  <c r="I50" i="14" s="1"/>
  <c r="G28" i="48"/>
  <c r="Q10"/>
  <c r="H9"/>
  <c r="M27"/>
  <c r="M33" s="1"/>
  <c r="G27"/>
  <c r="M40" i="14"/>
  <c r="Q5" i="48"/>
  <c r="Q4"/>
  <c r="N23"/>
  <c r="R11" i="14"/>
  <c r="J22" i="48"/>
  <c r="R10" i="14"/>
  <c r="Q90" l="1"/>
  <c r="B17" i="6" s="1"/>
  <c r="P17" i="59"/>
  <c r="P20" s="1"/>
  <c r="B76" i="14"/>
  <c r="B8" i="59" s="1"/>
  <c r="B10" s="1"/>
  <c r="J90" i="14"/>
  <c r="J17" i="59"/>
  <c r="J20" s="1"/>
  <c r="C76" i="14"/>
  <c r="C8" i="59" s="1"/>
  <c r="C10" s="1"/>
  <c r="I78" i="14"/>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l="1"/>
  <c r="F33" s="1"/>
  <c r="B90" i="14"/>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<sst xmlns="http://schemas.openxmlformats.org/spreadsheetml/2006/main" count="2384" uniqueCount="886">
  <si>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</si>
  <si>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</si>
  <si>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</si>
  <si>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</si>
  <si>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</si>
  <si>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</si>
  <si>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</si>
  <si>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</si>
  <si>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</si>
  <si>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</si>
  <si>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</si>
  <si>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</si>
  <si>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</si>
  <si>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</si>
  <si>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</si>
  <si>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</si>
  <si>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</si>
  <si>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</si>
  <si>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</si>
  <si>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</si>
  <si>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</si>
  <si>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</si>
  <si>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</si>
  <si>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</si>
  <si>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</si>
  <si>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</si>
  <si>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</si>
  <si>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</si>
  <si>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</si>
  <si>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</si>
  <si>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</si>
  <si>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</si>
  <si>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</si>
  <si>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</si>
  <si>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</si>
  <si>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</si>
  <si>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</si>
  <si>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</si>
  <si>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</si>
  <si>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</si>
  <si>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</si>
  <si>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</si>
  <si>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</si>
  <si>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</si>
  <si>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</si>
  <si>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</si>
  <si>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</si>
  <si>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</si>
  <si>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</si>
  <si>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</si>
  <si>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</si>
  <si>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</si>
  <si>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</si>
  <si>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</si>
  <si>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</si>
  <si>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</si>
  <si>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</si>
  <si>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</si>
  <si>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</si>
  <si>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</si>
  <si>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</si>
  <si>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</si>
  <si>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</si>
  <si>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</si>
  <si>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</si>
  <si>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</si>
  <si>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</si>
  <si>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</si>
  <si>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</si>
  <si>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</si>
  <si>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</si>
  <si>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</si>
  <si>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</si>
  <si>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</si>
  <si>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</si>
  <si>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</si>
  <si>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</si>
  <si>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</si>
  <si>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</si>
  <si>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</si>
  <si>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</si>
  <si>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</si>
  <si>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</si>
  <si>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</si>
  <si>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</si>
  <si>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</si>
  <si>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</si>
  <si>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</si>
  <si>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</si>
  <si>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</si>
  <si>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</si>
  <si>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</si>
  <si>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</si>
  <si>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</si>
  <si>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</si>
  <si>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</si>
  <si>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</si>
  <si>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</si>
  <si>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</si>
  <si>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</si>
  <si>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</si>
  <si>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</si>
  <si>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</si>
  <si>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</si>
  <si>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</si>
  <si>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</si>
  <si>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</si>
  <si>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</si>
  <si>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</si>
  <si>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</si>
  <si>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</si>
  <si>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</si>
  <si>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</si>
  <si>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</si>
  <si>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</si>
  <si>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</si>
  <si>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</si>
  <si>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</si>
  <si>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</si>
  <si>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</si>
  <si>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</si>
  <si>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</si>
  <si>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</si>
  <si>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</si>
  <si>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</si>
  <si>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</si>
  <si>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</si>
  <si>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</si>
  <si>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</si>
  <si>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</si>
  <si>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</si>
  <si>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</si>
  <si>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</si>
  <si>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</si>
  <si>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</si>
  <si>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</si>
  <si>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</si>
  <si>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</si>
  <si>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</si>
  <si>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</si>
  <si>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</si>
  <si>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</si>
  <si>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</si>
  <si>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</si>
  <si>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</si>
  <si>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</si>
  <si>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</si>
  <si>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</si>
  <si>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</si>
  <si>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</si>
  <si>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</si>
  <si>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</si>
  <si>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</si>
  <si>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</si>
  <si>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</si>
  <si>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</si>
  <si>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</si>
  <si>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</si>
  <si>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</si>
  <si>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</si>
  <si>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</si>
  <si>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</si>
  <si>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</si>
  <si>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</si>
  <si>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</si>
  <si>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</si>
  <si>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</si>
  <si>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</si>
  <si>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</si>
  <si>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</si>
  <si>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</si>
  <si>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</si>
  <si>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</si>
  <si>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</si>
  <si>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</si>
  <si>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</si>
  <si>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</si>
  <si>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</si>
  <si>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</si>
  <si>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</si>
  <si>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</si>
  <si>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</si>
  <si>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</si>
  <si>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</si>
  <si>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</si>
  <si>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</si>
  <si>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</si>
  <si>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</si>
  <si>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</si>
  <si>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</si>
  <si>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</si>
  <si>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</si>
  <si>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</si>
  <si>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</si>
  <si>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</si>
  <si>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</si>
  <si>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</si>
  <si>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</si>
  <si>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</si>
  <si>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</si>
  <si>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</si>
  <si>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</si>
  <si>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</si>
  <si>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</si>
  <si>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</si>
  <si>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</si>
  <si>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</si>
  <si>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</si>
  <si>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</si>
  <si>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</si>
  <si>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</si>
  <si>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</si>
  <si>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</si>
  <si>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</si>
  <si>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</si>
  <si>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</si>
  <si>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</si>
  <si>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</si>
  <si>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</si>
  <si>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</si>
  <si>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</si>
  <si>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</si>
  <si>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</si>
  <si>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</si>
  <si>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</si>
  <si>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</si>
  <si>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</si>
  <si>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</si>
  <si>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</si>
  <si>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</si>
  <si>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</si>
  <si>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</si>
  <si>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</si>
  <si>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</si>
  <si>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</si>
  <si>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</si>
  <si>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</si>
  <si>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</si>
  <si>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</si>
  <si>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</si>
  <si>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</si>
  <si>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</si>
  <si>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</si>
  <si>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</si>
  <si>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</si>
  <si>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</si>
  <si>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</si>
  <si>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</si>
  <si>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</si>
  <si>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</si>
  <si>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</si>
  <si>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</si>
  <si>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</si>
  <si>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</si>
  <si>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</si>
  <si>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</si>
  <si>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</si>
  <si>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</si>
  <si>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</si>
  <si>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</si>
  <si>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</si>
  <si>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</si>
  <si>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</si>
  <si>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</si>
  <si>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</si>
  <si>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</si>
  <si>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</si>
  <si>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</si>
  <si>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</si>
  <si>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</si>
  <si>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</si>
  <si>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</si>
  <si>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</si>
  <si>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</si>
  <si>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</si>
  <si>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</si>
  <si>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</si>
  <si>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</si>
  <si>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</si>
  <si>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</si>
  <si>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</si>
  <si>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</si>
  <si>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</si>
  <si>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</si>
  <si>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</si>
  <si>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</si>
  <si>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</si>
  <si>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</si>
  <si>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</si>
  <si>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</si>
  <si>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</si>
  <si>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</si>
  <si>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</si>
  <si>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</si>
  <si>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</si>
  <si>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</si>
  <si>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</si>
  <si>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</si>
  <si>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</si>
  <si>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</si>
  <si>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</si>
  <si>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</si>
  <si>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</si>
  <si>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</si>
  <si>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</si>
  <si>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</si>
  <si>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</si>
  <si>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</si>
  <si>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</si>
  <si>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</si>
  <si>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</si>
  <si>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</si>
  <si>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</si>
  <si>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</si>
  <si>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</si>
  <si>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</si>
  <si>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</si>
  <si>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</si>
  <si>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</si>
  <si>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</si>
  <si>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</si>
  <si>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</si>
  <si>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</si>
  <si>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</si>
  <si>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</si>
  <si>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</si>
  <si>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</si>
  <si>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</si>
  <si>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</si>
  <si>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</si>
  <si>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</si>
  <si>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</si>
  <si>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</si>
  <si>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</si>
  <si>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</si>
  <si>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</si>
  <si>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</si>
  <si>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</si>
  <si>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</si>
  <si>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</si>
  <si>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</si>
  <si>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</si>
  <si>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</si>
  <si>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</si>
  <si>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</si>
  <si>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</si>
  <si>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</si>
  <si>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</si>
  <si>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</si>
  <si>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</si>
  <si>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</si>
  <si>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</si>
  <si>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</si>
  <si>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</si>
  <si>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</si>
  <si>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</si>
  <si>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</si>
  <si>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</si>
  <si>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</si>
  <si>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</si>
  <si>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</si>
  <si>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</si>
  <si>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</si>
  <si>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</si>
  <si>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</si>
  <si>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</si>
  <si>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</si>
  <si>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</si>
  <si>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</si>
  <si>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</si>
  <si>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</si>
  <si>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</si>
  <si>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</si>
  <si>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</si>
  <si>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</si>
  <si>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</si>
  <si>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</si>
  <si>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</si>
  <si>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</si>
  <si>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</si>
  <si>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</si>
  <si>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</si>
  <si>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</si>
  <si>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</si>
  <si>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</si>
  <si>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</si>
  <si>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</si>
  <si>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</si>
  <si>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</si>
  <si>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</si>
  <si>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</si>
  <si>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</si>
  <si>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</si>
  <si>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</si>
  <si>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</si>
  <si>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</si>
  <si>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</si>
  <si>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</si>
  <si>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</si>
  <si>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</si>
  <si>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</si>
  <si>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</si>
  <si>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</si>
  <si>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</si>
  <si>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</si>
  <si>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</si>
  <si>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</si>
  <si>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</si>
  <si>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</si>
  <si>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</si>
  <si>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</si>
  <si>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</si>
  <si>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</si>
  <si>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</si>
  <si>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</si>
  <si>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</si>
  <si>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</si>
  <si>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</si>
  <si>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</si>
  <si>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</si>
  <si>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</si>
  <si>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</si>
  <si>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</si>
  <si>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</si>
  <si>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</si>
  <si>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</si>
  <si>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</si>
  <si>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</si>
  <si>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</si>
  <si>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</si>
  <si>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</si>
  <si>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</si>
  <si>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</si>
  <si>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</si>
  <si>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</si>
  <si>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</si>
  <si>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</si>
  <si>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</si>
  <si>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</si>
  <si>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</si>
  <si>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</si>
  <si>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</si>
  <si>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</si>
  <si>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</si>
  <si>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</si>
  <si>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</si>
  <si>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</si>
  <si>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</si>
  <si>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</si>
  <si>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</si>
  <si>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</si>
  <si>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</si>
  <si>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</si>
  <si>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</si>
  <si>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</si>
  <si>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</si>
  <si>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</si>
  <si>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</si>
  <si>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</si>
  <si>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</si>
  <si>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</si>
  <si>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</si>
  <si>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</si>
  <si>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</si>
  <si>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</si>
  <si>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</si>
  <si>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</si>
  <si>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</si>
  <si>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</si>
  <si>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</si>
  <si>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</si>
  <si>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</si>
  <si>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</si>
  <si>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</si>
  <si>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</si>
  <si>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</si>
  <si>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</si>
  <si>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</si>
  <si>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</si>
  <si>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</si>
  <si>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</si>
  <si>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</si>
  <si>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</si>
  <si>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</si>
  <si>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</si>
  <si>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</si>
  <si>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</si>
  <si>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</si>
  <si>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</si>
  <si>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</si>
  <si>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</si>
  <si>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</si>
  <si>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</si>
  <si>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</si>
  <si>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</si>
  <si>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</si>
  <si>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</si>
  <si>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</si>
  <si>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</si>
  <si>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</si>
  <si>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</si>
  <si>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</si>
  <si>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</si>
  <si>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</si>
  <si>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</si>
  <si>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</si>
  <si>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</si>
  <si>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</si>
  <si>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</si>
  <si>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</si>
  <si>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</si>
  <si>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</si>
  <si>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</si>
  <si>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</si>
  <si>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</si>
  <si>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</si>
  <si>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</si>
  <si>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</si>
  <si>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</si>
  <si>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</si>
  <si>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</si>
  <si>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</si>
  <si>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</si>
  <si>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</si>
  <si>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</si>
  <si>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</si>
  <si>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</si>
  <si>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</si>
  <si>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</si>
  <si>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</si>
  <si>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</si>
  <si>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</si>
  <si>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</si>
  <si>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</si>
  <si>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</si>
  <si>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</si>
  <si>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</si>
  <si>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</si>
  <si>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</si>
  <si>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</si>
  <si>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</si>
  <si>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</si>
  <si>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</si>
  <si>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</si>
  <si>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</si>
  <si>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</si>
  <si>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</si>
  <si>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</si>
  <si>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</si>
  <si>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</si>
  <si>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</si>
  <si>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</si>
  <si>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</si>
  <si>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</si>
  <si>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</si>
  <si>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</si>
  <si>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</si>
  <si>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</si>
  <si>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</si>
  <si>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</si>
  <si>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</si>
  <si>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</si>
  <si>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</si>
  <si>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</si>
  <si>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</si>
  <si>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</si>
  <si>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</si>
  <si>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</si>
  <si>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</si>
  <si>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</si>
  <si>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</si>
  <si>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</si>
  <si>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</si>
  <si>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</si>
  <si>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</si>
  <si>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</si>
  <si>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</si>
  <si>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</si>
  <si>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</si>
  <si>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</si>
  <si>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</si>
  <si>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</si>
  <si>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</si>
  <si>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</si>
  <si>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</si>
  <si>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</si>
  <si>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</si>
  <si>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</si>
  <si>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</si>
  <si>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</si>
  <si>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</si>
  <si>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</si>
  <si>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</si>
  <si>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</si>
  <si>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</si>
  <si>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</si>
  <si>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</si>
  <si>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</si>
  <si>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</si>
  <si>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</si>
  <si>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</si>
  <si>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</si>
  <si>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</si>
  <si>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</si>
  <si>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</si>
  <si>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</si>
  <si>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</si>
  <si>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</si>
  <si>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</si>
  <si>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</si>
  <si>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</si>
  <si>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</si>
  <si>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</si>
  <si>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</si>
  <si>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</si>
  <si>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</si>
  <si>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</si>
  <si>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</si>
  <si>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</si>
  <si>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</si>
  <si>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</si>
  <si>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</si>
  <si>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</si>
  <si>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</si>
  <si>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</si>
  <si>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</si>
  <si>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</si>
  <si>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</si>
  <si>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</si>
  <si>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</si>
  <si>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</si>
  <si>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</si>
  <si>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</si>
  <si>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</si>
  <si>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</si>
  <si>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</si>
  <si>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</si>
  <si>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</si>
  <si>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</si>
  <si>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</si>
  <si>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</si>
  <si>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</si>
  <si>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</si>
  <si>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</si>
  <si>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</si>
  <si>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</si>
  <si>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</si>
  <si>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</si>
  <si>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</si>
  <si>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</si>
  <si>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</si>
  <si>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</si>
  <si>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</si>
  <si>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</si>
  <si>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</si>
  <si>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</si>
  <si>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</si>
  <si>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</si>
  <si>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</si>
  <si>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</si>
  <si>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</si>
  <si>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</si>
  <si>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</si>
  <si>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</si>
  <si>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</si>
  <si>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</si>
  <si>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</si>
  <si>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</si>
  <si>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</si>
  <si>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</si>
  <si>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</si>
  <si>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</si>
  <si>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</si>
  <si>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</si>
  <si>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</si>
  <si>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</si>
  <si>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</si>
  <si>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</si>
  <si>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</si>
  <si>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</si>
  <si>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</si>
  <si>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</si>
  <si>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</si>
  <si>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</si>
  <si>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</si>
  <si>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</si>
  <si>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</si>
  <si>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</si>
  <si>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</si>
  <si>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</si>
  <si>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</si>
  <si>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</si>
  <si>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</si>
  <si>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</si>
  <si>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</si>
  <si>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</si>
  <si>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</si>
  <si>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</si>
  <si>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</si>
  <si>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</si>
  <si>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</si>
  <si>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</si>
  <si>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</si>
  <si>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</si>
  <si>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</si>
  <si>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</si>
  <si>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</si>
  <si>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</si>
  <si>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</si>
  <si>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</si>
  <si>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</si>
  <si>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</si>
  <si>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</si>
  <si>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</si>
  <si>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</si>
  <si>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</si>
  <si>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</si>
  <si>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</si>
  <si>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</si>
  <si>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</si>
  <si>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</si>
  <si>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</si>
  <si>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</si>
  <si>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</si>
  <si>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</si>
  <si>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</si>
  <si>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</si>
  <si>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</si>
  <si>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</si>
  <si>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</si>
  <si>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</si>
  <si>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</si>
  <si>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</si>
  <si>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</si>
  <si>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</si>
  <si>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</si>
  <si>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</si>
  <si>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</si>
  <si>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</si>
  <si>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</si>
  <si>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</si>
  <si>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</si>
  <si>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</si>
  <si>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</si>
  <si>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</si>
  <si>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</si>
  <si>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</si>
  <si>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</si>
  <si>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</si>
  <si>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</si>
  <si>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</si>
  <si>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</si>
  <si>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</si>
  <si>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</si>
  <si>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</si>
  <si>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</si>
  <si>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</si>
  <si>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</si>
  <si>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</si>
  <si>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</si>
  <si>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</si>
  <si>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</si>
  <si>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</si>
  <si>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</si>
  <si>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</si>
  <si>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</si>
  <si>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</si>
  <si>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</si>
  <si>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</si>
  <si>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</si>
  <si>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</si>
  <si>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</si>
  <si>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</si>
  <si>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</si>
  <si>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</si>
  <si>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</si>
  <si>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</si>
  <si>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</si>
  <si>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</si>
  <si>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</si>
  <si>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</si>
  <si>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</si>
  <si>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</si>
  <si>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</si>
  <si>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</si>
  <si>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</si>
  <si>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</si>
  <si>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</si>
  <si>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</si>
  <si>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</si>
  <si>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</si>
  <si>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</si>
  <si>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</si>
  <si>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</si>
  <si>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</si>
  <si>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</si>
  <si>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</si>
  <si>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</si>
  <si>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</si>
  <si>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</si>
  <si>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</si>
  <si>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</si>
  <si>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</si>
  <si>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</si>
  <si>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</si>
  <si>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</si>
  <si>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</si>
  <si>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</si>
  <si>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</si>
  <si>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</si>
  <si>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</si>
  <si>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</si>
  <si>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</si>
  <si>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</si>
  <si>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</si>
  <si>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</si>
  <si>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</si>
  <si>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</si>
  <si>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</si>
  <si>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</si>
  <si>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</si>
  <si>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</si>
  <si>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</si>
  <si>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</si>
  <si>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</si>
  <si>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</si>
  <si>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</si>
  <si>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</si>
  <si>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</si>
  <si>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</si>
  <si>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</si>
  <si>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</si>
  <si>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</si>
  <si>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</si>
  <si>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</si>
  <si>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</si>
  <si>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</si>
  <si>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</si>
  <si>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</si>
  <si>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</si>
  <si>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</si>
  <si>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</si>
  <si>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</si>
  <si>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</si>
  <si>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</si>
  <si>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</si>
  <si>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</si>
  <si>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</si>
  <si>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</si>
  <si>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</si>
  <si>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</si>
  <si>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</si>
  <si>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</si>
  <si>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</si>
  <si>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</si>
  <si>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</si>
  <si>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</si>
  <si>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</si>
  <si>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</si>
  <si>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</si>
  <si>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</si>
  <si>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</si>
  <si>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</si>
  <si>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</si>
  <si>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</si>
  <si>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</si>
  <si>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</si>
  <si>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</si>
  <si>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</si>
  <si>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</si>
  <si>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</si>
  <si>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</si>
  <si>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</si>
  <si>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</si>
  <si>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</si>
  <si>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</si>
  <si>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</si>
  <si>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</si>
  <si>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33039</t>
  </si>
  <si>
    <t>HEUVELLAND</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</si>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</sst>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81067.047631308116</c:v>
                </c:pt>
                <c:pt idx="1">
                  <c:v>17824.875776607252</c:v>
                </c:pt>
                <c:pt idx="2">
                  <c:v>706.08699999999999</c:v>
                </c:pt>
                <c:pt idx="3">
                  <c:v>31594.663262758681</c:v>
                </c:pt>
                <c:pt idx="4">
                  <c:v>332347.14395757078</c:v>
                </c:pt>
                <c:pt idx="5">
                  <c:v>31456.80055224902</c:v>
                </c:pt>
                <c:pt idx="6">
                  <c:v>263.42200895167298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81067.047631308116</c:v>
                </c:pt>
                <c:pt idx="1">
                  <c:v>17824.875776607252</c:v>
                </c:pt>
                <c:pt idx="2">
                  <c:v>706.08699999999999</c:v>
                </c:pt>
                <c:pt idx="3">
                  <c:v>31594.663262758681</c:v>
                </c:pt>
                <c:pt idx="4">
                  <c:v>332347.14395757078</c:v>
                </c:pt>
                <c:pt idx="5">
                  <c:v>31456.80055224902</c:v>
                </c:pt>
                <c:pt idx="6">
                  <c:v>263.42200895167298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15711.168199487021</c:v>
                </c:pt>
                <c:pt idx="1">
                  <c:v>3575.2409910533838</c:v>
                </c:pt>
                <c:pt idx="2">
                  <c:v>150.89369106682619</c:v>
                </c:pt>
                <c:pt idx="3">
                  <c:v>8212.5253681968425</c:v>
                </c:pt>
                <c:pt idx="4">
                  <c:v>67545.408830430126</c:v>
                </c:pt>
                <c:pt idx="5">
                  <c:v>7817.9956805771435</c:v>
                </c:pt>
                <c:pt idx="6">
                  <c:v>66.630353945558866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15711.168199487021</c:v>
                </c:pt>
                <c:pt idx="1">
                  <c:v>3575.2409910533838</c:v>
                </c:pt>
                <c:pt idx="2">
                  <c:v>150.89369106682619</c:v>
                </c:pt>
                <c:pt idx="3">
                  <c:v>8212.5253681968425</c:v>
                </c:pt>
                <c:pt idx="4">
                  <c:v>67545.408830430126</c:v>
                </c:pt>
                <c:pt idx="5">
                  <c:v>7817.9956805771435</c:v>
                </c:pt>
                <c:pt idx="6">
                  <c:v>66.630353945558866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33039</v>
      </c>
      <c r="B6" s="415"/>
      <c r="C6" s="416"/>
    </row>
    <row r="7" spans="1:7" s="413" customFormat="1" ht="15.75" customHeight="1">
      <c r="A7" s="417" t="str">
        <f>txtMunicipality</f>
        <v>HEUVELLAND</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0.2137041059626168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0.2137041059626168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3286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7779.04</v>
      </c>
    </row>
    <row r="15" spans="1:6">
      <c r="A15" s="348" t="s">
        <v>183</v>
      </c>
      <c r="B15" s="334">
        <v>118</v>
      </c>
    </row>
    <row r="16" spans="1:6">
      <c r="A16" s="348" t="s">
        <v>6</v>
      </c>
      <c r="B16" s="334">
        <v>3936</v>
      </c>
    </row>
    <row r="17" spans="1:6">
      <c r="A17" s="348" t="s">
        <v>7</v>
      </c>
      <c r="B17" s="334">
        <v>2480</v>
      </c>
    </row>
    <row r="18" spans="1:6">
      <c r="A18" s="348" t="s">
        <v>8</v>
      </c>
      <c r="B18" s="334">
        <v>3918</v>
      </c>
    </row>
    <row r="19" spans="1:6">
      <c r="A19" s="348" t="s">
        <v>9</v>
      </c>
      <c r="B19" s="334">
        <v>4034</v>
      </c>
    </row>
    <row r="20" spans="1:6">
      <c r="A20" s="348" t="s">
        <v>10</v>
      </c>
      <c r="B20" s="334">
        <v>2215</v>
      </c>
    </row>
    <row r="21" spans="1:6">
      <c r="A21" s="348" t="s">
        <v>11</v>
      </c>
      <c r="B21" s="334">
        <v>26076</v>
      </c>
    </row>
    <row r="22" spans="1:6">
      <c r="A22" s="348" t="s">
        <v>12</v>
      </c>
      <c r="B22" s="334">
        <v>64039</v>
      </c>
    </row>
    <row r="23" spans="1:6">
      <c r="A23" s="348" t="s">
        <v>13</v>
      </c>
      <c r="B23" s="334">
        <v>801</v>
      </c>
    </row>
    <row r="24" spans="1:6">
      <c r="A24" s="348" t="s">
        <v>14</v>
      </c>
      <c r="B24" s="334">
        <v>49</v>
      </c>
    </row>
    <row r="25" spans="1:6">
      <c r="A25" s="348" t="s">
        <v>15</v>
      </c>
      <c r="B25" s="334">
        <v>5699</v>
      </c>
    </row>
    <row r="26" spans="1:6">
      <c r="A26" s="348" t="s">
        <v>16</v>
      </c>
      <c r="B26" s="334">
        <v>616</v>
      </c>
    </row>
    <row r="27" spans="1:6">
      <c r="A27" s="348" t="s">
        <v>17</v>
      </c>
      <c r="B27" s="334">
        <v>14</v>
      </c>
    </row>
    <row r="28" spans="1:6" s="356" customFormat="1">
      <c r="A28" s="355" t="s">
        <v>18</v>
      </c>
      <c r="B28" s="355">
        <v>385283</v>
      </c>
    </row>
    <row r="29" spans="1:6">
      <c r="A29" s="355" t="s">
        <v>713</v>
      </c>
      <c r="B29" s="355">
        <v>195</v>
      </c>
      <c r="C29" s="356"/>
      <c r="D29" s="356"/>
      <c r="E29" s="356"/>
      <c r="F29" s="356"/>
    </row>
    <row r="30" spans="1:6">
      <c r="A30" s="341" t="s">
        <v>714</v>
      </c>
      <c r="B30" s="341">
        <v>29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3434.2730000000001</v>
      </c>
      <c r="E38" s="334">
        <v>4</v>
      </c>
      <c r="F38" s="334">
        <v>17063.092000000001</v>
      </c>
    </row>
    <row r="39" spans="1:6">
      <c r="A39" s="348" t="s">
        <v>29</v>
      </c>
      <c r="B39" s="348" t="s">
        <v>30</v>
      </c>
      <c r="C39" s="334">
        <v>1663</v>
      </c>
      <c r="D39" s="334">
        <v>24885602.34</v>
      </c>
      <c r="E39" s="334">
        <v>3020</v>
      </c>
      <c r="F39" s="334">
        <v>10752278.27</v>
      </c>
    </row>
    <row r="40" spans="1:6">
      <c r="A40" s="348" t="s">
        <v>29</v>
      </c>
      <c r="B40" s="348" t="s">
        <v>28</v>
      </c>
      <c r="C40" s="334">
        <v>0</v>
      </c>
      <c r="D40" s="334">
        <v>0</v>
      </c>
      <c r="E40" s="334">
        <v>0</v>
      </c>
      <c r="F40" s="334">
        <v>0</v>
      </c>
    </row>
    <row r="41" spans="1:6">
      <c r="A41" s="348" t="s">
        <v>31</v>
      </c>
      <c r="B41" s="348" t="s">
        <v>32</v>
      </c>
      <c r="C41" s="334">
        <v>12</v>
      </c>
      <c r="D41" s="334">
        <v>158790.26</v>
      </c>
      <c r="E41" s="334">
        <v>49</v>
      </c>
      <c r="F41" s="334">
        <v>270624.935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34</v>
      </c>
      <c r="D48" s="334">
        <v>264975657.59999999</v>
      </c>
      <c r="E48" s="334">
        <v>58</v>
      </c>
      <c r="F48" s="334">
        <v>7447877.5659999996</v>
      </c>
    </row>
    <row r="49" spans="1:6">
      <c r="A49" s="348" t="s">
        <v>31</v>
      </c>
      <c r="B49" s="348" t="s">
        <v>39</v>
      </c>
      <c r="C49" s="334">
        <v>0</v>
      </c>
      <c r="D49" s="334">
        <v>0</v>
      </c>
      <c r="E49" s="334">
        <v>0</v>
      </c>
      <c r="F49" s="334">
        <v>0</v>
      </c>
    </row>
    <row r="50" spans="1:6">
      <c r="A50" s="348" t="s">
        <v>31</v>
      </c>
      <c r="B50" s="348" t="s">
        <v>40</v>
      </c>
      <c r="C50" s="334">
        <v>0</v>
      </c>
      <c r="D50" s="334">
        <v>0</v>
      </c>
      <c r="E50" s="334">
        <v>8</v>
      </c>
      <c r="F50" s="334">
        <v>74631369.599999994</v>
      </c>
    </row>
    <row r="51" spans="1:6">
      <c r="A51" s="348" t="s">
        <v>41</v>
      </c>
      <c r="B51" s="348" t="s">
        <v>42</v>
      </c>
      <c r="C51" s="334">
        <v>10</v>
      </c>
      <c r="D51" s="334">
        <v>296821.85200000001</v>
      </c>
      <c r="E51" s="334">
        <v>199</v>
      </c>
      <c r="F51" s="334">
        <v>5337567.7630000003</v>
      </c>
    </row>
    <row r="52" spans="1:6">
      <c r="A52" s="348" t="s">
        <v>41</v>
      </c>
      <c r="B52" s="348" t="s">
        <v>28</v>
      </c>
      <c r="C52" s="334">
        <v>8</v>
      </c>
      <c r="D52" s="334">
        <v>150810.94200000001</v>
      </c>
      <c r="E52" s="334">
        <v>33</v>
      </c>
      <c r="F52" s="334">
        <v>1105731.2890000001</v>
      </c>
    </row>
    <row r="53" spans="1:6">
      <c r="A53" s="348" t="s">
        <v>43</v>
      </c>
      <c r="B53" s="348" t="s">
        <v>44</v>
      </c>
      <c r="C53" s="334">
        <v>56</v>
      </c>
      <c r="D53" s="334">
        <v>706959.27</v>
      </c>
      <c r="E53" s="334">
        <v>150</v>
      </c>
      <c r="F53" s="334">
        <v>499132.451</v>
      </c>
    </row>
    <row r="54" spans="1:6">
      <c r="A54" s="348" t="s">
        <v>45</v>
      </c>
      <c r="B54" s="348" t="s">
        <v>46</v>
      </c>
      <c r="C54" s="334">
        <v>0</v>
      </c>
      <c r="D54" s="334">
        <v>0</v>
      </c>
      <c r="E54" s="334">
        <v>1</v>
      </c>
      <c r="F54" s="334">
        <v>706087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1125863.848</v>
      </c>
      <c r="E57" s="334">
        <v>71</v>
      </c>
      <c r="F57" s="334">
        <v>679518.08799999999</v>
      </c>
    </row>
    <row r="58" spans="1:6">
      <c r="A58" s="348" t="s">
        <v>48</v>
      </c>
      <c r="B58" s="348" t="s">
        <v>50</v>
      </c>
      <c r="C58" s="334">
        <v>3</v>
      </c>
      <c r="D58" s="334">
        <v>125144.95600000001</v>
      </c>
      <c r="E58" s="334">
        <v>12</v>
      </c>
      <c r="F58" s="334">
        <v>86661.233999999997</v>
      </c>
    </row>
    <row r="59" spans="1:6">
      <c r="A59" s="348" t="s">
        <v>48</v>
      </c>
      <c r="B59" s="348" t="s">
        <v>51</v>
      </c>
      <c r="C59" s="334">
        <v>3</v>
      </c>
      <c r="D59" s="334">
        <v>32303.847000000002</v>
      </c>
      <c r="E59" s="334">
        <v>29</v>
      </c>
      <c r="F59" s="334">
        <v>535576.83799999999</v>
      </c>
    </row>
    <row r="60" spans="1:6">
      <c r="A60" s="348" t="s">
        <v>48</v>
      </c>
      <c r="B60" s="348" t="s">
        <v>52</v>
      </c>
      <c r="C60" s="334">
        <v>37</v>
      </c>
      <c r="D60" s="334">
        <v>1340223.1240000001</v>
      </c>
      <c r="E60" s="334">
        <v>85</v>
      </c>
      <c r="F60" s="334">
        <v>2051067.03</v>
      </c>
    </row>
    <row r="61" spans="1:6">
      <c r="A61" s="348" t="s">
        <v>48</v>
      </c>
      <c r="B61" s="348" t="s">
        <v>53</v>
      </c>
      <c r="C61" s="334">
        <v>8</v>
      </c>
      <c r="D61" s="334">
        <v>853405.56700000004</v>
      </c>
      <c r="E61" s="334">
        <v>36</v>
      </c>
      <c r="F61" s="334">
        <v>447924.37900000002</v>
      </c>
    </row>
    <row r="62" spans="1:6">
      <c r="A62" s="348" t="s">
        <v>48</v>
      </c>
      <c r="B62" s="348" t="s">
        <v>54</v>
      </c>
      <c r="C62" s="334">
        <v>0</v>
      </c>
      <c r="D62" s="334">
        <v>0</v>
      </c>
      <c r="E62" s="334">
        <v>0</v>
      </c>
      <c r="F62" s="334">
        <v>0</v>
      </c>
    </row>
    <row r="63" spans="1:6">
      <c r="A63" s="348" t="s">
        <v>48</v>
      </c>
      <c r="B63" s="348" t="s">
        <v>28</v>
      </c>
      <c r="C63" s="334">
        <v>141</v>
      </c>
      <c r="D63" s="334">
        <v>5420827.6540000001</v>
      </c>
      <c r="E63" s="334">
        <v>255</v>
      </c>
      <c r="F63" s="334">
        <v>4076802.6310000001</v>
      </c>
    </row>
    <row r="64" spans="1:6">
      <c r="A64" s="348" t="s">
        <v>55</v>
      </c>
      <c r="B64" s="348" t="s">
        <v>56</v>
      </c>
      <c r="C64" s="334">
        <v>0</v>
      </c>
      <c r="D64" s="334">
        <v>0</v>
      </c>
      <c r="E64" s="334">
        <v>0</v>
      </c>
      <c r="F64" s="334">
        <v>0</v>
      </c>
    </row>
    <row r="65" spans="1:6">
      <c r="A65" s="348" t="s">
        <v>55</v>
      </c>
      <c r="B65" s="348" t="s">
        <v>28</v>
      </c>
      <c r="C65" s="334">
        <v>1</v>
      </c>
      <c r="D65" s="334">
        <v>8486.6919999999991</v>
      </c>
      <c r="E65" s="334">
        <v>10</v>
      </c>
      <c r="F65" s="334">
        <v>26053.249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4</v>
      </c>
      <c r="F68" s="334">
        <v>298111.92599999998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29454754</v>
      </c>
      <c r="E73" s="476"/>
    </row>
    <row r="74" spans="1:6">
      <c r="A74" s="348" t="s">
        <v>63</v>
      </c>
      <c r="B74" s="348" t="s">
        <v>651</v>
      </c>
      <c r="C74" s="1307" t="s">
        <v>653</v>
      </c>
      <c r="D74" s="476">
        <v>2632307</v>
      </c>
      <c r="E74" s="476"/>
    </row>
    <row r="75" spans="1:6">
      <c r="A75" s="348" t="s">
        <v>64</v>
      </c>
      <c r="B75" s="348" t="s">
        <v>650</v>
      </c>
      <c r="C75" s="1307" t="s">
        <v>654</v>
      </c>
      <c r="D75" s="476">
        <v>6773676</v>
      </c>
      <c r="E75" s="476"/>
    </row>
    <row r="76" spans="1:6">
      <c r="A76" s="348" t="s">
        <v>64</v>
      </c>
      <c r="B76" s="348" t="s">
        <v>651</v>
      </c>
      <c r="C76" s="1307" t="s">
        <v>655</v>
      </c>
      <c r="D76" s="476">
        <v>206738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73182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2698.9930799782092</v>
      </c>
    </row>
    <row r="92" spans="1:6">
      <c r="A92" s="341" t="s">
        <v>68</v>
      </c>
      <c r="B92" s="342">
        <v>976.91227358789035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1025</v>
      </c>
    </row>
    <row r="98" spans="1:6">
      <c r="A98" s="348" t="s">
        <v>71</v>
      </c>
      <c r="B98" s="334">
        <v>3</v>
      </c>
    </row>
    <row r="99" spans="1:6">
      <c r="A99" s="348" t="s">
        <v>72</v>
      </c>
      <c r="B99" s="334">
        <v>202</v>
      </c>
    </row>
    <row r="100" spans="1:6">
      <c r="A100" s="348" t="s">
        <v>73</v>
      </c>
      <c r="B100" s="334">
        <v>175</v>
      </c>
    </row>
    <row r="101" spans="1:6">
      <c r="A101" s="348" t="s">
        <v>74</v>
      </c>
      <c r="B101" s="334">
        <v>136</v>
      </c>
    </row>
    <row r="102" spans="1:6">
      <c r="A102" s="348" t="s">
        <v>75</v>
      </c>
      <c r="B102" s="334">
        <v>56</v>
      </c>
    </row>
    <row r="103" spans="1:6">
      <c r="A103" s="348" t="s">
        <v>76</v>
      </c>
      <c r="B103" s="334">
        <v>271</v>
      </c>
    </row>
    <row r="104" spans="1:6">
      <c r="A104" s="348" t="s">
        <v>77</v>
      </c>
      <c r="B104" s="334">
        <v>1200</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8</v>
      </c>
      <c r="C123" s="334">
        <v>8</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135</v>
      </c>
    </row>
    <row r="130" spans="1:6">
      <c r="A130" s="348" t="s">
        <v>294</v>
      </c>
      <c r="B130" s="334">
        <v>6</v>
      </c>
    </row>
    <row r="131" spans="1:6">
      <c r="A131" s="348" t="s">
        <v>295</v>
      </c>
      <c r="B131" s="334">
        <v>2</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111346.88620415876</v>
      </c>
      <c r="C3" s="43" t="s">
        <v>169</v>
      </c>
      <c r="D3" s="43"/>
      <c r="E3" s="154"/>
      <c r="F3" s="43"/>
      <c r="G3" s="43"/>
      <c r="H3" s="43"/>
      <c r="I3" s="43"/>
      <c r="J3" s="43"/>
      <c r="K3" s="96"/>
    </row>
    <row r="4" spans="1:11">
      <c r="A4" s="383" t="s">
        <v>170</v>
      </c>
      <c r="B4" s="49">
        <f>IF(ISERROR('SEAP template'!B78+'SEAP template'!C78),0,'SEAP template'!B78+'SEAP template'!C78)</f>
        <v>3675.9053535660996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0.2137041059626168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706.08699999999999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706.08699999999999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0.2137041059626168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150.89369106682619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10752.278269999999</v>
      </c>
      <c r="C5" s="17">
        <f>IF(ISERROR('Eigen informatie GS &amp; warmtenet'!B59),0,'Eigen informatie GS &amp; warmtenet'!B59)</f>
        <v>0</v>
      </c>
      <c r="D5" s="30">
        <f>(SUM(HH_hh_gas_kWh,HH_rest_gas_kWh)/1000)*0.902</f>
        <v>22446.813310680001</v>
      </c>
      <c r="E5" s="17">
        <f>B46*B57</f>
        <v>11784.9481774791</v>
      </c>
      <c r="F5" s="17">
        <f>B51*B62</f>
        <v>13011.644413373533</v>
      </c>
      <c r="G5" s="18"/>
      <c r="H5" s="17"/>
      <c r="I5" s="17"/>
      <c r="J5" s="17">
        <f>B50*B61+C50*C61</f>
        <v>6081.999147354566</v>
      </c>
      <c r="K5" s="17"/>
      <c r="L5" s="17"/>
      <c r="M5" s="17"/>
      <c r="N5" s="17">
        <f>B48*B59+C48*C59</f>
        <v>13730.798306851178</v>
      </c>
      <c r="O5" s="17">
        <f>B69*B70*B71</f>
        <v>285.68998359173258</v>
      </c>
      <c r="P5" s="17">
        <f>B77*B78*B79/1000-B77*B78*B79/1000/B80</f>
        <v>273.88294199981061</v>
      </c>
    </row>
    <row r="6" spans="1:16">
      <c r="A6" s="16" t="s">
        <v>615</v>
      </c>
      <c r="B6" s="809">
        <f>kWh_PV_kleiner_dan_10kW</f>
        <v>2698.9930799782092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13451.271349978208</v>
      </c>
      <c r="C8" s="21">
        <f>C5</f>
        <v>0</v>
      </c>
      <c r="D8" s="21">
        <f>D5</f>
        <v>22446.813310680001</v>
      </c>
      <c r="E8" s="21">
        <f>E5</f>
        <v>11784.9481774791</v>
      </c>
      <c r="F8" s="21">
        <f>F5</f>
        <v>13011.644413373533</v>
      </c>
      <c r="G8" s="21"/>
      <c r="H8" s="21"/>
      <c r="I8" s="21"/>
      <c r="J8" s="21">
        <f>J5</f>
        <v>6081.999147354566</v>
      </c>
      <c r="K8" s="21"/>
      <c r="L8" s="21">
        <f>L5</f>
        <v>0</v>
      </c>
      <c r="M8" s="21">
        <f>M5</f>
        <v>0</v>
      </c>
      <c r="N8" s="21">
        <f>N5</f>
        <v>13730.798306851178</v>
      </c>
      <c r="O8" s="21">
        <f>O5</f>
        <v>285.68998359173258</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0.2137041059626168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2874.5919179076545</v>
      </c>
      <c r="C12" s="23">
        <f ca="1">C10*C8</f>
        <v>0</v>
      </c>
      <c r="D12" s="23">
        <f>D8*D10</f>
        <v>4534.2562887573604</v>
      </c>
      <c r="E12" s="23">
        <f>E10*E8</f>
        <v>2675.1832362877558</v>
      </c>
      <c r="F12" s="23">
        <f>F10*F8</f>
        <v>3474.1090583707337</v>
      </c>
      <c r="G12" s="23"/>
      <c r="H12" s="23"/>
      <c r="I12" s="23"/>
      <c r="J12" s="23">
        <f>J10*J8</f>
        <v>2153.0276981635161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1025</v>
      </c>
      <c r="C18" s="166" t="s">
        <v>110</v>
      </c>
      <c r="D18" s="228"/>
      <c r="E18" s="15"/>
    </row>
    <row r="19" spans="1:7">
      <c r="A19" s="171" t="s">
        <v>71</v>
      </c>
      <c r="B19" s="37">
        <f>aantalw2001_ander</f>
        <v>3</v>
      </c>
      <c r="C19" s="166" t="s">
        <v>110</v>
      </c>
      <c r="D19" s="229"/>
      <c r="E19" s="15"/>
    </row>
    <row r="20" spans="1:7">
      <c r="A20" s="171" t="s">
        <v>72</v>
      </c>
      <c r="B20" s="37">
        <f>aantalw2001_propaan</f>
        <v>202</v>
      </c>
      <c r="C20" s="167">
        <f>IF(ISERROR(B20/SUM($B$20,$B$21,$B$22)*100),0,B20/SUM($B$20,$B$21,$B$22)*100)</f>
        <v>39.376218323586741</v>
      </c>
      <c r="D20" s="229"/>
      <c r="E20" s="15"/>
    </row>
    <row r="21" spans="1:7">
      <c r="A21" s="171" t="s">
        <v>73</v>
      </c>
      <c r="B21" s="37">
        <f>aantalw2001_elektriciteit</f>
        <v>175</v>
      </c>
      <c r="C21" s="167">
        <f>IF(ISERROR(B21/SUM($B$20,$B$21,$B$22)*100),0,B21/SUM($B$20,$B$21,$B$22)*100)</f>
        <v>34.113060428849899</v>
      </c>
      <c r="D21" s="229"/>
      <c r="E21" s="15"/>
    </row>
    <row r="22" spans="1:7">
      <c r="A22" s="171" t="s">
        <v>74</v>
      </c>
      <c r="B22" s="37">
        <f>aantalw2001_hout</f>
        <v>136</v>
      </c>
      <c r="C22" s="167">
        <f>IF(ISERROR(B22/SUM($B$20,$B$21,$B$22)*100),0,B22/SUM($B$20,$B$21,$B$22)*100)</f>
        <v>26.510721247563353</v>
      </c>
      <c r="D22" s="229"/>
      <c r="E22" s="15"/>
    </row>
    <row r="23" spans="1:7">
      <c r="A23" s="171" t="s">
        <v>75</v>
      </c>
      <c r="B23" s="37">
        <f>aantalw2001_niet_gespec</f>
        <v>56</v>
      </c>
      <c r="C23" s="166" t="s">
        <v>110</v>
      </c>
      <c r="D23" s="228"/>
      <c r="E23" s="15"/>
    </row>
    <row r="24" spans="1:7">
      <c r="A24" s="171" t="s">
        <v>76</v>
      </c>
      <c r="B24" s="37">
        <f>aantalw2001_steenkool</f>
        <v>271</v>
      </c>
      <c r="C24" s="166" t="s">
        <v>110</v>
      </c>
      <c r="D24" s="229"/>
      <c r="E24" s="15"/>
    </row>
    <row r="25" spans="1:7">
      <c r="A25" s="171" t="s">
        <v>77</v>
      </c>
      <c r="B25" s="37">
        <f>aantalw2001_stookolie</f>
        <v>1200</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3286</v>
      </c>
      <c r="C28" s="36"/>
      <c r="D28" s="228"/>
    </row>
    <row r="29" spans="1:7" s="15" customFormat="1">
      <c r="A29" s="230" t="s">
        <v>837</v>
      </c>
      <c r="B29" s="37">
        <f>SUM(HH_hh_gas_aantal,HH_rest_gas_aantal)</f>
        <v>1663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1663</v>
      </c>
      <c r="C32" s="167">
        <f>IF(ISERROR(B32/SUM($B$32,$B$34,$B$35,$B$36,$B$38,$B$39)*100),0,B32/SUM($B$32,$B$34,$B$35,$B$36,$B$38,$B$39)*100)</f>
        <v>51.01226993865032</v>
      </c>
      <c r="D32" s="233"/>
      <c r="G32" s="15"/>
    </row>
    <row r="33" spans="1:7">
      <c r="A33" s="171" t="s">
        <v>71</v>
      </c>
      <c r="B33" s="34" t="s">
        <v>110</v>
      </c>
      <c r="C33" s="167"/>
      <c r="D33" s="233"/>
      <c r="G33" s="15"/>
    </row>
    <row r="34" spans="1:7">
      <c r="A34" s="171" t="s">
        <v>72</v>
      </c>
      <c r="B34" s="33">
        <f>IF((($B$28-$B$32-$B$39-$B$77-$B$38)*C20/100)&lt;0,0,($B$28-$B$32-$B$39-$B$77-$B$38)*C20/100)</f>
        <v>300.8343079922027</v>
      </c>
      <c r="C34" s="167">
        <f>IF(ISERROR(B34/SUM($B$32,$B$34,$B$35,$B$36,$B$38,$B$39)*100),0,B34/SUM($B$32,$B$34,$B$35,$B$36,$B$38,$B$39)*100)</f>
        <v>9.2280462574295328</v>
      </c>
      <c r="D34" s="233"/>
      <c r="G34" s="15"/>
    </row>
    <row r="35" spans="1:7">
      <c r="A35" s="171" t="s">
        <v>73</v>
      </c>
      <c r="B35" s="33">
        <f>IF((($B$28-$B$32-$B$39-$B$77-$B$38)*C21/100)&lt;0,0,($B$28-$B$32-$B$39-$B$77-$B$38)*C21/100)</f>
        <v>260.62378167641322</v>
      </c>
      <c r="C35" s="167">
        <f>IF(ISERROR(B35/SUM($B$32,$B$34,$B$35,$B$36,$B$38,$B$39)*100),0,B35/SUM($B$32,$B$34,$B$35,$B$36,$B$38,$B$39)*100)</f>
        <v>7.9945945299513284</v>
      </c>
      <c r="D35" s="233"/>
      <c r="G35" s="15"/>
    </row>
    <row r="36" spans="1:7">
      <c r="A36" s="171" t="s">
        <v>74</v>
      </c>
      <c r="B36" s="33">
        <f>IF((($B$28-$B$32-$B$39-$B$77-$B$38)*C22/100)&lt;0,0,($B$28-$B$32-$B$39-$B$77-$B$38)*C22/100)</f>
        <v>202.54191033138403</v>
      </c>
      <c r="C36" s="167">
        <f>IF(ISERROR(B36/SUM($B$32,$B$34,$B$35,$B$36,$B$38,$B$39)*100),0,B36/SUM($B$32,$B$34,$B$35,$B$36,$B$38,$B$39)*100)</f>
        <v>6.2129420347050335</v>
      </c>
      <c r="D36" s="233"/>
      <c r="G36" s="15"/>
    </row>
    <row r="37" spans="1:7">
      <c r="A37" s="171" t="s">
        <v>75</v>
      </c>
      <c r="B37" s="34" t="s">
        <v>110</v>
      </c>
      <c r="C37" s="167"/>
      <c r="D37" s="173"/>
      <c r="G37" s="15"/>
    </row>
    <row r="38" spans="1:7">
      <c r="A38" s="171" t="s">
        <v>76</v>
      </c>
      <c r="B38" s="33">
        <f>IF((B24-(B29-B18)*0.1)&lt;0,0,B24-(B29-B18)*0.1)</f>
        <v>207.2</v>
      </c>
      <c r="C38" s="167">
        <f>IF(ISERROR(B38/SUM($B$32,$B$34,$B$35,$B$36,$B$38,$B$39)*100),0,B38/SUM($B$32,$B$34,$B$35,$B$36,$B$38,$B$39)*100)</f>
        <v>6.3558282208588972</v>
      </c>
      <c r="D38" s="234"/>
      <c r="G38" s="15"/>
    </row>
    <row r="39" spans="1:7">
      <c r="A39" s="171" t="s">
        <v>77</v>
      </c>
      <c r="B39" s="33">
        <f>IF((B25-(B29-B18))&lt;0,0,B25-(B29-B18)*0.9)</f>
        <v>625.79999999999995</v>
      </c>
      <c r="C39" s="167">
        <f>IF(ISERROR(B39/SUM($B$32,$B$34,$B$35,$B$36,$B$38,$B$39)*100),0,B39/SUM($B$32,$B$34,$B$35,$B$36,$B$38,$B$39)*100)</f>
        <v>19.19631901840491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1663</v>
      </c>
      <c r="C44" s="34" t="s">
        <v>110</v>
      </c>
      <c r="D44" s="174"/>
    </row>
    <row r="45" spans="1:7">
      <c r="A45" s="171" t="s">
        <v>71</v>
      </c>
      <c r="B45" s="33" t="str">
        <f t="shared" si="0"/>
        <v>-</v>
      </c>
      <c r="C45" s="34" t="s">
        <v>110</v>
      </c>
      <c r="D45" s="174"/>
    </row>
    <row r="46" spans="1:7">
      <c r="A46" s="171" t="s">
        <v>72</v>
      </c>
      <c r="B46" s="33">
        <f t="shared" si="0"/>
        <v>300.8343079922027</v>
      </c>
      <c r="C46" s="34" t="s">
        <v>110</v>
      </c>
      <c r="D46" s="174"/>
    </row>
    <row r="47" spans="1:7">
      <c r="A47" s="171" t="s">
        <v>73</v>
      </c>
      <c r="B47" s="33">
        <f t="shared" si="0"/>
        <v>260.62378167641322</v>
      </c>
      <c r="C47" s="34" t="s">
        <v>110</v>
      </c>
      <c r="D47" s="174"/>
    </row>
    <row r="48" spans="1:7">
      <c r="A48" s="171" t="s">
        <v>74</v>
      </c>
      <c r="B48" s="33">
        <f t="shared" si="0"/>
        <v>202.54191033138403</v>
      </c>
      <c r="C48" s="33">
        <f>B48*10</f>
        <v>2025.4191033138404</v>
      </c>
      <c r="D48" s="234"/>
    </row>
    <row r="49" spans="1:6">
      <c r="A49" s="171" t="s">
        <v>75</v>
      </c>
      <c r="B49" s="33" t="str">
        <f t="shared" si="0"/>
        <v>-</v>
      </c>
      <c r="C49" s="34" t="s">
        <v>110</v>
      </c>
      <c r="D49" s="234"/>
    </row>
    <row r="50" spans="1:6">
      <c r="A50" s="171" t="s">
        <v>76</v>
      </c>
      <c r="B50" s="33">
        <f t="shared" si="0"/>
        <v>207.2</v>
      </c>
      <c r="C50" s="33">
        <f>B50*2</f>
        <v>414.4</v>
      </c>
      <c r="D50" s="234"/>
    </row>
    <row r="51" spans="1:6">
      <c r="A51" s="171" t="s">
        <v>77</v>
      </c>
      <c r="B51" s="33">
        <f t="shared" si="0"/>
        <v>625.79999999999995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7877.5501999999997</v>
      </c>
      <c r="C5" s="17">
        <f>IF(ISERROR('Eigen informatie GS &amp; warmtenet'!B60),0,'Eigen informatie GS &amp; warmtenet'!B60)</f>
        <v>0</v>
      </c>
      <c r="D5" s="30">
        <f>SUM(D6:D12)</f>
        <v>8025.7876343919997</v>
      </c>
      <c r="E5" s="17">
        <f>SUM(E6:E12)</f>
        <v>93.835834559223031</v>
      </c>
      <c r="F5" s="17">
        <f>SUM(F6:F12)</f>
        <v>933.55611393677134</v>
      </c>
      <c r="G5" s="18"/>
      <c r="H5" s="17"/>
      <c r="I5" s="17"/>
      <c r="J5" s="17">
        <f>SUM(J6:J12)</f>
        <v>1.9348512725531928E-2</v>
      </c>
      <c r="K5" s="17"/>
      <c r="L5" s="17"/>
      <c r="M5" s="17"/>
      <c r="N5" s="17">
        <f>SUM(N6:N12)</f>
        <v>759.66480399850229</v>
      </c>
      <c r="O5" s="17">
        <f>B38*B39*B40</f>
        <v>29.383564595046927</v>
      </c>
      <c r="P5" s="17">
        <f>B46*B47*B48/1000-B46*B47*B48/1000/B49</f>
        <v>105.07827661299004</v>
      </c>
      <c r="R5" s="32"/>
    </row>
    <row r="6" spans="1:18">
      <c r="A6" s="32" t="s">
        <v>53</v>
      </c>
      <c r="B6" s="37">
        <f>B26</f>
        <v>447.92437899999999</v>
      </c>
      <c r="C6" s="33"/>
      <c r="D6" s="37">
        <f>IF(ISERROR(TER_kantoor_gas_kWh/1000),0,TER_kantoor_gas_kWh/1000)*0.902</f>
        <v>769.771821434</v>
      </c>
      <c r="E6" s="33">
        <f>$C$26*'E Balans VL '!I12/100/3.6*1000000</f>
        <v>3.6043038619426904</v>
      </c>
      <c r="F6" s="33">
        <f>$C$26*('E Balans VL '!L12+'E Balans VL '!N12)/100/3.6*1000000</f>
        <v>54.763467346358858</v>
      </c>
      <c r="G6" s="34"/>
      <c r="H6" s="33"/>
      <c r="I6" s="33"/>
      <c r="J6" s="33">
        <f>$C$26*('E Balans VL '!D12+'E Balans VL '!E12)/100/3.6*1000000</f>
        <v>0</v>
      </c>
      <c r="K6" s="33"/>
      <c r="L6" s="33"/>
      <c r="M6" s="33"/>
      <c r="N6" s="33">
        <f>$C$26*'E Balans VL '!Y12/100/3.6*1000000</f>
        <v>0.24073729582425868</v>
      </c>
      <c r="O6" s="33"/>
      <c r="P6" s="33"/>
      <c r="R6" s="32"/>
    </row>
    <row r="7" spans="1:18">
      <c r="A7" s="32" t="s">
        <v>52</v>
      </c>
      <c r="B7" s="37">
        <f t="shared" ref="B7:B12" si="0">B27</f>
        <v>2051.0670300000002</v>
      </c>
      <c r="C7" s="33"/>
      <c r="D7" s="37">
        <f>IF(ISERROR(TER_horeca_gas_kWh/1000),0,TER_horeca_gas_kWh/1000)*0.902</f>
        <v>1208.8812578480001</v>
      </c>
      <c r="E7" s="33">
        <f>$C$27*'E Balans VL '!I9/100/3.6*1000000</f>
        <v>22.023423362103905</v>
      </c>
      <c r="F7" s="33">
        <f>$C$27*('E Balans VL '!L9+'E Balans VL '!N9)/100/3.6*1000000</f>
        <v>246.69362801487131</v>
      </c>
      <c r="G7" s="34"/>
      <c r="H7" s="33"/>
      <c r="I7" s="33"/>
      <c r="J7" s="33">
        <f>$C$27*('E Balans VL '!D9+'E Balans VL '!E9)/100/3.6*1000000</f>
        <v>0</v>
      </c>
      <c r="K7" s="33"/>
      <c r="L7" s="33"/>
      <c r="M7" s="33"/>
      <c r="N7" s="33">
        <f>$C$27*'E Balans VL '!Y9/100/3.6*1000000</f>
        <v>0.30749651809944695</v>
      </c>
      <c r="O7" s="33"/>
      <c r="P7" s="33"/>
      <c r="R7" s="32"/>
    </row>
    <row r="8" spans="1:18">
      <c r="A8" s="6" t="s">
        <v>51</v>
      </c>
      <c r="B8" s="37">
        <f t="shared" si="0"/>
        <v>535.57683799999995</v>
      </c>
      <c r="C8" s="33"/>
      <c r="D8" s="37">
        <f>IF(ISERROR(TER_handel_gas_kWh/1000),0,TER_handel_gas_kWh/1000)*0.902</f>
        <v>29.138069994000006</v>
      </c>
      <c r="E8" s="33">
        <f>$C$28*'E Balans VL '!I13/100/3.6*1000000</f>
        <v>14.373242679336393</v>
      </c>
      <c r="F8" s="33">
        <f>$C$28*('E Balans VL '!L13+'E Balans VL '!N13)/100/3.6*1000000</f>
        <v>51.110537248973607</v>
      </c>
      <c r="G8" s="34"/>
      <c r="H8" s="33"/>
      <c r="I8" s="33"/>
      <c r="J8" s="33">
        <f>$C$28*('E Balans VL '!D13+'E Balans VL '!E13)/100/3.6*1000000</f>
        <v>0</v>
      </c>
      <c r="K8" s="33"/>
      <c r="L8" s="33"/>
      <c r="M8" s="33"/>
      <c r="N8" s="33">
        <f>$C$28*'E Balans VL '!Y13/100/3.6*1000000</f>
        <v>0.21230874829830257</v>
      </c>
      <c r="O8" s="33"/>
      <c r="P8" s="33"/>
      <c r="R8" s="32"/>
    </row>
    <row r="9" spans="1:18">
      <c r="A9" s="32" t="s">
        <v>50</v>
      </c>
      <c r="B9" s="37">
        <f t="shared" si="0"/>
        <v>86.661233999999993</v>
      </c>
      <c r="C9" s="33"/>
      <c r="D9" s="37">
        <f>IF(ISERROR(TER_gezond_gas_kWh/1000),0,TER_gezond_gas_kWh/1000)*0.902</f>
        <v>112.880750312</v>
      </c>
      <c r="E9" s="33">
        <f>$C$29*'E Balans VL '!I10/100/3.6*1000000</f>
        <v>0.16243137063912841</v>
      </c>
      <c r="F9" s="33">
        <f>$C$29*('E Balans VL '!L10+'E Balans VL '!N10)/100/3.6*1000000</f>
        <v>7.1243441576324322</v>
      </c>
      <c r="G9" s="34"/>
      <c r="H9" s="33"/>
      <c r="I9" s="33"/>
      <c r="J9" s="33">
        <f>$C$29*('E Balans VL '!D10+'E Balans VL '!E10)/100/3.6*1000000</f>
        <v>0</v>
      </c>
      <c r="K9" s="33"/>
      <c r="L9" s="33"/>
      <c r="M9" s="33"/>
      <c r="N9" s="33">
        <f>$C$29*'E Balans VL '!Y10/100/3.6*1000000</f>
        <v>0.67428905909115688</v>
      </c>
      <c r="O9" s="33"/>
      <c r="P9" s="33"/>
      <c r="R9" s="32"/>
    </row>
    <row r="10" spans="1:18">
      <c r="A10" s="32" t="s">
        <v>49</v>
      </c>
      <c r="B10" s="37">
        <f t="shared" si="0"/>
        <v>679.51808800000003</v>
      </c>
      <c r="C10" s="33"/>
      <c r="D10" s="37">
        <f>IF(ISERROR(TER_ander_gas_kWh/1000),0,TER_ander_gas_kWh/1000)*0.902</f>
        <v>1015.529190896</v>
      </c>
      <c r="E10" s="33">
        <f>$C$30*'E Balans VL '!I14/100/3.6*1000000</f>
        <v>1.0474840181023968</v>
      </c>
      <c r="F10" s="33">
        <f>$C$30*('E Balans VL '!L14+'E Balans VL '!N14)/100/3.6*1000000</f>
        <v>105.49537075328176</v>
      </c>
      <c r="G10" s="34"/>
      <c r="H10" s="33"/>
      <c r="I10" s="33"/>
      <c r="J10" s="33">
        <f>$C$30*('E Balans VL '!D14+'E Balans VL '!E14)/100/3.6*1000000</f>
        <v>1.153553618042754E-2</v>
      </c>
      <c r="K10" s="33"/>
      <c r="L10" s="33"/>
      <c r="M10" s="33"/>
      <c r="N10" s="33">
        <f>$C$30*'E Balans VL '!Y14/100/3.6*1000000</f>
        <v>449.54738862955634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4076.802631</v>
      </c>
      <c r="C12" s="33"/>
      <c r="D12" s="37">
        <f>IF(ISERROR(TER_rest_gas_kWh/1000),0,TER_rest_gas_kWh/1000)*0.902</f>
        <v>4889.5865439079998</v>
      </c>
      <c r="E12" s="33">
        <f>$C$32*'E Balans VL '!I8/100/3.6*1000000</f>
        <v>52.624949267098522</v>
      </c>
      <c r="F12" s="33">
        <f>$C$32*('E Balans VL '!L8+'E Balans VL '!N8)/100/3.6*1000000</f>
        <v>468.36876641565334</v>
      </c>
      <c r="G12" s="34"/>
      <c r="H12" s="33"/>
      <c r="I12" s="33"/>
      <c r="J12" s="33">
        <f>$C$32*('E Balans VL '!D8+'E Balans VL '!E8)/100/3.6*1000000</f>
        <v>7.812976545104388E-3</v>
      </c>
      <c r="K12" s="33"/>
      <c r="L12" s="33"/>
      <c r="M12" s="33"/>
      <c r="N12" s="33">
        <f>$C$32*'E Balans VL '!Y8/100/3.6*1000000</f>
        <v>308.68258374763286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7877.5501999999997</v>
      </c>
      <c r="C16" s="21">
        <f t="shared" ca="1" si="1"/>
        <v>0</v>
      </c>
      <c r="D16" s="21">
        <f t="shared" ca="1" si="1"/>
        <v>8025.7876343919997</v>
      </c>
      <c r="E16" s="21">
        <f t="shared" si="1"/>
        <v>93.835834559223031</v>
      </c>
      <c r="F16" s="21">
        <f t="shared" ca="1" si="1"/>
        <v>933.55611393677134</v>
      </c>
      <c r="G16" s="21">
        <f t="shared" si="1"/>
        <v>0</v>
      </c>
      <c r="H16" s="21">
        <f t="shared" si="1"/>
        <v>0</v>
      </c>
      <c r="I16" s="21">
        <f t="shared" si="1"/>
        <v>0</v>
      </c>
      <c r="J16" s="21">
        <f t="shared" si="1"/>
        <v>1.9348512725531928E-2</v>
      </c>
      <c r="K16" s="21">
        <f t="shared" si="1"/>
        <v>0</v>
      </c>
      <c r="L16" s="21">
        <f t="shared" ca="1" si="1"/>
        <v>0</v>
      </c>
      <c r="M16" s="21">
        <f t="shared" si="1"/>
        <v>0</v>
      </c>
      <c r="N16" s="21">
        <f t="shared" ca="1" si="1"/>
        <v>759.66480399850229</v>
      </c>
      <c r="O16" s="21">
        <f>O5</f>
        <v>29.383564595046927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0.2137041059626168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1683.4648226666332</v>
      </c>
      <c r="C20" s="23">
        <f t="shared" ref="C20:P20" ca="1" si="2">C16*C18</f>
        <v>0</v>
      </c>
      <c r="D20" s="23">
        <f t="shared" ca="1" si="2"/>
        <v>1621.209102147184</v>
      </c>
      <c r="E20" s="23">
        <f t="shared" si="2"/>
        <v>21.300734444943629</v>
      </c>
      <c r="F20" s="23">
        <f t="shared" ca="1" si="2"/>
        <v>249.25948242111795</v>
      </c>
      <c r="G20" s="23">
        <f t="shared" si="2"/>
        <v>0</v>
      </c>
      <c r="H20" s="23">
        <f t="shared" si="2"/>
        <v>0</v>
      </c>
      <c r="I20" s="23">
        <f t="shared" si="2"/>
        <v>0</v>
      </c>
      <c r="J20" s="23">
        <f t="shared" si="2"/>
        <v>6.849373504838302E-3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447.92437899999999</v>
      </c>
      <c r="C26" s="39">
        <f>IF(ISERROR(B26*3.6/1000000/'E Balans VL '!Z12*100),0,B26*3.6/1000000/'E Balans VL '!Z12*100)</f>
        <v>9.502305896737482E-3</v>
      </c>
      <c r="D26" s="237" t="s">
        <v>716</v>
      </c>
      <c r="F26" s="6"/>
    </row>
    <row r="27" spans="1:18">
      <c r="A27" s="231" t="s">
        <v>52</v>
      </c>
      <c r="B27" s="33">
        <f>IF(ISERROR(TER_horeca_ele_kWh/1000),0,TER_horeca_ele_kWh/1000)</f>
        <v>2051.0670300000002</v>
      </c>
      <c r="C27" s="39">
        <f>IF(ISERROR(B27*3.6/1000000/'E Balans VL '!Z9*100),0,B27*3.6/1000000/'E Balans VL '!Z9*100)</f>
        <v>0.15446351674973532</v>
      </c>
      <c r="D27" s="237" t="s">
        <v>716</v>
      </c>
      <c r="F27" s="6"/>
    </row>
    <row r="28" spans="1:18">
      <c r="A28" s="171" t="s">
        <v>51</v>
      </c>
      <c r="B28" s="33">
        <f>IF(ISERROR(TER_handel_ele_kWh/1000),0,TER_handel_ele_kWh/1000)</f>
        <v>535.57683799999995</v>
      </c>
      <c r="C28" s="39">
        <f>IF(ISERROR(B28*3.6/1000000/'E Balans VL '!Z13*100),0,B28*3.6/1000000/'E Balans VL '!Z13*100)</f>
        <v>1.5545897910341239E-2</v>
      </c>
      <c r="D28" s="237" t="s">
        <v>716</v>
      </c>
      <c r="F28" s="6"/>
    </row>
    <row r="29" spans="1:18">
      <c r="A29" s="231" t="s">
        <v>50</v>
      </c>
      <c r="B29" s="33">
        <f>IF(ISERROR(TER_gezond_ele_kWh/1000),0,TER_gezond_ele_kWh/1000)</f>
        <v>86.661233999999993</v>
      </c>
      <c r="C29" s="39">
        <f>IF(ISERROR(B29*3.6/1000000/'E Balans VL '!Z10*100),0,B29*3.6/1000000/'E Balans VL '!Z10*100)</f>
        <v>8.7398887966308042E-3</v>
      </c>
      <c r="D29" s="237" t="s">
        <v>716</v>
      </c>
      <c r="F29" s="6"/>
    </row>
    <row r="30" spans="1:18">
      <c r="A30" s="231" t="s">
        <v>49</v>
      </c>
      <c r="B30" s="33">
        <f>IF(ISERROR(TER_ander_ele_kWh/1000),0,TER_ander_ele_kWh/1000)</f>
        <v>679.51808800000003</v>
      </c>
      <c r="C30" s="39">
        <f>IF(ISERROR(B30*3.6/1000000/'E Balans VL '!Z14*100),0,B30*3.6/1000000/'E Balans VL '!Z14*100)</f>
        <v>4.9308307610881813E-2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4076.802631</v>
      </c>
      <c r="C32" s="39">
        <f>IF(ISERROR(B32*3.6/1000000/'E Balans VL '!Z8*100),0,B32*3.6/1000000/'E Balans VL '!Z8*100)</f>
        <v>3.3396336747333881E-2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82349.872100999986</v>
      </c>
      <c r="C5" s="17">
        <f>IF(ISERROR('Eigen informatie GS &amp; warmtenet'!B61),0,'Eigen informatie GS &amp; warmtenet'!B61)</f>
        <v>0</v>
      </c>
      <c r="D5" s="30">
        <f>SUM(D6:D15)</f>
        <v>239151.27196971999</v>
      </c>
      <c r="E5" s="17">
        <f>SUM(E6:E15)</f>
        <v>559.10760820603787</v>
      </c>
      <c r="F5" s="17">
        <f>SUM(F6:F15)</f>
        <v>5579.2044218104838</v>
      </c>
      <c r="G5" s="18"/>
      <c r="H5" s="17"/>
      <c r="I5" s="17"/>
      <c r="J5" s="17">
        <f>SUM(J6:J15)</f>
        <v>61.528506724495472</v>
      </c>
      <c r="K5" s="17"/>
      <c r="L5" s="17"/>
      <c r="M5" s="17"/>
      <c r="N5" s="17">
        <f>SUM(N6:N15)</f>
        <v>4646.1593501098214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270.62493499999999</v>
      </c>
      <c r="C9" s="33"/>
      <c r="D9" s="37">
        <f>IF( ISERROR(IND_andere_gas_kWh/1000),0,IND_andere_gas_kWh/1000)*0.902</f>
        <v>143.22881452000001</v>
      </c>
      <c r="E9" s="33">
        <f>C31*'E Balans VL '!I19/100/3.6*1000000</f>
        <v>74.99378819724086</v>
      </c>
      <c r="F9" s="33">
        <f>C31*'E Balans VL '!L19/100/3.6*1000000+C31*'E Balans VL '!N19/100/3.6*1000000</f>
        <v>224.29453095299181</v>
      </c>
      <c r="G9" s="34"/>
      <c r="H9" s="33"/>
      <c r="I9" s="33"/>
      <c r="J9" s="40">
        <f>C31*'E Balans VL '!D19/100/3.6*1000000+C31*'E Balans VL '!E19/100/3.6*1000000</f>
        <v>0</v>
      </c>
      <c r="K9" s="33"/>
      <c r="L9" s="33"/>
      <c r="M9" s="33"/>
      <c r="N9" s="33">
        <f>C31*'E Balans VL '!Y19/100/3.6*1000000</f>
        <v>19.644060179699135</v>
      </c>
      <c r="O9" s="33"/>
      <c r="P9" s="33"/>
      <c r="R9" s="32"/>
    </row>
    <row r="10" spans="1:18">
      <c r="A10" s="6" t="s">
        <v>40</v>
      </c>
      <c r="B10" s="37">
        <f t="shared" si="0"/>
        <v>74631.369599999991</v>
      </c>
      <c r="C10" s="33"/>
      <c r="D10" s="37">
        <f>IF( ISERROR(IND_voed_gas_kWh/1000),0,IND_voed_gas_kWh/1000)*0.902</f>
        <v>0</v>
      </c>
      <c r="E10" s="33">
        <f>C32*'E Balans VL '!I20/100/3.6*1000000</f>
        <v>132.12280345760962</v>
      </c>
      <c r="F10" s="33">
        <f>C32*'E Balans VL '!L20/100/3.6*1000000+C32*'E Balans VL '!N20/100/3.6*1000000</f>
        <v>4030.7554102954437</v>
      </c>
      <c r="G10" s="34"/>
      <c r="H10" s="33"/>
      <c r="I10" s="33"/>
      <c r="J10" s="40">
        <f>C32*'E Balans VL '!D20/100/3.6*1000000+C32*'E Balans VL '!E20/100/3.6*1000000</f>
        <v>0</v>
      </c>
      <c r="K10" s="33"/>
      <c r="L10" s="33"/>
      <c r="M10" s="33"/>
      <c r="N10" s="33">
        <f>C32*'E Balans VL '!Y20/100/3.6*1000000</f>
        <v>4336.6525406319288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7447.8775659999992</v>
      </c>
      <c r="C15" s="33"/>
      <c r="D15" s="37">
        <f>IF( ISERROR(IND_rest_gas_kWh/1000),0,IND_rest_gas_kWh/1000)*0.902</f>
        <v>239008.04315519999</v>
      </c>
      <c r="E15" s="33">
        <f>C37*'E Balans VL '!I15/100/3.6*1000000</f>
        <v>351.99101655118739</v>
      </c>
      <c r="F15" s="33">
        <f>C37*'E Balans VL '!L15/100/3.6*1000000+C37*'E Balans VL '!N15/100/3.6*1000000</f>
        <v>1324.1544805620488</v>
      </c>
      <c r="G15" s="34"/>
      <c r="H15" s="33"/>
      <c r="I15" s="33"/>
      <c r="J15" s="40">
        <f>C37*'E Balans VL '!D15/100/3.6*1000000+C37*'E Balans VL '!E15/100/3.6*1000000</f>
        <v>61.528506724495472</v>
      </c>
      <c r="K15" s="33"/>
      <c r="L15" s="33"/>
      <c r="M15" s="33"/>
      <c r="N15" s="33">
        <f>C37*'E Balans VL '!Y15/100/3.6*1000000</f>
        <v>289.86274929819319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82349.872100999986</v>
      </c>
      <c r="C18" s="21">
        <f>C5+C16</f>
        <v>0</v>
      </c>
      <c r="D18" s="21">
        <f>MAX((D5+D16),0)</f>
        <v>239151.27196971999</v>
      </c>
      <c r="E18" s="21">
        <f>MAX((E5+E16),0)</f>
        <v>559.10760820603787</v>
      </c>
      <c r="F18" s="21">
        <f>MAX((F5+F16),0)</f>
        <v>5579.2044218104838</v>
      </c>
      <c r="G18" s="21"/>
      <c r="H18" s="21"/>
      <c r="I18" s="21"/>
      <c r="J18" s="21">
        <f>MAX((J5+J16),0)</f>
        <v>61.528506724495472</v>
      </c>
      <c r="K18" s="21"/>
      <c r="L18" s="21">
        <f>MAX((L5+L16),0)</f>
        <v>0</v>
      </c>
      <c r="M18" s="21"/>
      <c r="N18" s="21">
        <f>MAX((N5+N16),0)</f>
        <v>4646.1593501098214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0.2137041059626168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17598.505793480042</v>
      </c>
      <c r="C22" s="23">
        <f ca="1">C18*C20</f>
        <v>0</v>
      </c>
      <c r="D22" s="23">
        <f>D18*D20</f>
        <v>48308.556937883441</v>
      </c>
      <c r="E22" s="23">
        <f>E18*E20</f>
        <v>126.9174270627706</v>
      </c>
      <c r="F22" s="23">
        <f>F18*F20</f>
        <v>1489.6475806233993</v>
      </c>
      <c r="G22" s="23"/>
      <c r="H22" s="23"/>
      <c r="I22" s="23"/>
      <c r="J22" s="23">
        <f>J18*J20</f>
        <v>21.781091380471395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270.62493499999999</v>
      </c>
      <c r="C31" s="39">
        <f>IF(ISERROR(B31*3.6/1000000/'E Balans VL '!Z19*100),0,B31*3.6/1000000/'E Balans VL '!Z19*100)</f>
        <v>1.3611557033739114E-2</v>
      </c>
      <c r="D31" s="237" t="s">
        <v>716</v>
      </c>
    </row>
    <row r="32" spans="1:18">
      <c r="A32" s="171" t="s">
        <v>40</v>
      </c>
      <c r="B32" s="37">
        <f>IF( ISERROR(IND_voed_ele_kWh/1000),0,IND_voed_ele_kWh/1000)</f>
        <v>74631.369599999991</v>
      </c>
      <c r="C32" s="39">
        <f>IF(ISERROR(B32*3.6/1000000/'E Balans VL '!Z20*100),0,B32*3.6/1000000/'E Balans VL '!Z20*100)</f>
        <v>2.4856677872676354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7447.8775659999992</v>
      </c>
      <c r="C37" s="39">
        <f>IF(ISERROR(B37*3.6/1000000/'E Balans VL '!Z15*100),0,B37*3.6/1000000/'E Balans VL '!Z15*100)</f>
        <v>5.8113812213114444E-2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6443.2990520000003</v>
      </c>
      <c r="C5" s="17">
        <f>'Eigen informatie GS &amp; warmtenet'!B62</f>
        <v>0</v>
      </c>
      <c r="D5" s="30">
        <f>IF(ISERROR(SUM(LB_lb_gas_kWh,LB_rest_gas_kWh)/1000),0,SUM(LB_lb_gas_kWh,LB_rest_gas_kWh)/1000)*0.902</f>
        <v>403.76478018799997</v>
      </c>
      <c r="E5" s="17">
        <f>B17*'E Balans VL '!I25/3.6*1000000/100</f>
        <v>201.09323867501709</v>
      </c>
      <c r="F5" s="17">
        <f>B17*('E Balans VL '!L25/3.6*1000000+'E Balans VL '!N25/3.6*1000000)/100</f>
        <v>22771.332619182343</v>
      </c>
      <c r="G5" s="18"/>
      <c r="H5" s="17"/>
      <c r="I5" s="17"/>
      <c r="J5" s="17">
        <f>('E Balans VL '!D25+'E Balans VL '!E25)/3.6*1000000*landbouw!B17/100</f>
        <v>1775.1735727133189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6443.2990520000003</v>
      </c>
      <c r="C8" s="21">
        <f>C5+C6</f>
        <v>0</v>
      </c>
      <c r="D8" s="21">
        <f>MAX((D5+D6),0)</f>
        <v>403.76478018799997</v>
      </c>
      <c r="E8" s="21">
        <f>MAX((E5+E6),0)</f>
        <v>201.09323867501709</v>
      </c>
      <c r="F8" s="21">
        <f>MAX((F5+F6),0)</f>
        <v>22771.332619182343</v>
      </c>
      <c r="G8" s="21"/>
      <c r="H8" s="21"/>
      <c r="I8" s="21"/>
      <c r="J8" s="21">
        <f>MAX((J5+J6),0)</f>
        <v>1775.1735727133189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0.2137041059626168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1376.9594633574363</v>
      </c>
      <c r="C12" s="23">
        <f ca="1">C8*C10</f>
        <v>0</v>
      </c>
      <c r="D12" s="23">
        <f>D8*D10</f>
        <v>81.560485597975998</v>
      </c>
      <c r="E12" s="23">
        <f>E8*E10</f>
        <v>45.648165179228883</v>
      </c>
      <c r="F12" s="23">
        <f>F8*F10</f>
        <v>6079.9458093216863</v>
      </c>
      <c r="G12" s="23"/>
      <c r="H12" s="23"/>
      <c r="I12" s="23"/>
      <c r="J12" s="23">
        <f>J8*J10</f>
        <v>628.41144474051487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0.95784259402261673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1421.6987830141704</v>
      </c>
      <c r="C26" s="247">
        <f>B26*'GWP N2O_CH4'!B5</f>
        <v>29855.674443297579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628.20171679385442</v>
      </c>
      <c r="C27" s="247">
        <f>B27*'GWP N2O_CH4'!B5</f>
        <v>13192.236052670944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18.466618981402462</v>
      </c>
      <c r="C28" s="247">
        <f>B28*'GWP N2O_CH4'!B4</f>
        <v>5724.6518842347632</v>
      </c>
      <c r="D28" s="50"/>
    </row>
    <row r="29" spans="1:4">
      <c r="A29" s="41" t="s">
        <v>276</v>
      </c>
      <c r="B29" s="247">
        <f>B34*'ha_N2O bodem landbouw'!B4</f>
        <v>52.522978359248519</v>
      </c>
      <c r="C29" s="247">
        <f>B29*'GWP N2O_CH4'!B4</f>
        <v>16282.123291367041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1.151734349922072E-2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7.0826580649999994E-5</v>
      </c>
      <c r="C5" s="463" t="s">
        <v>210</v>
      </c>
      <c r="D5" s="448">
        <f>SUM(D6:D11)</f>
        <v>2.81720103308952E-4</v>
      </c>
      <c r="E5" s="448">
        <f>SUM(E6:E11)</f>
        <v>2.1726630877349996E-4</v>
      </c>
      <c r="F5" s="461" t="s">
        <v>210</v>
      </c>
      <c r="G5" s="448">
        <f>SUM(G6:G11)</f>
        <v>8.53795156653398E-2</v>
      </c>
      <c r="H5" s="448">
        <f>SUM(H6:H11)</f>
        <v>2.0992333025605624E-2</v>
      </c>
      <c r="I5" s="463" t="s">
        <v>210</v>
      </c>
      <c r="J5" s="463" t="s">
        <v>210</v>
      </c>
      <c r="K5" s="463" t="s">
        <v>210</v>
      </c>
      <c r="L5" s="463" t="s">
        <v>210</v>
      </c>
      <c r="M5" s="448">
        <f>SUM(M6:M11)</f>
        <v>6.3028203044185986E-3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5.7584044069999999E-5</v>
      </c>
      <c r="C6" s="449"/>
      <c r="D6" s="917">
        <f>vkm_2011_GW_PW*SUMIFS(TableVerdeelsleutelVkm[CNG],TableVerdeelsleutelVkm[Voertuigtype],"Lichte voertuigen")*SUMIFS(TableECFTransport[EnergieConsumptieFactor (PJ per km)],TableECFTransport[Index],CONCATENATE($A6,"_CNG_CNG"))</f>
        <v>2.0022952966447201E-4</v>
      </c>
      <c r="E6" s="917">
        <f>vkm_2011_GW_PW*SUMIFS(TableVerdeelsleutelVkm[LPG],TableVerdeelsleutelVkm[Voertuigtype],"Lichte voertuigen")*SUMIFS(TableECFTransport[EnergieConsumptieFactor (PJ per km)],TableECFTransport[Index],CONCATENATE($A6,"_LPG_LPG"))</f>
        <v>1.5774788052239997E-4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4.2940807282336478E-2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1.5026430487426169E-2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3.4639068010114075E-3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2.4902022009086647E-2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6.273621808211997E-6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1.4359283883784734E-3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1.3242536579999999E-5</v>
      </c>
      <c r="C8" s="449"/>
      <c r="D8" s="451">
        <f>vkm_2011_NGW_PW*SUMIFS(TableVerdeelsleutelVkm[CNG],TableVerdeelsleutelVkm[Voertuigtype],"Lichte voertuigen")*SUMIFS(TableECFTransport[EnergieConsumptieFactor (PJ per km)],TableECFTransport[Index],CONCATENATE($A8,"_CNG_CNG"))</f>
        <v>8.1490573644480002E-5</v>
      </c>
      <c r="E8" s="451">
        <f>vkm_2011_NGW_PW*SUMIFS(TableVerdeelsleutelVkm[LPG],TableVerdeelsleutelVkm[Voertuigtype],"Lichte voertuigen")*SUMIFS(TableECFTransport[EnergieConsumptieFactor (PJ per km)],TableECFTransport[Index],CONCATENATE($A8,"_LPG_LPG"))</f>
        <v>5.9518428251099996E-5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1.5034598598348293E-2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5.9590341404837949E-3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1.2587092575047309E-3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2.5020877755683748E-3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5.947758874467078E-7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1.442758575239866E-4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19.674050180555554</v>
      </c>
      <c r="C14" s="21"/>
      <c r="D14" s="21">
        <f t="shared" ref="D14:M14" si="0">((D5)*10^9/3600)+D12</f>
        <v>78.25558425248667</v>
      </c>
      <c r="E14" s="21">
        <f t="shared" si="0"/>
        <v>60.351752437083327</v>
      </c>
      <c r="F14" s="21"/>
      <c r="G14" s="21">
        <f t="shared" si="0"/>
        <v>23716.532129261053</v>
      </c>
      <c r="H14" s="21">
        <f t="shared" si="0"/>
        <v>5831.2036182237844</v>
      </c>
      <c r="I14" s="21"/>
      <c r="J14" s="21"/>
      <c r="K14" s="21"/>
      <c r="L14" s="21"/>
      <c r="M14" s="21">
        <f t="shared" si="0"/>
        <v>1750.783417894055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0.2137041059626168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4.2044253044992841</v>
      </c>
      <c r="C18" s="23"/>
      <c r="D18" s="23">
        <f t="shared" ref="D18:M18" si="1">D14*D16</f>
        <v>15.807628019002308</v>
      </c>
      <c r="E18" s="23">
        <f t="shared" si="1"/>
        <v>13.699847803217915</v>
      </c>
      <c r="F18" s="23"/>
      <c r="G18" s="23">
        <f t="shared" si="1"/>
        <v>6332.3140785127016</v>
      </c>
      <c r="H18" s="23">
        <f t="shared" si="1"/>
        <v>1451.9697009377223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8.9838679477158019E-4</v>
      </c>
      <c r="H50" s="321">
        <f t="shared" si="2"/>
        <v>0</v>
      </c>
      <c r="I50" s="321">
        <f t="shared" si="2"/>
        <v>0</v>
      </c>
      <c r="J50" s="321">
        <f t="shared" si="2"/>
        <v>0</v>
      </c>
      <c r="K50" s="321">
        <f t="shared" si="2"/>
        <v>0</v>
      </c>
      <c r="L50" s="321">
        <f t="shared" si="2"/>
        <v>0</v>
      </c>
      <c r="M50" s="321">
        <f t="shared" si="2"/>
        <v>4.9932437454442667E-5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8.9838679477158019E-4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4.9932437454442667E-5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249.55188743655003</v>
      </c>
      <c r="H54" s="21">
        <f t="shared" si="3"/>
        <v>0</v>
      </c>
      <c r="I54" s="21">
        <f t="shared" si="3"/>
        <v>0</v>
      </c>
      <c r="J54" s="21">
        <f t="shared" si="3"/>
        <v>0</v>
      </c>
      <c r="K54" s="21">
        <f t="shared" si="3"/>
        <v>0</v>
      </c>
      <c r="L54" s="21">
        <f t="shared" si="3"/>
        <v>0</v>
      </c>
      <c r="M54" s="21">
        <f t="shared" si="3"/>
        <v>13.870121515122964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0.2137041059626168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66.630353945558866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8583.6371999999992</v>
      </c>
      <c r="D10" s="712">
        <f ca="1">tertiair!C16</f>
        <v>0</v>
      </c>
      <c r="E10" s="712">
        <f ca="1">tertiair!D16</f>
        <v>8025.7876343919997</v>
      </c>
      <c r="F10" s="712">
        <f>tertiair!E16</f>
        <v>93.835834559223031</v>
      </c>
      <c r="G10" s="712">
        <f ca="1">tertiair!F16</f>
        <v>933.55611393677134</v>
      </c>
      <c r="H10" s="712">
        <f>tertiair!G16</f>
        <v>0</v>
      </c>
      <c r="I10" s="712">
        <f>tertiair!H16</f>
        <v>0</v>
      </c>
      <c r="J10" s="712">
        <f>tertiair!I16</f>
        <v>0</v>
      </c>
      <c r="K10" s="712">
        <f>tertiair!J16</f>
        <v>1.9348512725531928E-2</v>
      </c>
      <c r="L10" s="712">
        <f>tertiair!K16</f>
        <v>0</v>
      </c>
      <c r="M10" s="712">
        <f ca="1">tertiair!L16</f>
        <v>0</v>
      </c>
      <c r="N10" s="712">
        <f>tertiair!M16</f>
        <v>0</v>
      </c>
      <c r="O10" s="712">
        <f ca="1">tertiair!N16</f>
        <v>759.66480399850229</v>
      </c>
      <c r="P10" s="712">
        <f>tertiair!O16</f>
        <v>29.383564595046927</v>
      </c>
      <c r="Q10" s="713">
        <f>tertiair!P16</f>
        <v>105.07827661299004</v>
      </c>
      <c r="R10" s="715">
        <f ca="1">SUM(C10:Q10)</f>
        <v>18530.962776607252</v>
      </c>
      <c r="S10" s="67"/>
    </row>
    <row r="11" spans="1:19" s="474" customFormat="1">
      <c r="A11" s="834" t="s">
        <v>224</v>
      </c>
      <c r="B11" s="839"/>
      <c r="C11" s="712">
        <f>huishoudens!B8</f>
        <v>13451.271349978208</v>
      </c>
      <c r="D11" s="712">
        <f>huishoudens!C8</f>
        <v>0</v>
      </c>
      <c r="E11" s="712">
        <f>huishoudens!D8</f>
        <v>22446.813310680001</v>
      </c>
      <c r="F11" s="712">
        <f>huishoudens!E8</f>
        <v>11784.9481774791</v>
      </c>
      <c r="G11" s="712">
        <f>huishoudens!F8</f>
        <v>13011.644413373533</v>
      </c>
      <c r="H11" s="712">
        <f>huishoudens!G8</f>
        <v>0</v>
      </c>
      <c r="I11" s="712">
        <f>huishoudens!H8</f>
        <v>0</v>
      </c>
      <c r="J11" s="712">
        <f>huishoudens!I8</f>
        <v>0</v>
      </c>
      <c r="K11" s="712">
        <f>huishoudens!J8</f>
        <v>6081.999147354566</v>
      </c>
      <c r="L11" s="712">
        <f>huishoudens!K8</f>
        <v>0</v>
      </c>
      <c r="M11" s="712">
        <f>huishoudens!L8</f>
        <v>0</v>
      </c>
      <c r="N11" s="712">
        <f>huishoudens!M8</f>
        <v>0</v>
      </c>
      <c r="O11" s="712">
        <f>huishoudens!N8</f>
        <v>13730.798306851178</v>
      </c>
      <c r="P11" s="712">
        <f>huishoudens!O8</f>
        <v>285.68998359173258</v>
      </c>
      <c r="Q11" s="713">
        <f>huishoudens!P8</f>
        <v>273.88294199981061</v>
      </c>
      <c r="R11" s="715">
        <f>SUM(C11:Q11)</f>
        <v>81067.047631308116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82349.872100999986</v>
      </c>
      <c r="D13" s="712">
        <f>industrie!C18</f>
        <v>0</v>
      </c>
      <c r="E13" s="712">
        <f>industrie!D18</f>
        <v>239151.27196971999</v>
      </c>
      <c r="F13" s="712">
        <f>industrie!E18</f>
        <v>559.10760820603787</v>
      </c>
      <c r="G13" s="712">
        <f>industrie!F18</f>
        <v>5579.2044218104838</v>
      </c>
      <c r="H13" s="712">
        <f>industrie!G18</f>
        <v>0</v>
      </c>
      <c r="I13" s="712">
        <f>industrie!H18</f>
        <v>0</v>
      </c>
      <c r="J13" s="712">
        <f>industrie!I18</f>
        <v>0</v>
      </c>
      <c r="K13" s="712">
        <f>industrie!J18</f>
        <v>61.528506724495472</v>
      </c>
      <c r="L13" s="712">
        <f>industrie!K18</f>
        <v>0</v>
      </c>
      <c r="M13" s="712">
        <f>industrie!L18</f>
        <v>0</v>
      </c>
      <c r="N13" s="712">
        <f>industrie!M18</f>
        <v>0</v>
      </c>
      <c r="O13" s="712">
        <f>industrie!N18</f>
        <v>4646.1593501098214</v>
      </c>
      <c r="P13" s="712">
        <f>industrie!O18</f>
        <v>0</v>
      </c>
      <c r="Q13" s="713">
        <f>industrie!P18</f>
        <v>0</v>
      </c>
      <c r="R13" s="715">
        <f>SUM(C13:Q13)</f>
        <v>332347.14395757078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104384.78065097819</v>
      </c>
      <c r="D16" s="748">
        <f t="shared" ref="D16:R16" ca="1" si="0">SUM(D9:D15)</f>
        <v>0</v>
      </c>
      <c r="E16" s="748">
        <f t="shared" ca="1" si="0"/>
        <v>269623.87291479198</v>
      </c>
      <c r="F16" s="748">
        <f t="shared" si="0"/>
        <v>12437.89162024436</v>
      </c>
      <c r="G16" s="748">
        <f t="shared" ca="1" si="0"/>
        <v>19524.404949120788</v>
      </c>
      <c r="H16" s="748">
        <f t="shared" si="0"/>
        <v>0</v>
      </c>
      <c r="I16" s="748">
        <f t="shared" si="0"/>
        <v>0</v>
      </c>
      <c r="J16" s="748">
        <f t="shared" si="0"/>
        <v>0</v>
      </c>
      <c r="K16" s="748">
        <f t="shared" si="0"/>
        <v>6143.5470025917875</v>
      </c>
      <c r="L16" s="748">
        <f t="shared" si="0"/>
        <v>0</v>
      </c>
      <c r="M16" s="748">
        <f t="shared" ca="1" si="0"/>
        <v>0</v>
      </c>
      <c r="N16" s="748">
        <f t="shared" si="0"/>
        <v>0</v>
      </c>
      <c r="O16" s="748">
        <f t="shared" ca="1" si="0"/>
        <v>19136.622460959501</v>
      </c>
      <c r="P16" s="748">
        <f t="shared" si="0"/>
        <v>315.07354818677953</v>
      </c>
      <c r="Q16" s="748">
        <f t="shared" si="0"/>
        <v>378.96121861280062</v>
      </c>
      <c r="R16" s="748">
        <f t="shared" ca="1" si="0"/>
        <v>431945.15436548612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249.55188743655003</v>
      </c>
      <c r="I19" s="712">
        <f>transport!H54</f>
        <v>0</v>
      </c>
      <c r="J19" s="712">
        <f>transport!I54</f>
        <v>0</v>
      </c>
      <c r="K19" s="712">
        <f>transport!J54</f>
        <v>0</v>
      </c>
      <c r="L19" s="712">
        <f>transport!K54</f>
        <v>0</v>
      </c>
      <c r="M19" s="712">
        <f>transport!L54</f>
        <v>0</v>
      </c>
      <c r="N19" s="712">
        <f>transport!M54</f>
        <v>13.870121515122964</v>
      </c>
      <c r="O19" s="712">
        <f>transport!N54</f>
        <v>0</v>
      </c>
      <c r="P19" s="712">
        <f>transport!O54</f>
        <v>0</v>
      </c>
      <c r="Q19" s="713">
        <f>transport!P54</f>
        <v>0</v>
      </c>
      <c r="R19" s="715">
        <f>SUM(C19:Q19)</f>
        <v>263.42200895167298</v>
      </c>
      <c r="S19" s="67"/>
    </row>
    <row r="20" spans="1:19" s="474" customFormat="1">
      <c r="A20" s="834" t="s">
        <v>306</v>
      </c>
      <c r="B20" s="839"/>
      <c r="C20" s="712">
        <f>transport!B14</f>
        <v>19.674050180555554</v>
      </c>
      <c r="D20" s="712">
        <f>transport!C14</f>
        <v>0</v>
      </c>
      <c r="E20" s="712">
        <f>transport!D14</f>
        <v>78.25558425248667</v>
      </c>
      <c r="F20" s="712">
        <f>transport!E14</f>
        <v>60.351752437083327</v>
      </c>
      <c r="G20" s="712">
        <f>transport!F14</f>
        <v>0</v>
      </c>
      <c r="H20" s="712">
        <f>transport!G14</f>
        <v>23716.532129261053</v>
      </c>
      <c r="I20" s="712">
        <f>transport!H14</f>
        <v>5831.2036182237844</v>
      </c>
      <c r="J20" s="712">
        <f>transport!I14</f>
        <v>0</v>
      </c>
      <c r="K20" s="712">
        <f>transport!J14</f>
        <v>0</v>
      </c>
      <c r="L20" s="712">
        <f>transport!K14</f>
        <v>0</v>
      </c>
      <c r="M20" s="712">
        <f>transport!L14</f>
        <v>0</v>
      </c>
      <c r="N20" s="712">
        <f>transport!M14</f>
        <v>1750.783417894055</v>
      </c>
      <c r="O20" s="712">
        <f>transport!N14</f>
        <v>0</v>
      </c>
      <c r="P20" s="712">
        <f>transport!O14</f>
        <v>0</v>
      </c>
      <c r="Q20" s="713">
        <f>transport!P14</f>
        <v>0</v>
      </c>
      <c r="R20" s="715">
        <f>SUM(C20:Q20)</f>
        <v>31456.80055224902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19.674050180555554</v>
      </c>
      <c r="D22" s="837">
        <f t="shared" ref="D22:R22" si="1">SUM(D18:D21)</f>
        <v>0</v>
      </c>
      <c r="E22" s="837">
        <f t="shared" si="1"/>
        <v>78.25558425248667</v>
      </c>
      <c r="F22" s="837">
        <f t="shared" si="1"/>
        <v>60.351752437083327</v>
      </c>
      <c r="G22" s="837">
        <f t="shared" si="1"/>
        <v>0</v>
      </c>
      <c r="H22" s="837">
        <f t="shared" si="1"/>
        <v>23966.084016697605</v>
      </c>
      <c r="I22" s="837">
        <f t="shared" si="1"/>
        <v>5831.2036182237844</v>
      </c>
      <c r="J22" s="837">
        <f t="shared" si="1"/>
        <v>0</v>
      </c>
      <c r="K22" s="837">
        <f t="shared" si="1"/>
        <v>0</v>
      </c>
      <c r="L22" s="837">
        <f t="shared" si="1"/>
        <v>0</v>
      </c>
      <c r="M22" s="837">
        <f t="shared" si="1"/>
        <v>0</v>
      </c>
      <c r="N22" s="837">
        <f t="shared" si="1"/>
        <v>1764.6535394091779</v>
      </c>
      <c r="O22" s="837">
        <f t="shared" si="1"/>
        <v>0</v>
      </c>
      <c r="P22" s="837">
        <f t="shared" si="1"/>
        <v>0</v>
      </c>
      <c r="Q22" s="837">
        <f t="shared" si="1"/>
        <v>0</v>
      </c>
      <c r="R22" s="837">
        <f t="shared" si="1"/>
        <v>31720.222561200695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6443.2990520000003</v>
      </c>
      <c r="D24" s="712">
        <f>+landbouw!C8</f>
        <v>0</v>
      </c>
      <c r="E24" s="712">
        <f>+landbouw!D8</f>
        <v>403.76478018799997</v>
      </c>
      <c r="F24" s="712">
        <f>+landbouw!E8</f>
        <v>201.09323867501709</v>
      </c>
      <c r="G24" s="712">
        <f>+landbouw!F8</f>
        <v>22771.332619182343</v>
      </c>
      <c r="H24" s="712">
        <f>+landbouw!G8</f>
        <v>0</v>
      </c>
      <c r="I24" s="712">
        <f>+landbouw!H8</f>
        <v>0</v>
      </c>
      <c r="J24" s="712">
        <f>+landbouw!I8</f>
        <v>0</v>
      </c>
      <c r="K24" s="712">
        <f>+landbouw!J8</f>
        <v>1775.1735727133189</v>
      </c>
      <c r="L24" s="712">
        <f>+landbouw!K8</f>
        <v>0</v>
      </c>
      <c r="M24" s="712">
        <f>+landbouw!L8</f>
        <v>0</v>
      </c>
      <c r="N24" s="712">
        <f>+landbouw!M8</f>
        <v>0</v>
      </c>
      <c r="O24" s="712">
        <f>+landbouw!N8</f>
        <v>0</v>
      </c>
      <c r="P24" s="712">
        <f>+landbouw!O8</f>
        <v>0</v>
      </c>
      <c r="Q24" s="713">
        <f>+landbouw!P8</f>
        <v>0</v>
      </c>
      <c r="R24" s="715">
        <f>SUM(C24:Q24)</f>
        <v>31594.663262758681</v>
      </c>
      <c r="S24" s="67"/>
    </row>
    <row r="25" spans="1:19" s="474" customFormat="1" ht="15" thickBot="1">
      <c r="A25" s="856" t="s">
        <v>734</v>
      </c>
      <c r="B25" s="982"/>
      <c r="C25" s="983">
        <f>IF(Onbekend_ele_kWh="---",0,Onbekend_ele_kWh)/1000+IF(REST_rest_ele_kWh="---",0,REST_rest_ele_kWh)/1000</f>
        <v>499.132451</v>
      </c>
      <c r="D25" s="983"/>
      <c r="E25" s="983">
        <f>IF(onbekend_gas_kWh="---",0,onbekend_gas_kWh)/1000+IF(REST_rest_gas_kWh="---",0,REST_rest_gas_kWh)/1000</f>
        <v>706.95927000000006</v>
      </c>
      <c r="F25" s="983"/>
      <c r="G25" s="983"/>
      <c r="H25" s="983"/>
      <c r="I25" s="983"/>
      <c r="J25" s="983"/>
      <c r="K25" s="983"/>
      <c r="L25" s="983"/>
      <c r="M25" s="983"/>
      <c r="N25" s="983"/>
      <c r="O25" s="983"/>
      <c r="P25" s="983"/>
      <c r="Q25" s="984"/>
      <c r="R25" s="715">
        <f>SUM(C25:Q25)</f>
        <v>1206.091721</v>
      </c>
      <c r="S25" s="67"/>
    </row>
    <row r="26" spans="1:19" s="474" customFormat="1" ht="15.75" thickBot="1">
      <c r="A26" s="720" t="s">
        <v>735</v>
      </c>
      <c r="B26" s="842"/>
      <c r="C26" s="837">
        <f>SUM(C24:C25)</f>
        <v>6942.4315030000007</v>
      </c>
      <c r="D26" s="837">
        <f t="shared" ref="D26:R26" si="2">SUM(D24:D25)</f>
        <v>0</v>
      </c>
      <c r="E26" s="837">
        <f t="shared" si="2"/>
        <v>1110.7240501880001</v>
      </c>
      <c r="F26" s="837">
        <f t="shared" si="2"/>
        <v>201.09323867501709</v>
      </c>
      <c r="G26" s="837">
        <f t="shared" si="2"/>
        <v>22771.332619182343</v>
      </c>
      <c r="H26" s="837">
        <f t="shared" si="2"/>
        <v>0</v>
      </c>
      <c r="I26" s="837">
        <f t="shared" si="2"/>
        <v>0</v>
      </c>
      <c r="J26" s="837">
        <f t="shared" si="2"/>
        <v>0</v>
      </c>
      <c r="K26" s="837">
        <f t="shared" si="2"/>
        <v>1775.1735727133189</v>
      </c>
      <c r="L26" s="837">
        <f t="shared" si="2"/>
        <v>0</v>
      </c>
      <c r="M26" s="837">
        <f t="shared" si="2"/>
        <v>0</v>
      </c>
      <c r="N26" s="837">
        <f t="shared" si="2"/>
        <v>0</v>
      </c>
      <c r="O26" s="837">
        <f t="shared" si="2"/>
        <v>0</v>
      </c>
      <c r="P26" s="837">
        <f t="shared" si="2"/>
        <v>0</v>
      </c>
      <c r="Q26" s="837">
        <f t="shared" si="2"/>
        <v>0</v>
      </c>
      <c r="R26" s="837">
        <f t="shared" si="2"/>
        <v>32800.754983758678</v>
      </c>
      <c r="S26" s="67"/>
    </row>
    <row r="27" spans="1:19" s="474" customFormat="1" ht="17.25" thickTop="1" thickBot="1">
      <c r="A27" s="721" t="s">
        <v>115</v>
      </c>
      <c r="B27" s="829"/>
      <c r="C27" s="722">
        <f ca="1">C22+C16+C26</f>
        <v>111346.88620415876</v>
      </c>
      <c r="D27" s="722">
        <f t="shared" ref="D27:R27" ca="1" si="3">D22+D16+D26</f>
        <v>0</v>
      </c>
      <c r="E27" s="722">
        <f t="shared" ca="1" si="3"/>
        <v>270812.85254923243</v>
      </c>
      <c r="F27" s="722">
        <f t="shared" si="3"/>
        <v>12699.336611356461</v>
      </c>
      <c r="G27" s="722">
        <f t="shared" ca="1" si="3"/>
        <v>42295.737568303128</v>
      </c>
      <c r="H27" s="722">
        <f t="shared" si="3"/>
        <v>23966.084016697605</v>
      </c>
      <c r="I27" s="722">
        <f t="shared" si="3"/>
        <v>5831.2036182237844</v>
      </c>
      <c r="J27" s="722">
        <f t="shared" si="3"/>
        <v>0</v>
      </c>
      <c r="K27" s="722">
        <f t="shared" si="3"/>
        <v>7918.7205753051066</v>
      </c>
      <c r="L27" s="722">
        <f t="shared" si="3"/>
        <v>0</v>
      </c>
      <c r="M27" s="722">
        <f t="shared" ca="1" si="3"/>
        <v>0</v>
      </c>
      <c r="N27" s="722">
        <f t="shared" si="3"/>
        <v>1764.6535394091779</v>
      </c>
      <c r="O27" s="722">
        <f t="shared" ca="1" si="3"/>
        <v>19136.622460959501</v>
      </c>
      <c r="P27" s="722">
        <f t="shared" si="3"/>
        <v>315.07354818677953</v>
      </c>
      <c r="Q27" s="722">
        <f t="shared" si="3"/>
        <v>378.96121861280062</v>
      </c>
      <c r="R27" s="722">
        <f t="shared" ca="1" si="3"/>
        <v>496466.13191044546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1834.3585137334594</v>
      </c>
      <c r="D40" s="712">
        <f ca="1">tertiair!C20</f>
        <v>0</v>
      </c>
      <c r="E40" s="712">
        <f ca="1">tertiair!D20</f>
        <v>1621.209102147184</v>
      </c>
      <c r="F40" s="712">
        <f>tertiair!E20</f>
        <v>21.300734444943629</v>
      </c>
      <c r="G40" s="712">
        <f ca="1">tertiair!F20</f>
        <v>249.25948242111795</v>
      </c>
      <c r="H40" s="712">
        <f>tertiair!G20</f>
        <v>0</v>
      </c>
      <c r="I40" s="712">
        <f>tertiair!H20</f>
        <v>0</v>
      </c>
      <c r="J40" s="712">
        <f>tertiair!I20</f>
        <v>0</v>
      </c>
      <c r="K40" s="712">
        <f>tertiair!J20</f>
        <v>6.849373504838302E-3</v>
      </c>
      <c r="L40" s="712">
        <f>tertiair!K20</f>
        <v>0</v>
      </c>
      <c r="M40" s="712">
        <f ca="1">tertiair!L20</f>
        <v>0</v>
      </c>
      <c r="N40" s="712">
        <f>tertiair!M20</f>
        <v>0</v>
      </c>
      <c r="O40" s="712">
        <f ca="1">tertiair!N20</f>
        <v>0</v>
      </c>
      <c r="P40" s="712">
        <f>tertiair!O20</f>
        <v>0</v>
      </c>
      <c r="Q40" s="795">
        <f>tertiair!P20</f>
        <v>0</v>
      </c>
      <c r="R40" s="875">
        <f t="shared" ca="1" si="4"/>
        <v>3726.1346821202101</v>
      </c>
    </row>
    <row r="41" spans="1:18">
      <c r="A41" s="847" t="s">
        <v>224</v>
      </c>
      <c r="B41" s="854"/>
      <c r="C41" s="712">
        <f ca="1">huishoudens!B12</f>
        <v>2874.5919179076545</v>
      </c>
      <c r="D41" s="712">
        <f ca="1">huishoudens!C12</f>
        <v>0</v>
      </c>
      <c r="E41" s="712">
        <f>huishoudens!D12</f>
        <v>4534.2562887573604</v>
      </c>
      <c r="F41" s="712">
        <f>huishoudens!E12</f>
        <v>2675.1832362877558</v>
      </c>
      <c r="G41" s="712">
        <f>huishoudens!F12</f>
        <v>3474.1090583707337</v>
      </c>
      <c r="H41" s="712">
        <f>huishoudens!G12</f>
        <v>0</v>
      </c>
      <c r="I41" s="712">
        <f>huishoudens!H12</f>
        <v>0</v>
      </c>
      <c r="J41" s="712">
        <f>huishoudens!I12</f>
        <v>0</v>
      </c>
      <c r="K41" s="712">
        <f>huishoudens!J12</f>
        <v>2153.0276981635161</v>
      </c>
      <c r="L41" s="712">
        <f>huishoudens!K12</f>
        <v>0</v>
      </c>
      <c r="M41" s="712">
        <f>huishoudens!L12</f>
        <v>0</v>
      </c>
      <c r="N41" s="712">
        <f>huishoudens!M12</f>
        <v>0</v>
      </c>
      <c r="O41" s="712">
        <f>huishoudens!N12</f>
        <v>0</v>
      </c>
      <c r="P41" s="712">
        <f>huishoudens!O12</f>
        <v>0</v>
      </c>
      <c r="Q41" s="795">
        <f>huishoudens!P12</f>
        <v>0</v>
      </c>
      <c r="R41" s="875">
        <f t="shared" ca="1" si="4"/>
        <v>15711.168199487021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17598.505793480042</v>
      </c>
      <c r="D43" s="712">
        <f ca="1">industrie!C22</f>
        <v>0</v>
      </c>
      <c r="E43" s="712">
        <f>industrie!D22</f>
        <v>48308.556937883441</v>
      </c>
      <c r="F43" s="712">
        <f>industrie!E22</f>
        <v>126.9174270627706</v>
      </c>
      <c r="G43" s="712">
        <f>industrie!F22</f>
        <v>1489.6475806233993</v>
      </c>
      <c r="H43" s="712">
        <f>industrie!G22</f>
        <v>0</v>
      </c>
      <c r="I43" s="712">
        <f>industrie!H22</f>
        <v>0</v>
      </c>
      <c r="J43" s="712">
        <f>industrie!I22</f>
        <v>0</v>
      </c>
      <c r="K43" s="712">
        <f>industrie!J22</f>
        <v>21.781091380471395</v>
      </c>
      <c r="L43" s="712">
        <f>industrie!K22</f>
        <v>0</v>
      </c>
      <c r="M43" s="712">
        <f>industrie!L22</f>
        <v>0</v>
      </c>
      <c r="N43" s="712">
        <f>industrie!M22</f>
        <v>0</v>
      </c>
      <c r="O43" s="712">
        <f>industrie!N22</f>
        <v>0</v>
      </c>
      <c r="P43" s="712">
        <f>industrie!O22</f>
        <v>0</v>
      </c>
      <c r="Q43" s="795">
        <f>industrie!P22</f>
        <v>0</v>
      </c>
      <c r="R43" s="874">
        <f t="shared" ca="1" si="4"/>
        <v>67545.408830430126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22307.456225121157</v>
      </c>
      <c r="D46" s="748">
        <f t="shared" ref="D46:Q46" ca="1" si="5">SUM(D39:D45)</f>
        <v>0</v>
      </c>
      <c r="E46" s="748">
        <f t="shared" ca="1" si="5"/>
        <v>54464.022328787985</v>
      </c>
      <c r="F46" s="748">
        <f t="shared" si="5"/>
        <v>2823.4013977954701</v>
      </c>
      <c r="G46" s="748">
        <f t="shared" ca="1" si="5"/>
        <v>5213.0161214152504</v>
      </c>
      <c r="H46" s="748">
        <f t="shared" si="5"/>
        <v>0</v>
      </c>
      <c r="I46" s="748">
        <f t="shared" si="5"/>
        <v>0</v>
      </c>
      <c r="J46" s="748">
        <f t="shared" si="5"/>
        <v>0</v>
      </c>
      <c r="K46" s="748">
        <f t="shared" si="5"/>
        <v>2174.8156389174924</v>
      </c>
      <c r="L46" s="748">
        <f t="shared" si="5"/>
        <v>0</v>
      </c>
      <c r="M46" s="748">
        <f t="shared" ca="1" si="5"/>
        <v>0</v>
      </c>
      <c r="N46" s="748">
        <f t="shared" si="5"/>
        <v>0</v>
      </c>
      <c r="O46" s="748">
        <f t="shared" ca="1" si="5"/>
        <v>0</v>
      </c>
      <c r="P46" s="748">
        <f t="shared" si="5"/>
        <v>0</v>
      </c>
      <c r="Q46" s="748">
        <f t="shared" si="5"/>
        <v>0</v>
      </c>
      <c r="R46" s="748">
        <f ca="1">SUM(R39:R45)</f>
        <v>86982.711712037359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66.630353945558866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66.630353945558866</v>
      </c>
    </row>
    <row r="50" spans="1:18">
      <c r="A50" s="850" t="s">
        <v>306</v>
      </c>
      <c r="B50" s="860"/>
      <c r="C50" s="718">
        <f ca="1">transport!B18</f>
        <v>4.2044253044992841</v>
      </c>
      <c r="D50" s="718">
        <f>transport!C18</f>
        <v>0</v>
      </c>
      <c r="E50" s="718">
        <f>transport!D18</f>
        <v>15.807628019002308</v>
      </c>
      <c r="F50" s="718">
        <f>transport!E18</f>
        <v>13.699847803217915</v>
      </c>
      <c r="G50" s="718">
        <f>transport!F18</f>
        <v>0</v>
      </c>
      <c r="H50" s="718">
        <f>transport!G18</f>
        <v>6332.3140785127016</v>
      </c>
      <c r="I50" s="718">
        <f>transport!H18</f>
        <v>1451.9697009377223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7817.9956805771435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4.2044253044992841</v>
      </c>
      <c r="D52" s="748">
        <f t="shared" ref="D52:Q52" ca="1" si="6">SUM(D48:D51)</f>
        <v>0</v>
      </c>
      <c r="E52" s="748">
        <f t="shared" si="6"/>
        <v>15.807628019002308</v>
      </c>
      <c r="F52" s="748">
        <f t="shared" si="6"/>
        <v>13.699847803217915</v>
      </c>
      <c r="G52" s="748">
        <f t="shared" si="6"/>
        <v>0</v>
      </c>
      <c r="H52" s="748">
        <f t="shared" si="6"/>
        <v>6398.9444324582601</v>
      </c>
      <c r="I52" s="748">
        <f t="shared" si="6"/>
        <v>1451.9697009377223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7884.626034522702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1376.9594633574363</v>
      </c>
      <c r="D54" s="718">
        <f ca="1">+landbouw!C12</f>
        <v>0</v>
      </c>
      <c r="E54" s="718">
        <f>+landbouw!D12</f>
        <v>81.560485597975998</v>
      </c>
      <c r="F54" s="718">
        <f>+landbouw!E12</f>
        <v>45.648165179228883</v>
      </c>
      <c r="G54" s="718">
        <f>+landbouw!F12</f>
        <v>6079.9458093216863</v>
      </c>
      <c r="H54" s="718">
        <f>+landbouw!G12</f>
        <v>0</v>
      </c>
      <c r="I54" s="718">
        <f>+landbouw!H12</f>
        <v>0</v>
      </c>
      <c r="J54" s="718">
        <f>+landbouw!I12</f>
        <v>0</v>
      </c>
      <c r="K54" s="718">
        <f>+landbouw!J12</f>
        <v>628.41144474051487</v>
      </c>
      <c r="L54" s="718">
        <f>+landbouw!K12</f>
        <v>0</v>
      </c>
      <c r="M54" s="718">
        <f>+landbouw!L12</f>
        <v>0</v>
      </c>
      <c r="N54" s="718">
        <f>+landbouw!M12</f>
        <v>0</v>
      </c>
      <c r="O54" s="718">
        <f>+landbouw!N12</f>
        <v>0</v>
      </c>
      <c r="P54" s="718">
        <f>+landbouw!O12</f>
        <v>0</v>
      </c>
      <c r="Q54" s="719">
        <f>+landbouw!P12</f>
        <v>0</v>
      </c>
      <c r="R54" s="747">
        <f ca="1">SUM(C54:Q54)</f>
        <v>8212.5253681968425</v>
      </c>
    </row>
    <row r="55" spans="1:18" ht="15" thickBot="1">
      <c r="A55" s="850" t="s">
        <v>734</v>
      </c>
      <c r="B55" s="860"/>
      <c r="C55" s="718">
        <f ca="1">C25*'EF ele_warmte'!B12</f>
        <v>106.66665419788464</v>
      </c>
      <c r="D55" s="718"/>
      <c r="E55" s="718">
        <f>E25*EF_CO2_aardgas</f>
        <v>142.80577254000002</v>
      </c>
      <c r="F55" s="718"/>
      <c r="G55" s="718"/>
      <c r="H55" s="718"/>
      <c r="I55" s="718"/>
      <c r="J55" s="718"/>
      <c r="K55" s="718"/>
      <c r="L55" s="718"/>
      <c r="M55" s="718"/>
      <c r="N55" s="718"/>
      <c r="O55" s="718"/>
      <c r="P55" s="718"/>
      <c r="Q55" s="719"/>
      <c r="R55" s="747">
        <f ca="1">SUM(C55:Q55)</f>
        <v>249.47242673788466</v>
      </c>
    </row>
    <row r="56" spans="1:18" ht="15.75" thickBot="1">
      <c r="A56" s="848" t="s">
        <v>735</v>
      </c>
      <c r="B56" s="861"/>
      <c r="C56" s="748">
        <f ca="1">SUM(C54:C55)</f>
        <v>1483.6261175553209</v>
      </c>
      <c r="D56" s="748">
        <f t="shared" ref="D56:Q56" ca="1" si="7">SUM(D54:D55)</f>
        <v>0</v>
      </c>
      <c r="E56" s="748">
        <f t="shared" si="7"/>
        <v>224.36625813797602</v>
      </c>
      <c r="F56" s="748">
        <f t="shared" si="7"/>
        <v>45.648165179228883</v>
      </c>
      <c r="G56" s="748">
        <f t="shared" si="7"/>
        <v>6079.9458093216863</v>
      </c>
      <c r="H56" s="748">
        <f t="shared" si="7"/>
        <v>0</v>
      </c>
      <c r="I56" s="748">
        <f t="shared" si="7"/>
        <v>0</v>
      </c>
      <c r="J56" s="748">
        <f t="shared" si="7"/>
        <v>0</v>
      </c>
      <c r="K56" s="748">
        <f t="shared" si="7"/>
        <v>628.41144474051487</v>
      </c>
      <c r="L56" s="748">
        <f t="shared" si="7"/>
        <v>0</v>
      </c>
      <c r="M56" s="748">
        <f t="shared" si="7"/>
        <v>0</v>
      </c>
      <c r="N56" s="748">
        <f t="shared" si="7"/>
        <v>0</v>
      </c>
      <c r="O56" s="748">
        <f t="shared" si="7"/>
        <v>0</v>
      </c>
      <c r="P56" s="748">
        <f t="shared" si="7"/>
        <v>0</v>
      </c>
      <c r="Q56" s="749">
        <f t="shared" si="7"/>
        <v>0</v>
      </c>
      <c r="R56" s="750">
        <f ca="1">SUM(R54:R55)</f>
        <v>8461.9977949347267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23795.286767980979</v>
      </c>
      <c r="D61" s="756">
        <f t="shared" ref="D61:Q61" ca="1" si="8">D46+D52+D56</f>
        <v>0</v>
      </c>
      <c r="E61" s="756">
        <f t="shared" ca="1" si="8"/>
        <v>54704.196214944961</v>
      </c>
      <c r="F61" s="756">
        <f t="shared" si="8"/>
        <v>2882.7494107779166</v>
      </c>
      <c r="G61" s="756">
        <f t="shared" ca="1" si="8"/>
        <v>11292.961930736936</v>
      </c>
      <c r="H61" s="756">
        <f t="shared" si="8"/>
        <v>6398.9444324582601</v>
      </c>
      <c r="I61" s="756">
        <f t="shared" si="8"/>
        <v>1451.9697009377223</v>
      </c>
      <c r="J61" s="756">
        <f t="shared" si="8"/>
        <v>0</v>
      </c>
      <c r="K61" s="756">
        <f t="shared" si="8"/>
        <v>2803.2270836580074</v>
      </c>
      <c r="L61" s="756">
        <f t="shared" si="8"/>
        <v>0</v>
      </c>
      <c r="M61" s="756">
        <f t="shared" ca="1" si="8"/>
        <v>0</v>
      </c>
      <c r="N61" s="756">
        <f t="shared" si="8"/>
        <v>0</v>
      </c>
      <c r="O61" s="756">
        <f t="shared" ca="1" si="8"/>
        <v>0</v>
      </c>
      <c r="P61" s="756">
        <f t="shared" si="8"/>
        <v>0</v>
      </c>
      <c r="Q61" s="756">
        <f t="shared" si="8"/>
        <v>0</v>
      </c>
      <c r="R61" s="756">
        <f ca="1">R46+R52+R56</f>
        <v>103329.33554149479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0.2137041059626168</v>
      </c>
      <c r="D63" s="802">
        <f t="shared" ca="1" si="9"/>
        <v>0</v>
      </c>
      <c r="E63" s="1008">
        <f t="shared" ca="1" si="9"/>
        <v>0.20200000000000004</v>
      </c>
      <c r="F63" s="802">
        <f t="shared" si="9"/>
        <v>0.22700000000000001</v>
      </c>
      <c r="G63" s="802">
        <f t="shared" ca="1" si="9"/>
        <v>0.26700000000000002</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3675.9053535660996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3675.9053535660996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3675.9053535660996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3675.9053535660996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13451.271349978208</v>
      </c>
      <c r="C4" s="478">
        <f>huishoudens!C8</f>
        <v>0</v>
      </c>
      <c r="D4" s="478">
        <f>huishoudens!D8</f>
        <v>22446.813310680001</v>
      </c>
      <c r="E4" s="478">
        <f>huishoudens!E8</f>
        <v>11784.9481774791</v>
      </c>
      <c r="F4" s="478">
        <f>huishoudens!F8</f>
        <v>13011.644413373533</v>
      </c>
      <c r="G4" s="478">
        <f>huishoudens!G8</f>
        <v>0</v>
      </c>
      <c r="H4" s="478">
        <f>huishoudens!H8</f>
        <v>0</v>
      </c>
      <c r="I4" s="478">
        <f>huishoudens!I8</f>
        <v>0</v>
      </c>
      <c r="J4" s="478">
        <f>huishoudens!J8</f>
        <v>6081.999147354566</v>
      </c>
      <c r="K4" s="478">
        <f>huishoudens!K8</f>
        <v>0</v>
      </c>
      <c r="L4" s="478">
        <f>huishoudens!L8</f>
        <v>0</v>
      </c>
      <c r="M4" s="478">
        <f>huishoudens!M8</f>
        <v>0</v>
      </c>
      <c r="N4" s="478">
        <f>huishoudens!N8</f>
        <v>13730.798306851178</v>
      </c>
      <c r="O4" s="478">
        <f>huishoudens!O8</f>
        <v>285.68998359173258</v>
      </c>
      <c r="P4" s="479">
        <f>huishoudens!P8</f>
        <v>273.88294199981061</v>
      </c>
      <c r="Q4" s="480">
        <f>SUM(B4:P4)</f>
        <v>81067.047631308116</v>
      </c>
    </row>
    <row r="5" spans="1:17">
      <c r="A5" s="477" t="s">
        <v>155</v>
      </c>
      <c r="B5" s="478">
        <f ca="1">tertiair!B16</f>
        <v>7877.5501999999997</v>
      </c>
      <c r="C5" s="478">
        <f ca="1">tertiair!C16</f>
        <v>0</v>
      </c>
      <c r="D5" s="478">
        <f ca="1">tertiair!D16</f>
        <v>8025.7876343919997</v>
      </c>
      <c r="E5" s="478">
        <f>tertiair!E16</f>
        <v>93.835834559223031</v>
      </c>
      <c r="F5" s="478">
        <f ca="1">tertiair!F16</f>
        <v>933.55611393677134</v>
      </c>
      <c r="G5" s="478">
        <f>tertiair!G16</f>
        <v>0</v>
      </c>
      <c r="H5" s="478">
        <f>tertiair!H16</f>
        <v>0</v>
      </c>
      <c r="I5" s="478">
        <f>tertiair!I16</f>
        <v>0</v>
      </c>
      <c r="J5" s="478">
        <f>tertiair!J16</f>
        <v>1.9348512725531928E-2</v>
      </c>
      <c r="K5" s="478">
        <f>tertiair!K16</f>
        <v>0</v>
      </c>
      <c r="L5" s="478">
        <f ca="1">tertiair!L16</f>
        <v>0</v>
      </c>
      <c r="M5" s="478">
        <f>tertiair!M16</f>
        <v>0</v>
      </c>
      <c r="N5" s="478">
        <f ca="1">tertiair!N16</f>
        <v>759.66480399850229</v>
      </c>
      <c r="O5" s="478">
        <f>tertiair!O16</f>
        <v>29.383564595046927</v>
      </c>
      <c r="P5" s="479">
        <f>tertiair!P16</f>
        <v>105.07827661299004</v>
      </c>
      <c r="Q5" s="477">
        <f t="shared" ref="Q5:Q14" ca="1" si="0">SUM(B5:P5)</f>
        <v>17824.875776607252</v>
      </c>
    </row>
    <row r="6" spans="1:17">
      <c r="A6" s="477" t="s">
        <v>193</v>
      </c>
      <c r="B6" s="478">
        <f>'openbare verlichting'!B8</f>
        <v>706.08699999999999</v>
      </c>
      <c r="C6" s="478"/>
      <c r="D6" s="478"/>
      <c r="E6" s="478"/>
      <c r="F6" s="478"/>
      <c r="G6" s="478"/>
      <c r="H6" s="478"/>
      <c r="I6" s="478"/>
      <c r="J6" s="478"/>
      <c r="K6" s="478"/>
      <c r="L6" s="478"/>
      <c r="M6" s="478"/>
      <c r="N6" s="478"/>
      <c r="O6" s="478"/>
      <c r="P6" s="479"/>
      <c r="Q6" s="477">
        <f t="shared" si="0"/>
        <v>706.08699999999999</v>
      </c>
    </row>
    <row r="7" spans="1:17">
      <c r="A7" s="477" t="s">
        <v>111</v>
      </c>
      <c r="B7" s="478">
        <f>landbouw!B8</f>
        <v>6443.2990520000003</v>
      </c>
      <c r="C7" s="478">
        <f>landbouw!C8</f>
        <v>0</v>
      </c>
      <c r="D7" s="478">
        <f>landbouw!D8</f>
        <v>403.76478018799997</v>
      </c>
      <c r="E7" s="478">
        <f>landbouw!E8</f>
        <v>201.09323867501709</v>
      </c>
      <c r="F7" s="478">
        <f>landbouw!F8</f>
        <v>22771.332619182343</v>
      </c>
      <c r="G7" s="478">
        <f>landbouw!G8</f>
        <v>0</v>
      </c>
      <c r="H7" s="478">
        <f>landbouw!H8</f>
        <v>0</v>
      </c>
      <c r="I7" s="478">
        <f>landbouw!I8</f>
        <v>0</v>
      </c>
      <c r="J7" s="478">
        <f>landbouw!J8</f>
        <v>1775.1735727133189</v>
      </c>
      <c r="K7" s="478">
        <f>landbouw!K8</f>
        <v>0</v>
      </c>
      <c r="L7" s="478">
        <f>landbouw!L8</f>
        <v>0</v>
      </c>
      <c r="M7" s="478">
        <f>landbouw!M8</f>
        <v>0</v>
      </c>
      <c r="N7" s="478">
        <f>landbouw!N8</f>
        <v>0</v>
      </c>
      <c r="O7" s="478">
        <f>landbouw!O8</f>
        <v>0</v>
      </c>
      <c r="P7" s="479">
        <f>landbouw!P8</f>
        <v>0</v>
      </c>
      <c r="Q7" s="477">
        <f t="shared" si="0"/>
        <v>31594.663262758681</v>
      </c>
    </row>
    <row r="8" spans="1:17">
      <c r="A8" s="477" t="s">
        <v>629</v>
      </c>
      <c r="B8" s="478">
        <f>industrie!B18</f>
        <v>82349.872100999986</v>
      </c>
      <c r="C8" s="478">
        <f>industrie!C18</f>
        <v>0</v>
      </c>
      <c r="D8" s="478">
        <f>industrie!D18</f>
        <v>239151.27196971999</v>
      </c>
      <c r="E8" s="478">
        <f>industrie!E18</f>
        <v>559.10760820603787</v>
      </c>
      <c r="F8" s="478">
        <f>industrie!F18</f>
        <v>5579.2044218104838</v>
      </c>
      <c r="G8" s="478">
        <f>industrie!G18</f>
        <v>0</v>
      </c>
      <c r="H8" s="478">
        <f>industrie!H18</f>
        <v>0</v>
      </c>
      <c r="I8" s="478">
        <f>industrie!I18</f>
        <v>0</v>
      </c>
      <c r="J8" s="478">
        <f>industrie!J18</f>
        <v>61.528506724495472</v>
      </c>
      <c r="K8" s="478">
        <f>industrie!K18</f>
        <v>0</v>
      </c>
      <c r="L8" s="478">
        <f>industrie!L18</f>
        <v>0</v>
      </c>
      <c r="M8" s="478">
        <f>industrie!M18</f>
        <v>0</v>
      </c>
      <c r="N8" s="478">
        <f>industrie!N18</f>
        <v>4646.1593501098214</v>
      </c>
      <c r="O8" s="478">
        <f>industrie!O18</f>
        <v>0</v>
      </c>
      <c r="P8" s="479">
        <f>industrie!P18</f>
        <v>0</v>
      </c>
      <c r="Q8" s="477">
        <f t="shared" si="0"/>
        <v>332347.14395757078</v>
      </c>
    </row>
    <row r="9" spans="1:17" s="483" customFormat="1">
      <c r="A9" s="481" t="s">
        <v>555</v>
      </c>
      <c r="B9" s="482">
        <f>transport!B14</f>
        <v>19.674050180555554</v>
      </c>
      <c r="C9" s="482">
        <f>transport!C14</f>
        <v>0</v>
      </c>
      <c r="D9" s="482">
        <f>transport!D14</f>
        <v>78.25558425248667</v>
      </c>
      <c r="E9" s="482">
        <f>transport!E14</f>
        <v>60.351752437083327</v>
      </c>
      <c r="F9" s="482">
        <f>transport!F14</f>
        <v>0</v>
      </c>
      <c r="G9" s="482">
        <f>transport!G14</f>
        <v>23716.532129261053</v>
      </c>
      <c r="H9" s="482">
        <f>transport!H14</f>
        <v>5831.2036182237844</v>
      </c>
      <c r="I9" s="482">
        <f>transport!I14</f>
        <v>0</v>
      </c>
      <c r="J9" s="482">
        <f>transport!J14</f>
        <v>0</v>
      </c>
      <c r="K9" s="482">
        <f>transport!K14</f>
        <v>0</v>
      </c>
      <c r="L9" s="482">
        <f>transport!L14</f>
        <v>0</v>
      </c>
      <c r="M9" s="482">
        <f>transport!M14</f>
        <v>1750.783417894055</v>
      </c>
      <c r="N9" s="482">
        <f>transport!N14</f>
        <v>0</v>
      </c>
      <c r="O9" s="482">
        <f>transport!O14</f>
        <v>0</v>
      </c>
      <c r="P9" s="482">
        <f>transport!P14</f>
        <v>0</v>
      </c>
      <c r="Q9" s="481">
        <f>SUM(B9:P9)</f>
        <v>31456.80055224902</v>
      </c>
    </row>
    <row r="10" spans="1:17">
      <c r="A10" s="477" t="s">
        <v>545</v>
      </c>
      <c r="B10" s="478">
        <f>transport!B54</f>
        <v>0</v>
      </c>
      <c r="C10" s="478">
        <f>transport!C54</f>
        <v>0</v>
      </c>
      <c r="D10" s="478">
        <f>transport!D54</f>
        <v>0</v>
      </c>
      <c r="E10" s="478">
        <f>transport!E54</f>
        <v>0</v>
      </c>
      <c r="F10" s="478">
        <f>transport!F54</f>
        <v>0</v>
      </c>
      <c r="G10" s="478">
        <f>transport!G54</f>
        <v>249.55188743655003</v>
      </c>
      <c r="H10" s="478">
        <f>transport!H54</f>
        <v>0</v>
      </c>
      <c r="I10" s="478">
        <f>transport!I54</f>
        <v>0</v>
      </c>
      <c r="J10" s="478">
        <f>transport!J54</f>
        <v>0</v>
      </c>
      <c r="K10" s="478">
        <f>transport!K54</f>
        <v>0</v>
      </c>
      <c r="L10" s="478">
        <f>transport!L54</f>
        <v>0</v>
      </c>
      <c r="M10" s="478">
        <f>transport!M54</f>
        <v>13.870121515122964</v>
      </c>
      <c r="N10" s="478">
        <f>transport!N54</f>
        <v>0</v>
      </c>
      <c r="O10" s="478">
        <f>transport!O54</f>
        <v>0</v>
      </c>
      <c r="P10" s="479">
        <f>transport!P54</f>
        <v>0</v>
      </c>
      <c r="Q10" s="477">
        <f t="shared" si="0"/>
        <v>263.42200895167298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499.132451</v>
      </c>
      <c r="C14" s="485"/>
      <c r="D14" s="485">
        <f>'SEAP template'!E25</f>
        <v>706.95927000000006</v>
      </c>
      <c r="E14" s="485"/>
      <c r="F14" s="485"/>
      <c r="G14" s="485"/>
      <c r="H14" s="485"/>
      <c r="I14" s="485"/>
      <c r="J14" s="485"/>
      <c r="K14" s="485"/>
      <c r="L14" s="485"/>
      <c r="M14" s="485"/>
      <c r="N14" s="485"/>
      <c r="O14" s="485"/>
      <c r="P14" s="486"/>
      <c r="Q14" s="477">
        <f t="shared" si="0"/>
        <v>1206.091721</v>
      </c>
    </row>
    <row r="15" spans="1:17" s="489" customFormat="1">
      <c r="A15" s="487" t="s">
        <v>549</v>
      </c>
      <c r="B15" s="488">
        <f ca="1">SUM(B4:B14)</f>
        <v>111346.88620415876</v>
      </c>
      <c r="C15" s="488">
        <f t="shared" ref="C15:Q15" ca="1" si="1">SUM(C4:C14)</f>
        <v>0</v>
      </c>
      <c r="D15" s="488">
        <f t="shared" ca="1" si="1"/>
        <v>270812.85254923248</v>
      </c>
      <c r="E15" s="488">
        <f t="shared" si="1"/>
        <v>12699.336611356461</v>
      </c>
      <c r="F15" s="488">
        <f t="shared" ca="1" si="1"/>
        <v>42295.737568303135</v>
      </c>
      <c r="G15" s="488">
        <f t="shared" si="1"/>
        <v>23966.084016697605</v>
      </c>
      <c r="H15" s="488">
        <f t="shared" si="1"/>
        <v>5831.2036182237844</v>
      </c>
      <c r="I15" s="488">
        <f t="shared" si="1"/>
        <v>0</v>
      </c>
      <c r="J15" s="488">
        <f t="shared" si="1"/>
        <v>7918.7205753051066</v>
      </c>
      <c r="K15" s="488">
        <f t="shared" si="1"/>
        <v>0</v>
      </c>
      <c r="L15" s="488">
        <f t="shared" ca="1" si="1"/>
        <v>0</v>
      </c>
      <c r="M15" s="488">
        <f t="shared" si="1"/>
        <v>1764.6535394091779</v>
      </c>
      <c r="N15" s="488">
        <f t="shared" ca="1" si="1"/>
        <v>19136.622460959501</v>
      </c>
      <c r="O15" s="488">
        <f t="shared" si="1"/>
        <v>315.07354818677953</v>
      </c>
      <c r="P15" s="488">
        <f t="shared" si="1"/>
        <v>378.96121861280062</v>
      </c>
      <c r="Q15" s="488">
        <f t="shared" ca="1" si="1"/>
        <v>496466.13191044546</v>
      </c>
    </row>
    <row r="17" spans="1:17">
      <c r="A17" s="490" t="s">
        <v>550</v>
      </c>
      <c r="B17" s="807">
        <f ca="1">huishoudens!B10</f>
        <v>0.2137041059626168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2874.5919179076545</v>
      </c>
      <c r="C22" s="478">
        <f t="shared" ref="C22:C32" ca="1" si="3">C4*$C$17</f>
        <v>0</v>
      </c>
      <c r="D22" s="478">
        <f t="shared" ref="D22:D32" si="4">D4*$D$17</f>
        <v>4534.2562887573604</v>
      </c>
      <c r="E22" s="478">
        <f t="shared" ref="E22:E32" si="5">E4*$E$17</f>
        <v>2675.1832362877558</v>
      </c>
      <c r="F22" s="478">
        <f t="shared" ref="F22:F32" si="6">F4*$F$17</f>
        <v>3474.1090583707337</v>
      </c>
      <c r="G22" s="478">
        <f t="shared" ref="G22:G32" si="7">G4*$G$17</f>
        <v>0</v>
      </c>
      <c r="H22" s="478">
        <f t="shared" ref="H22:H32" si="8">H4*$H$17</f>
        <v>0</v>
      </c>
      <c r="I22" s="478">
        <f t="shared" ref="I22:I32" si="9">I4*$I$17</f>
        <v>0</v>
      </c>
      <c r="J22" s="478">
        <f t="shared" ref="J22:J32" si="10">J4*$J$17</f>
        <v>2153.0276981635161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15711.168199487021</v>
      </c>
    </row>
    <row r="23" spans="1:17">
      <c r="A23" s="477" t="s">
        <v>155</v>
      </c>
      <c r="B23" s="478">
        <f t="shared" ca="1" si="2"/>
        <v>1683.4648226666332</v>
      </c>
      <c r="C23" s="478">
        <f t="shared" ca="1" si="3"/>
        <v>0</v>
      </c>
      <c r="D23" s="478">
        <f t="shared" ca="1" si="4"/>
        <v>1621.209102147184</v>
      </c>
      <c r="E23" s="478">
        <f t="shared" si="5"/>
        <v>21.300734444943629</v>
      </c>
      <c r="F23" s="478">
        <f t="shared" ca="1" si="6"/>
        <v>249.25948242111795</v>
      </c>
      <c r="G23" s="478">
        <f t="shared" si="7"/>
        <v>0</v>
      </c>
      <c r="H23" s="478">
        <f t="shared" si="8"/>
        <v>0</v>
      </c>
      <c r="I23" s="478">
        <f t="shared" si="9"/>
        <v>0</v>
      </c>
      <c r="J23" s="478">
        <f t="shared" si="10"/>
        <v>6.849373504838302E-3</v>
      </c>
      <c r="K23" s="478">
        <f t="shared" si="11"/>
        <v>0</v>
      </c>
      <c r="L23" s="478">
        <f t="shared" ca="1" si="12"/>
        <v>0</v>
      </c>
      <c r="M23" s="478">
        <f t="shared" si="13"/>
        <v>0</v>
      </c>
      <c r="N23" s="478">
        <f t="shared" ca="1" si="14"/>
        <v>0</v>
      </c>
      <c r="O23" s="478">
        <f t="shared" si="15"/>
        <v>0</v>
      </c>
      <c r="P23" s="479">
        <f t="shared" si="16"/>
        <v>0</v>
      </c>
      <c r="Q23" s="477">
        <f t="shared" ref="Q23:Q31" ca="1" si="17">SUM(B23:P23)</f>
        <v>3575.2409910533838</v>
      </c>
    </row>
    <row r="24" spans="1:17">
      <c r="A24" s="477" t="s">
        <v>193</v>
      </c>
      <c r="B24" s="478">
        <f t="shared" ca="1" si="2"/>
        <v>150.89369106682619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150.89369106682619</v>
      </c>
    </row>
    <row r="25" spans="1:17">
      <c r="A25" s="477" t="s">
        <v>111</v>
      </c>
      <c r="B25" s="478">
        <f t="shared" ca="1" si="2"/>
        <v>1376.9594633574363</v>
      </c>
      <c r="C25" s="478">
        <f t="shared" ca="1" si="3"/>
        <v>0</v>
      </c>
      <c r="D25" s="478">
        <f t="shared" si="4"/>
        <v>81.560485597975998</v>
      </c>
      <c r="E25" s="478">
        <f t="shared" si="5"/>
        <v>45.648165179228883</v>
      </c>
      <c r="F25" s="478">
        <f t="shared" si="6"/>
        <v>6079.9458093216863</v>
      </c>
      <c r="G25" s="478">
        <f t="shared" si="7"/>
        <v>0</v>
      </c>
      <c r="H25" s="478">
        <f t="shared" si="8"/>
        <v>0</v>
      </c>
      <c r="I25" s="478">
        <f t="shared" si="9"/>
        <v>0</v>
      </c>
      <c r="J25" s="478">
        <f t="shared" si="10"/>
        <v>628.41144474051487</v>
      </c>
      <c r="K25" s="478">
        <f t="shared" si="11"/>
        <v>0</v>
      </c>
      <c r="L25" s="478">
        <f t="shared" si="12"/>
        <v>0</v>
      </c>
      <c r="M25" s="478">
        <f t="shared" si="13"/>
        <v>0</v>
      </c>
      <c r="N25" s="478">
        <f t="shared" si="14"/>
        <v>0</v>
      </c>
      <c r="O25" s="478">
        <f t="shared" si="15"/>
        <v>0</v>
      </c>
      <c r="P25" s="479">
        <f t="shared" si="16"/>
        <v>0</v>
      </c>
      <c r="Q25" s="477">
        <f t="shared" ca="1" si="17"/>
        <v>8212.5253681968425</v>
      </c>
    </row>
    <row r="26" spans="1:17">
      <c r="A26" s="477" t="s">
        <v>629</v>
      </c>
      <c r="B26" s="478">
        <f t="shared" ca="1" si="2"/>
        <v>17598.505793480042</v>
      </c>
      <c r="C26" s="478">
        <f t="shared" ca="1" si="3"/>
        <v>0</v>
      </c>
      <c r="D26" s="478">
        <f t="shared" si="4"/>
        <v>48308.556937883441</v>
      </c>
      <c r="E26" s="478">
        <f t="shared" si="5"/>
        <v>126.9174270627706</v>
      </c>
      <c r="F26" s="478">
        <f t="shared" si="6"/>
        <v>1489.6475806233993</v>
      </c>
      <c r="G26" s="478">
        <f t="shared" si="7"/>
        <v>0</v>
      </c>
      <c r="H26" s="478">
        <f t="shared" si="8"/>
        <v>0</v>
      </c>
      <c r="I26" s="478">
        <f t="shared" si="9"/>
        <v>0</v>
      </c>
      <c r="J26" s="478">
        <f t="shared" si="10"/>
        <v>21.781091380471395</v>
      </c>
      <c r="K26" s="478">
        <f t="shared" si="11"/>
        <v>0</v>
      </c>
      <c r="L26" s="478">
        <f t="shared" si="12"/>
        <v>0</v>
      </c>
      <c r="M26" s="478">
        <f t="shared" si="13"/>
        <v>0</v>
      </c>
      <c r="N26" s="478">
        <f t="shared" si="14"/>
        <v>0</v>
      </c>
      <c r="O26" s="478">
        <f t="shared" si="15"/>
        <v>0</v>
      </c>
      <c r="P26" s="479">
        <f t="shared" si="16"/>
        <v>0</v>
      </c>
      <c r="Q26" s="477">
        <f t="shared" ca="1" si="17"/>
        <v>67545.408830430126</v>
      </c>
    </row>
    <row r="27" spans="1:17" s="483" customFormat="1">
      <c r="A27" s="481" t="s">
        <v>555</v>
      </c>
      <c r="B27" s="801">
        <f t="shared" ca="1" si="2"/>
        <v>4.2044253044992841</v>
      </c>
      <c r="C27" s="482">
        <f t="shared" ca="1" si="3"/>
        <v>0</v>
      </c>
      <c r="D27" s="482">
        <f t="shared" si="4"/>
        <v>15.807628019002308</v>
      </c>
      <c r="E27" s="482">
        <f t="shared" si="5"/>
        <v>13.699847803217915</v>
      </c>
      <c r="F27" s="482">
        <f t="shared" si="6"/>
        <v>0</v>
      </c>
      <c r="G27" s="482">
        <f t="shared" si="7"/>
        <v>6332.3140785127016</v>
      </c>
      <c r="H27" s="482">
        <f t="shared" si="8"/>
        <v>1451.9697009377223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7817.9956805771435</v>
      </c>
    </row>
    <row r="28" spans="1:17" ht="16.5" customHeight="1">
      <c r="A28" s="477" t="s">
        <v>545</v>
      </c>
      <c r="B28" s="478">
        <f t="shared" ca="1" si="2"/>
        <v>0</v>
      </c>
      <c r="C28" s="478">
        <f t="shared" ca="1" si="3"/>
        <v>0</v>
      </c>
      <c r="D28" s="478">
        <f t="shared" si="4"/>
        <v>0</v>
      </c>
      <c r="E28" s="478">
        <f t="shared" si="5"/>
        <v>0</v>
      </c>
      <c r="F28" s="478">
        <f t="shared" si="6"/>
        <v>0</v>
      </c>
      <c r="G28" s="478">
        <f t="shared" si="7"/>
        <v>66.630353945558866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66.630353945558866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106.66665419788464</v>
      </c>
      <c r="C32" s="478">
        <f t="shared" ca="1" si="3"/>
        <v>0</v>
      </c>
      <c r="D32" s="478">
        <f t="shared" si="4"/>
        <v>142.80577254000002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249.47242673788466</v>
      </c>
    </row>
    <row r="33" spans="1:17" s="489" customFormat="1">
      <c r="A33" s="487" t="s">
        <v>549</v>
      </c>
      <c r="B33" s="488">
        <f ca="1">SUM(B22:B32)</f>
        <v>23795.286767980975</v>
      </c>
      <c r="C33" s="488">
        <f t="shared" ref="C33:Q33" ca="1" si="19">SUM(C22:C32)</f>
        <v>0</v>
      </c>
      <c r="D33" s="488">
        <f t="shared" ca="1" si="19"/>
        <v>54704.196214944961</v>
      </c>
      <c r="E33" s="488">
        <f t="shared" si="19"/>
        <v>2882.7494107779166</v>
      </c>
      <c r="F33" s="488">
        <f t="shared" ca="1" si="19"/>
        <v>11292.961930736938</v>
      </c>
      <c r="G33" s="488">
        <f t="shared" si="19"/>
        <v>6398.9444324582601</v>
      </c>
      <c r="H33" s="488">
        <f t="shared" si="19"/>
        <v>1451.9697009377223</v>
      </c>
      <c r="I33" s="488">
        <f t="shared" si="19"/>
        <v>0</v>
      </c>
      <c r="J33" s="488">
        <f t="shared" si="19"/>
        <v>2803.2270836580074</v>
      </c>
      <c r="K33" s="488">
        <f t="shared" si="19"/>
        <v>0</v>
      </c>
      <c r="L33" s="488">
        <f t="shared" ca="1" si="19"/>
        <v>0</v>
      </c>
      <c r="M33" s="488">
        <f t="shared" si="19"/>
        <v>0</v>
      </c>
      <c r="N33" s="488">
        <f t="shared" ca="1" si="19"/>
        <v>0</v>
      </c>
      <c r="O33" s="488">
        <f t="shared" si="19"/>
        <v>0</v>
      </c>
      <c r="P33" s="488">
        <f t="shared" si="19"/>
        <v>0</v>
      </c>
      <c r="Q33" s="488">
        <f t="shared" ca="1" si="19"/>
        <v>103329.33554149479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3675.9053535660996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3675.9053535660996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0.2137041059626168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0.2137041059626168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2019-08-12T08:39:45Z</dcterms:modified>
</cp:coreProperties>
</file>