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O20" i="59"/>
  <c r="F30" i="48"/>
  <c r="F32"/>
  <c r="N20" i="59"/>
  <c r="F16" i="16"/>
  <c r="D89" i="14"/>
  <c r="D19" i="59" s="1"/>
  <c r="O19" i="18"/>
  <c r="K10"/>
  <c r="N77" i="14"/>
  <c r="L10" i="18"/>
  <c r="O77" i="14"/>
  <c r="H16"/>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I33" i="48" l="1"/>
  <c r="J16" i="14"/>
  <c r="J27" s="1"/>
  <c r="B89"/>
  <c r="B19" i="59" s="1"/>
  <c r="H90" i="14"/>
  <c r="H18" i="59"/>
  <c r="H20" s="1"/>
  <c r="H78" i="14"/>
  <c r="H9" i="59"/>
  <c r="H10" s="1"/>
  <c r="N78" i="14"/>
  <c r="N9" i="59"/>
  <c r="N10" s="1"/>
  <c r="J7" i="48"/>
  <c r="J25" s="1"/>
  <c r="K33"/>
  <c r="I15"/>
  <c r="K15"/>
  <c r="G78" i="14"/>
  <c r="G9" i="59"/>
  <c r="G10" s="1"/>
  <c r="M24" i="48"/>
  <c r="M32"/>
  <c r="E78" i="14"/>
  <c r="E9" i="59"/>
  <c r="E10" s="1"/>
  <c r="O78" i="14"/>
  <c r="O9" i="59"/>
  <c r="O10" s="1"/>
  <c r="N46" i="14"/>
  <c r="C89"/>
  <c r="C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J5" i="48"/>
  <c r="J23" s="1"/>
  <c r="O15"/>
  <c r="I90" i="14"/>
  <c r="I17" i="59"/>
  <c r="I20" s="1"/>
  <c r="J20" i="15"/>
  <c r="K40" i="14" s="1"/>
  <c r="E27"/>
  <c r="C10" i="18"/>
  <c r="B15" i="48"/>
  <c r="D15"/>
  <c r="O33"/>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10" i="13"/>
  <c r="B20" i="16" l="1"/>
  <c r="B22" s="1"/>
  <c r="C43" i="14" s="1"/>
  <c r="R43" s="1"/>
  <c r="B17" i="19"/>
  <c r="B19" s="1"/>
  <c r="C39" i="14" s="1"/>
  <c r="R39" s="1"/>
  <c r="C12" i="59"/>
  <c r="B29" i="20"/>
  <c r="B31" s="1"/>
  <c r="B10" i="9"/>
  <c r="B12" s="1"/>
  <c r="C55" i="14"/>
  <c r="R55" s="1"/>
  <c r="B56" i="22"/>
  <c r="B58" s="1"/>
  <c r="C49" i="14" s="1"/>
  <c r="R49" s="1"/>
  <c r="B17" i="49"/>
  <c r="B19" s="1"/>
  <c r="C42" i="14" s="1"/>
  <c r="R42" s="1"/>
  <c r="C54"/>
  <c r="R54" s="1"/>
  <c r="C48"/>
  <c r="R48" s="1"/>
  <c r="C50"/>
  <c r="R50" s="1"/>
  <c r="C40"/>
  <c r="R4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<sst xmlns="http://schemas.openxmlformats.org/spreadsheetml/2006/main" count="2384" uniqueCount="886">
  <si>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</si>
  <si>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</si>
  <si>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</si>
  <si>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</si>
  <si>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</si>
  <si>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</si>
  <si>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</si>
  <si>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</si>
  <si>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</si>
  <si>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</si>
  <si>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</si>
  <si>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</si>
  <si>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</si>
  <si>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</si>
  <si>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</si>
  <si>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</si>
  <si>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</si>
  <si>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</si>
  <si>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</si>
  <si>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</si>
  <si>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</si>
  <si>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</si>
  <si>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</si>
  <si>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</si>
  <si>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</si>
  <si>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</si>
  <si>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</si>
  <si>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</si>
  <si>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</si>
  <si>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</si>
  <si>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</si>
  <si>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</si>
  <si>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</si>
  <si>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</si>
  <si>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</si>
  <si>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</si>
  <si>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</si>
  <si>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</si>
  <si>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</si>
  <si>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</si>
  <si>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</si>
  <si>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</si>
  <si>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</si>
  <si>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</si>
  <si>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</si>
  <si>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</si>
  <si>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</si>
  <si>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</si>
  <si>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</si>
  <si>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</si>
  <si>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</si>
  <si>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</si>
  <si>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</si>
  <si>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</si>
  <si>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</si>
  <si>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</si>
  <si>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</si>
  <si>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</si>
  <si>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</si>
  <si>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</si>
  <si>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</si>
  <si>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</si>
  <si>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</si>
  <si>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</si>
  <si>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</si>
  <si>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</si>
  <si>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</si>
  <si>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</si>
  <si>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</si>
  <si>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</si>
  <si>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</si>
  <si>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</si>
  <si>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</si>
  <si>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</si>
  <si>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</si>
  <si>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</si>
  <si>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</si>
  <si>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</si>
  <si>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</si>
  <si>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</si>
  <si>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</si>
  <si>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</si>
  <si>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</si>
  <si>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</si>
  <si>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</si>
  <si>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</si>
  <si>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</si>
  <si>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</si>
  <si>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</si>
  <si>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</si>
  <si>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</si>
  <si>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</si>
  <si>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</si>
  <si>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</si>
  <si>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</si>
  <si>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</si>
  <si>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</si>
  <si>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</si>
  <si>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</si>
  <si>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</si>
  <si>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</si>
  <si>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</si>
  <si>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</si>
  <si>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</si>
  <si>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</si>
  <si>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</si>
  <si>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</si>
  <si>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</si>
  <si>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</si>
  <si>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</si>
  <si>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</si>
  <si>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</si>
  <si>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</si>
  <si>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</si>
  <si>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</si>
  <si>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</si>
  <si>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</si>
  <si>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</si>
  <si>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</si>
  <si>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</si>
  <si>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</si>
  <si>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</si>
  <si>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</si>
  <si>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</si>
  <si>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</si>
  <si>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</si>
  <si>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</si>
  <si>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</si>
  <si>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</si>
  <si>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</si>
  <si>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</si>
  <si>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</si>
  <si>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</si>
  <si>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</si>
  <si>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</si>
  <si>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</si>
  <si>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</si>
  <si>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</si>
  <si>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</si>
  <si>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</si>
  <si>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</si>
  <si>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</si>
  <si>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</si>
  <si>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</si>
  <si>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</si>
  <si>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</si>
  <si>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</si>
  <si>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</si>
  <si>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</si>
  <si>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</si>
  <si>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</si>
  <si>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</si>
  <si>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</si>
  <si>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</si>
  <si>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</si>
  <si>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</si>
  <si>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</si>
  <si>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</si>
  <si>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</si>
  <si>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</si>
  <si>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</si>
  <si>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</si>
  <si>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</si>
  <si>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</si>
  <si>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</si>
  <si>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</si>
  <si>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</si>
  <si>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</si>
  <si>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</si>
  <si>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</si>
  <si>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</si>
  <si>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</si>
  <si>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</si>
  <si>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</si>
  <si>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</si>
  <si>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</si>
  <si>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</si>
  <si>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</si>
  <si>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</si>
  <si>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</si>
  <si>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</si>
  <si>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</si>
  <si>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</si>
  <si>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</si>
  <si>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</si>
  <si>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</si>
  <si>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</si>
  <si>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</si>
  <si>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</si>
  <si>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</si>
  <si>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</si>
  <si>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</si>
  <si>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</si>
  <si>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</si>
  <si>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</si>
  <si>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</si>
  <si>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</si>
  <si>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</si>
  <si>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</si>
  <si>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</si>
  <si>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</si>
  <si>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</si>
  <si>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</si>
  <si>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</si>
  <si>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</si>
  <si>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</si>
  <si>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</si>
  <si>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</si>
  <si>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</si>
  <si>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</si>
  <si>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</si>
  <si>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</si>
  <si>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</si>
  <si>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</si>
  <si>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</si>
  <si>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</si>
  <si>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</si>
  <si>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</si>
  <si>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</si>
  <si>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</si>
  <si>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</si>
  <si>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</si>
  <si>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</si>
  <si>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</si>
  <si>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</si>
  <si>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</si>
  <si>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</si>
  <si>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</si>
  <si>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</si>
  <si>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</si>
  <si>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</si>
  <si>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</si>
  <si>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</si>
  <si>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</si>
  <si>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</si>
  <si>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</si>
  <si>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</si>
  <si>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</si>
  <si>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</si>
  <si>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</si>
  <si>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</si>
  <si>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</si>
  <si>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</si>
  <si>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</si>
  <si>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</si>
  <si>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</si>
  <si>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</si>
  <si>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</si>
  <si>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</si>
  <si>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</si>
  <si>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</si>
  <si>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</si>
  <si>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</si>
  <si>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</si>
  <si>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</si>
  <si>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</si>
  <si>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</si>
  <si>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</si>
  <si>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</si>
  <si>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</si>
  <si>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</si>
  <si>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</si>
  <si>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</si>
  <si>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</si>
  <si>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</si>
  <si>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</si>
  <si>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</si>
  <si>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</si>
  <si>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</si>
  <si>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</si>
  <si>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</si>
  <si>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</si>
  <si>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</si>
  <si>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</si>
  <si>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</si>
  <si>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</si>
  <si>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</si>
  <si>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</si>
  <si>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</si>
  <si>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</si>
  <si>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</si>
  <si>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</si>
  <si>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</si>
  <si>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</si>
  <si>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</si>
  <si>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</si>
  <si>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</si>
  <si>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</si>
  <si>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</si>
  <si>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</si>
  <si>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</si>
  <si>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</si>
  <si>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</si>
  <si>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</si>
  <si>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</si>
  <si>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</si>
  <si>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</si>
  <si>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</si>
  <si>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</si>
  <si>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</si>
  <si>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</si>
  <si>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</si>
  <si>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</si>
  <si>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</si>
  <si>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</si>
  <si>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</si>
  <si>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</si>
  <si>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</si>
  <si>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</si>
  <si>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</si>
  <si>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</si>
  <si>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</si>
  <si>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</si>
  <si>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</si>
  <si>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</si>
  <si>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</si>
  <si>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</si>
  <si>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</si>
  <si>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</si>
  <si>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</si>
  <si>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</si>
  <si>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</si>
  <si>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</si>
  <si>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</si>
  <si>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</si>
  <si>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</si>
  <si>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</si>
  <si>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</si>
  <si>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</si>
  <si>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</si>
  <si>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</si>
  <si>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</si>
  <si>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</si>
  <si>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</si>
  <si>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</si>
  <si>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</si>
  <si>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</si>
  <si>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</si>
  <si>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</si>
  <si>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</si>
  <si>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</si>
  <si>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</si>
  <si>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</si>
  <si>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</si>
  <si>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</si>
  <si>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</si>
  <si>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</si>
  <si>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</si>
  <si>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</si>
  <si>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</si>
  <si>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</si>
  <si>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</si>
  <si>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</si>
  <si>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</si>
  <si>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</si>
  <si>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</si>
  <si>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</si>
  <si>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</si>
  <si>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</si>
  <si>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</si>
  <si>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</si>
  <si>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</si>
  <si>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</si>
  <si>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</si>
  <si>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</si>
  <si>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</si>
  <si>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</si>
  <si>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</si>
  <si>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</si>
  <si>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</si>
  <si>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</si>
  <si>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</si>
  <si>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</si>
  <si>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</si>
  <si>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</si>
  <si>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</si>
  <si>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</si>
  <si>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</si>
  <si>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</si>
  <si>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</si>
  <si>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</si>
  <si>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</si>
  <si>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</si>
  <si>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</si>
  <si>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</si>
  <si>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</si>
  <si>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</si>
  <si>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</si>
  <si>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</si>
  <si>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</si>
  <si>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</si>
  <si>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</si>
  <si>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</si>
  <si>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</si>
  <si>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</si>
  <si>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</si>
  <si>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</si>
  <si>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</si>
  <si>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</si>
  <si>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</si>
  <si>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</si>
  <si>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</si>
  <si>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</si>
  <si>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</si>
  <si>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</si>
  <si>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</si>
  <si>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</si>
  <si>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</si>
  <si>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</si>
  <si>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</si>
  <si>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</si>
  <si>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</si>
  <si>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</si>
  <si>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</si>
  <si>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</si>
  <si>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</si>
  <si>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</si>
  <si>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</si>
  <si>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</si>
  <si>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</si>
  <si>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</si>
  <si>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</si>
  <si>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</si>
  <si>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</si>
  <si>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</si>
  <si>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</si>
  <si>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</si>
  <si>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</si>
  <si>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</si>
  <si>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</si>
  <si>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</si>
  <si>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</si>
  <si>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</si>
  <si>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</si>
  <si>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</si>
  <si>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</si>
  <si>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</si>
  <si>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</si>
  <si>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</si>
  <si>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</si>
  <si>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</si>
  <si>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</si>
  <si>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</si>
  <si>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</si>
  <si>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</si>
  <si>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</si>
  <si>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</si>
  <si>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</si>
  <si>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</si>
  <si>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</si>
  <si>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</si>
  <si>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</si>
  <si>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</si>
  <si>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</si>
  <si>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</si>
  <si>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</si>
  <si>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</si>
  <si>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</si>
  <si>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</si>
  <si>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</si>
  <si>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</si>
  <si>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</si>
  <si>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</si>
  <si>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</si>
  <si>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</si>
  <si>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</si>
  <si>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</si>
  <si>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</si>
  <si>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</si>
  <si>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</si>
  <si>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</si>
  <si>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</si>
  <si>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</si>
  <si>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</si>
  <si>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</si>
  <si>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</si>
  <si>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</si>
  <si>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</si>
  <si>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</si>
  <si>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</si>
  <si>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</si>
  <si>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</si>
  <si>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</si>
  <si>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</si>
  <si>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</si>
  <si>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</si>
  <si>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</si>
  <si>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</si>
  <si>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</si>
  <si>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</si>
  <si>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</si>
  <si>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</si>
  <si>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</si>
  <si>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</si>
  <si>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</si>
  <si>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</si>
  <si>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</si>
  <si>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</si>
  <si>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</si>
  <si>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</si>
  <si>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</si>
  <si>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</si>
  <si>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</si>
  <si>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</si>
  <si>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</si>
  <si>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</si>
  <si>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</si>
  <si>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</si>
  <si>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</si>
  <si>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</si>
  <si>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</si>
  <si>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</si>
  <si>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</si>
  <si>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</si>
  <si>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</si>
  <si>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</si>
  <si>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</si>
  <si>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</si>
  <si>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</si>
  <si>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</si>
  <si>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</si>
  <si>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</si>
  <si>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</si>
  <si>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</si>
  <si>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</si>
  <si>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</si>
  <si>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</si>
  <si>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</si>
  <si>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</si>
  <si>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</si>
  <si>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</si>
  <si>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</si>
  <si>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</si>
  <si>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</si>
  <si>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</si>
  <si>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</si>
  <si>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</si>
  <si>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</si>
  <si>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</si>
  <si>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</si>
  <si>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</si>
  <si>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</si>
  <si>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</si>
  <si>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</si>
  <si>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</si>
  <si>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</si>
  <si>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</si>
  <si>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</si>
  <si>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</si>
  <si>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</si>
  <si>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</si>
  <si>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</si>
  <si>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</si>
  <si>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</si>
  <si>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</si>
  <si>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</si>
  <si>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</si>
  <si>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</si>
  <si>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</si>
  <si>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</si>
  <si>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</si>
  <si>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</si>
  <si>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</si>
  <si>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</si>
  <si>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</si>
  <si>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</si>
  <si>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</si>
  <si>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</si>
  <si>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</si>
  <si>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</si>
  <si>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</si>
  <si>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</si>
  <si>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</si>
  <si>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</si>
  <si>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</si>
  <si>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</si>
  <si>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</si>
  <si>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</si>
  <si>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</si>
  <si>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</si>
  <si>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</si>
  <si>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</si>
  <si>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</si>
  <si>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</si>
  <si>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</si>
  <si>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</si>
  <si>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</si>
  <si>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</si>
  <si>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</si>
  <si>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</si>
  <si>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</si>
  <si>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</si>
  <si>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</si>
  <si>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</si>
  <si>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</si>
  <si>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</si>
  <si>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</si>
  <si>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</si>
  <si>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</si>
  <si>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</si>
  <si>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</si>
  <si>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</si>
  <si>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</si>
  <si>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</si>
  <si>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</si>
  <si>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</si>
  <si>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</si>
  <si>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</si>
  <si>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</si>
  <si>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</si>
  <si>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</si>
  <si>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</si>
  <si>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</si>
  <si>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</si>
  <si>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</si>
  <si>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</si>
  <si>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</si>
  <si>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</si>
  <si>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</si>
  <si>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</si>
  <si>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</si>
  <si>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</si>
  <si>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</si>
  <si>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</si>
  <si>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</si>
  <si>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</si>
  <si>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</si>
  <si>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</si>
  <si>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</si>
  <si>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</si>
  <si>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</si>
  <si>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</si>
  <si>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</si>
  <si>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</si>
  <si>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</si>
  <si>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</si>
  <si>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</si>
  <si>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</si>
  <si>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</si>
  <si>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</si>
  <si>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</si>
  <si>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</si>
  <si>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</si>
  <si>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</si>
  <si>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</si>
  <si>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</si>
  <si>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</si>
  <si>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</si>
  <si>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</si>
  <si>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</si>
  <si>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</si>
  <si>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</si>
  <si>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</si>
  <si>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</si>
  <si>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</si>
  <si>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</si>
  <si>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</si>
  <si>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</si>
  <si>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</si>
  <si>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</si>
  <si>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</si>
  <si>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</si>
  <si>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</si>
  <si>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</si>
  <si>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</si>
  <si>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</si>
  <si>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</si>
  <si>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</si>
  <si>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</si>
  <si>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</si>
  <si>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</si>
  <si>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</si>
  <si>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</si>
  <si>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</si>
  <si>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</si>
  <si>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</si>
  <si>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</si>
  <si>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</si>
  <si>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</si>
  <si>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</si>
  <si>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</si>
  <si>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</si>
  <si>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</si>
  <si>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</si>
  <si>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</si>
  <si>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</si>
  <si>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</si>
  <si>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</si>
  <si>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</si>
  <si>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</si>
  <si>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</si>
  <si>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</si>
  <si>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</si>
  <si>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</si>
  <si>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</si>
  <si>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</si>
  <si>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</si>
  <si>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</si>
  <si>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</si>
  <si>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</si>
  <si>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</si>
  <si>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</si>
  <si>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</si>
  <si>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</si>
  <si>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</si>
  <si>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</si>
  <si>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</si>
  <si>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</si>
  <si>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</si>
  <si>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</si>
  <si>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</si>
  <si>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</si>
  <si>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</si>
  <si>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</si>
  <si>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</si>
  <si>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</si>
  <si>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</si>
  <si>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</si>
  <si>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</si>
  <si>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</si>
  <si>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</si>
  <si>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</si>
  <si>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</si>
  <si>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</si>
  <si>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</si>
  <si>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</si>
  <si>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</si>
  <si>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</si>
  <si>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</si>
  <si>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</si>
  <si>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</si>
  <si>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</si>
  <si>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</si>
  <si>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</si>
  <si>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</si>
  <si>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</si>
  <si>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</si>
  <si>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</si>
  <si>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</si>
  <si>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</si>
  <si>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</si>
  <si>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</si>
  <si>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</si>
  <si>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</si>
  <si>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</si>
  <si>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</si>
  <si>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</si>
  <si>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</si>
  <si>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</si>
  <si>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</si>
  <si>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</si>
  <si>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</si>
  <si>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</si>
  <si>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</si>
  <si>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</si>
  <si>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</si>
  <si>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</si>
  <si>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</si>
  <si>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</si>
  <si>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</si>
  <si>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</si>
  <si>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</si>
  <si>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</si>
  <si>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</si>
  <si>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</si>
  <si>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</si>
  <si>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</si>
  <si>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</si>
  <si>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</si>
  <si>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</si>
  <si>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</si>
  <si>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</si>
  <si>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</si>
  <si>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</si>
  <si>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</si>
  <si>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</si>
  <si>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</si>
  <si>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</si>
  <si>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</si>
  <si>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</si>
  <si>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</si>
  <si>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</si>
  <si>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</si>
  <si>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</si>
  <si>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</si>
  <si>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</si>
  <si>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</si>
  <si>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</si>
  <si>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</si>
  <si>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</si>
  <si>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</si>
  <si>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</si>
  <si>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</si>
  <si>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</si>
  <si>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</si>
  <si>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</si>
  <si>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</si>
  <si>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</si>
  <si>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</si>
  <si>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</si>
  <si>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</si>
  <si>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</si>
  <si>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</si>
  <si>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</si>
  <si>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</si>
  <si>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</si>
  <si>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</si>
  <si>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</si>
  <si>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</si>
  <si>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</si>
  <si>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</si>
  <si>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</si>
  <si>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</si>
  <si>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</si>
  <si>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</si>
  <si>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</si>
  <si>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</si>
  <si>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</si>
  <si>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</si>
  <si>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</si>
  <si>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</si>
  <si>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</si>
  <si>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</si>
  <si>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</si>
  <si>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</si>
  <si>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</si>
  <si>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</si>
  <si>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</si>
  <si>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</si>
  <si>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</si>
  <si>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</si>
  <si>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</si>
  <si>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</si>
  <si>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</si>
  <si>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</si>
  <si>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</si>
  <si>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</si>
  <si>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</si>
  <si>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</si>
  <si>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</si>
  <si>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</si>
  <si>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</si>
  <si>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</si>
  <si>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</si>
  <si>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</si>
  <si>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</si>
  <si>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</si>
  <si>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</si>
  <si>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</si>
  <si>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</si>
  <si>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</si>
  <si>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</si>
  <si>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</si>
  <si>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</si>
  <si>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</si>
  <si>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</si>
  <si>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</si>
  <si>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</si>
  <si>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</si>
  <si>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</si>
  <si>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</si>
  <si>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</si>
  <si>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</si>
  <si>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</si>
  <si>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</si>
  <si>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</si>
  <si>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</si>
  <si>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</si>
  <si>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</si>
  <si>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</si>
  <si>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</si>
  <si>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</si>
  <si>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</si>
  <si>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</si>
  <si>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</si>
  <si>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</si>
  <si>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</si>
  <si>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</si>
  <si>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31043</t>
  </si>
  <si>
    <t>KNOKKE-HEIST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</si>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</sst>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261209.58476977455</c:v>
                </c:pt>
                <c:pt idx="1">
                  <c:v>226331.01874589178</c:v>
                </c:pt>
                <c:pt idx="2">
                  <c:v>3048.4090000000001</c:v>
                </c:pt>
                <c:pt idx="3">
                  <c:v>10570.153322787866</c:v>
                </c:pt>
                <c:pt idx="4">
                  <c:v>25437.970949633538</c:v>
                </c:pt>
                <c:pt idx="5">
                  <c:v>128835.59325775497</c:v>
                </c:pt>
                <c:pt idx="6">
                  <c:v>2183.18104011279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261209.58476977455</c:v>
                </c:pt>
                <c:pt idx="1">
                  <c:v>226331.01874589178</c:v>
                </c:pt>
                <c:pt idx="2">
                  <c:v>3048.4090000000001</c:v>
                </c:pt>
                <c:pt idx="3">
                  <c:v>10570.153322787866</c:v>
                </c:pt>
                <c:pt idx="4">
                  <c:v>25437.970949633538</c:v>
                </c:pt>
                <c:pt idx="5">
                  <c:v>128835.59325775497</c:v>
                </c:pt>
                <c:pt idx="6">
                  <c:v>2183.18104011279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53564.330383041714</c:v>
                </c:pt>
                <c:pt idx="1">
                  <c:v>46201.342576098243</c:v>
                </c:pt>
                <c:pt idx="2">
                  <c:v>660.02569194913701</c:v>
                </c:pt>
                <c:pt idx="3">
                  <c:v>2707.8735740577499</c:v>
                </c:pt>
                <c:pt idx="4">
                  <c:v>5464.2306449699563</c:v>
                </c:pt>
                <c:pt idx="5">
                  <c:v>32040.477530795171</c:v>
                </c:pt>
                <c:pt idx="6">
                  <c:v>529.37949707451139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53564.330383041714</c:v>
                </c:pt>
                <c:pt idx="1">
                  <c:v>46201.342576098243</c:v>
                </c:pt>
                <c:pt idx="2">
                  <c:v>660.02569194913701</c:v>
                </c:pt>
                <c:pt idx="3">
                  <c:v>2707.8735740577499</c:v>
                </c:pt>
                <c:pt idx="4">
                  <c:v>5464.2306449699563</c:v>
                </c:pt>
                <c:pt idx="5">
                  <c:v>32040.477530795171</c:v>
                </c:pt>
                <c:pt idx="6">
                  <c:v>529.37949707451139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31043</v>
      </c>
      <c r="B6" s="415"/>
      <c r="C6" s="416"/>
    </row>
    <row r="7" spans="1:7" s="413" customFormat="1" ht="15.75" customHeight="1">
      <c r="A7" s="417" t="str">
        <f>txtMunicipality</f>
        <v>KNOKKE-HEIST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0.21651480885574639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0.21651480885574639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16787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3259.46</v>
      </c>
    </row>
    <row r="15" spans="1:6">
      <c r="A15" s="348" t="s">
        <v>183</v>
      </c>
      <c r="B15" s="334">
        <v>18</v>
      </c>
    </row>
    <row r="16" spans="1:6">
      <c r="A16" s="348" t="s">
        <v>6</v>
      </c>
      <c r="B16" s="334">
        <v>580</v>
      </c>
    </row>
    <row r="17" spans="1:6">
      <c r="A17" s="348" t="s">
        <v>7</v>
      </c>
      <c r="B17" s="334">
        <v>1111</v>
      </c>
    </row>
    <row r="18" spans="1:6">
      <c r="A18" s="348" t="s">
        <v>8</v>
      </c>
      <c r="B18" s="334">
        <v>1353</v>
      </c>
    </row>
    <row r="19" spans="1:6">
      <c r="A19" s="348" t="s">
        <v>9</v>
      </c>
      <c r="B19" s="334">
        <v>1296</v>
      </c>
    </row>
    <row r="20" spans="1:6">
      <c r="A20" s="348" t="s">
        <v>10</v>
      </c>
      <c r="B20" s="334">
        <v>696</v>
      </c>
    </row>
    <row r="21" spans="1:6">
      <c r="A21" s="348" t="s">
        <v>11</v>
      </c>
      <c r="B21" s="334">
        <v>974</v>
      </c>
    </row>
    <row r="22" spans="1:6">
      <c r="A22" s="348" t="s">
        <v>12</v>
      </c>
      <c r="B22" s="334">
        <v>4671</v>
      </c>
    </row>
    <row r="23" spans="1:6">
      <c r="A23" s="348" t="s">
        <v>13</v>
      </c>
      <c r="B23" s="334">
        <v>35</v>
      </c>
    </row>
    <row r="24" spans="1:6">
      <c r="A24" s="348" t="s">
        <v>14</v>
      </c>
      <c r="B24" s="334">
        <v>4</v>
      </c>
    </row>
    <row r="25" spans="1:6">
      <c r="A25" s="348" t="s">
        <v>15</v>
      </c>
      <c r="B25" s="334">
        <v>288</v>
      </c>
    </row>
    <row r="26" spans="1:6">
      <c r="A26" s="348" t="s">
        <v>16</v>
      </c>
      <c r="B26" s="334">
        <v>284</v>
      </c>
    </row>
    <row r="27" spans="1:6">
      <c r="A27" s="348" t="s">
        <v>17</v>
      </c>
      <c r="B27" s="334">
        <v>3</v>
      </c>
    </row>
    <row r="28" spans="1:6" s="356" customFormat="1">
      <c r="A28" s="355" t="s">
        <v>18</v>
      </c>
      <c r="B28" s="355">
        <v>40792</v>
      </c>
    </row>
    <row r="29" spans="1:6">
      <c r="A29" s="355" t="s">
        <v>713</v>
      </c>
      <c r="B29" s="355">
        <v>495</v>
      </c>
      <c r="C29" s="356"/>
      <c r="D29" s="356"/>
      <c r="E29" s="356"/>
      <c r="F29" s="356"/>
    </row>
    <row r="30" spans="1:6">
      <c r="A30" s="341" t="s">
        <v>714</v>
      </c>
      <c r="B30" s="341">
        <v>81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v>
      </c>
      <c r="D36" s="334">
        <v>1089738.993</v>
      </c>
      <c r="E36" s="334">
        <v>0</v>
      </c>
      <c r="F36" s="334">
        <v>0</v>
      </c>
    </row>
    <row r="37" spans="1:6">
      <c r="A37" s="348" t="s">
        <v>24</v>
      </c>
      <c r="B37" s="348" t="s">
        <v>27</v>
      </c>
      <c r="C37" s="334">
        <v>0</v>
      </c>
      <c r="D37" s="334">
        <v>0</v>
      </c>
      <c r="E37" s="334">
        <v>0</v>
      </c>
      <c r="F37" s="334">
        <v>0</v>
      </c>
    </row>
    <row r="38" spans="1:6">
      <c r="A38" s="348" t="s">
        <v>24</v>
      </c>
      <c r="B38" s="348" t="s">
        <v>28</v>
      </c>
      <c r="C38" s="334">
        <v>2</v>
      </c>
      <c r="D38" s="334">
        <v>14050.847</v>
      </c>
      <c r="E38" s="334">
        <v>9</v>
      </c>
      <c r="F38" s="334">
        <v>21225.669000000002</v>
      </c>
    </row>
    <row r="39" spans="1:6">
      <c r="A39" s="348" t="s">
        <v>29</v>
      </c>
      <c r="B39" s="348" t="s">
        <v>30</v>
      </c>
      <c r="C39" s="334">
        <v>18729</v>
      </c>
      <c r="D39" s="334">
        <v>216929663</v>
      </c>
      <c r="E39" s="334">
        <v>25055</v>
      </c>
      <c r="F39" s="334">
        <v>62321615.020000003</v>
      </c>
    </row>
    <row r="40" spans="1:6">
      <c r="A40" s="348" t="s">
        <v>29</v>
      </c>
      <c r="B40" s="348" t="s">
        <v>28</v>
      </c>
      <c r="C40" s="334">
        <v>1</v>
      </c>
      <c r="D40" s="334">
        <v>4351.9650000000001</v>
      </c>
      <c r="E40" s="334">
        <v>1</v>
      </c>
      <c r="F40" s="334">
        <v>1451.739</v>
      </c>
    </row>
    <row r="41" spans="1:6">
      <c r="A41" s="348" t="s">
        <v>31</v>
      </c>
      <c r="B41" s="348" t="s">
        <v>32</v>
      </c>
      <c r="C41" s="334">
        <v>549</v>
      </c>
      <c r="D41" s="334">
        <v>7887002.5580000002</v>
      </c>
      <c r="E41" s="334">
        <v>990</v>
      </c>
      <c r="F41" s="334">
        <v>4636111.2050000001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21856.714</v>
      </c>
      <c r="E44" s="334">
        <v>22</v>
      </c>
      <c r="F44" s="334">
        <v>211884.57399999999</v>
      </c>
    </row>
    <row r="45" spans="1:6">
      <c r="A45" s="348" t="s">
        <v>31</v>
      </c>
      <c r="B45" s="348" t="s">
        <v>36</v>
      </c>
      <c r="C45" s="334">
        <v>3</v>
      </c>
      <c r="D45" s="334">
        <v>68894.664999999994</v>
      </c>
      <c r="E45" s="334">
        <v>4</v>
      </c>
      <c r="F45" s="334">
        <v>113266.44899999999</v>
      </c>
    </row>
    <row r="46" spans="1:6">
      <c r="A46" s="348" t="s">
        <v>31</v>
      </c>
      <c r="B46" s="348" t="s">
        <v>37</v>
      </c>
      <c r="C46" s="334">
        <v>0</v>
      </c>
      <c r="D46" s="334">
        <v>0</v>
      </c>
      <c r="E46" s="334">
        <v>0</v>
      </c>
      <c r="F46" s="334">
        <v>0</v>
      </c>
    </row>
    <row r="47" spans="1:6">
      <c r="A47" s="348" t="s">
        <v>31</v>
      </c>
      <c r="B47" s="348" t="s">
        <v>38</v>
      </c>
      <c r="C47" s="334">
        <v>10</v>
      </c>
      <c r="D47" s="334">
        <v>190707.69200000001</v>
      </c>
      <c r="E47" s="334">
        <v>13</v>
      </c>
      <c r="F47" s="334">
        <v>74244.398000000001</v>
      </c>
    </row>
    <row r="48" spans="1:6">
      <c r="A48" s="348" t="s">
        <v>31</v>
      </c>
      <c r="B48" s="348" t="s">
        <v>28</v>
      </c>
      <c r="C48" s="334">
        <v>64</v>
      </c>
      <c r="D48" s="334">
        <v>1848665.0589999999</v>
      </c>
      <c r="E48" s="334">
        <v>82</v>
      </c>
      <c r="F48" s="334">
        <v>1217372.9029999999</v>
      </c>
    </row>
    <row r="49" spans="1:6">
      <c r="A49" s="348" t="s">
        <v>31</v>
      </c>
      <c r="B49" s="348" t="s">
        <v>39</v>
      </c>
      <c r="C49" s="334">
        <v>6</v>
      </c>
      <c r="D49" s="334">
        <v>57702.517999999996</v>
      </c>
      <c r="E49" s="334">
        <v>13</v>
      </c>
      <c r="F49" s="334">
        <v>112933.648</v>
      </c>
    </row>
    <row r="50" spans="1:6">
      <c r="A50" s="348" t="s">
        <v>31</v>
      </c>
      <c r="B50" s="348" t="s">
        <v>40</v>
      </c>
      <c r="C50" s="334">
        <v>37</v>
      </c>
      <c r="D50" s="334">
        <v>1943849.682</v>
      </c>
      <c r="E50" s="334">
        <v>61</v>
      </c>
      <c r="F50" s="334">
        <v>2080458.0419999999</v>
      </c>
    </row>
    <row r="51" spans="1:6">
      <c r="A51" s="348" t="s">
        <v>41</v>
      </c>
      <c r="B51" s="348" t="s">
        <v>42</v>
      </c>
      <c r="C51" s="334">
        <v>34</v>
      </c>
      <c r="D51" s="334">
        <v>634789.54099999997</v>
      </c>
      <c r="E51" s="334">
        <v>132</v>
      </c>
      <c r="F51" s="334">
        <v>1921036.28</v>
      </c>
    </row>
    <row r="52" spans="1:6">
      <c r="A52" s="348" t="s">
        <v>41</v>
      </c>
      <c r="B52" s="348" t="s">
        <v>28</v>
      </c>
      <c r="C52" s="334">
        <v>16</v>
      </c>
      <c r="D52" s="334">
        <v>370370.74200000003</v>
      </c>
      <c r="E52" s="334">
        <v>17</v>
      </c>
      <c r="F52" s="334">
        <v>75213.118000000002</v>
      </c>
    </row>
    <row r="53" spans="1:6">
      <c r="A53" s="348" t="s">
        <v>43</v>
      </c>
      <c r="B53" s="348" t="s">
        <v>44</v>
      </c>
      <c r="C53" s="334">
        <v>5970</v>
      </c>
      <c r="D53" s="334">
        <v>54184177</v>
      </c>
      <c r="E53" s="334">
        <v>9877</v>
      </c>
      <c r="F53" s="334">
        <v>18884130.02</v>
      </c>
    </row>
    <row r="54" spans="1:6">
      <c r="A54" s="348" t="s">
        <v>45</v>
      </c>
      <c r="B54" s="348" t="s">
        <v>46</v>
      </c>
      <c r="C54" s="334">
        <v>0</v>
      </c>
      <c r="D54" s="334">
        <v>0</v>
      </c>
      <c r="E54" s="334">
        <v>1</v>
      </c>
      <c r="F54" s="334">
        <v>3048409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165</v>
      </c>
      <c r="D57" s="334">
        <v>9284276.9240000006</v>
      </c>
      <c r="E57" s="334">
        <v>391</v>
      </c>
      <c r="F57" s="334">
        <v>10919371.189999999</v>
      </c>
    </row>
    <row r="58" spans="1:6">
      <c r="A58" s="348" t="s">
        <v>48</v>
      </c>
      <c r="B58" s="348" t="s">
        <v>50</v>
      </c>
      <c r="C58" s="334">
        <v>191</v>
      </c>
      <c r="D58" s="334">
        <v>8794957.807</v>
      </c>
      <c r="E58" s="334">
        <v>279</v>
      </c>
      <c r="F58" s="334">
        <v>5384564.2980000004</v>
      </c>
    </row>
    <row r="59" spans="1:6">
      <c r="A59" s="348" t="s">
        <v>48</v>
      </c>
      <c r="B59" s="348" t="s">
        <v>51</v>
      </c>
      <c r="C59" s="334">
        <v>786</v>
      </c>
      <c r="D59" s="334">
        <v>15303846.83</v>
      </c>
      <c r="E59" s="334">
        <v>1449</v>
      </c>
      <c r="F59" s="334">
        <v>27512718.989999998</v>
      </c>
    </row>
    <row r="60" spans="1:6">
      <c r="A60" s="348" t="s">
        <v>48</v>
      </c>
      <c r="B60" s="348" t="s">
        <v>52</v>
      </c>
      <c r="C60" s="334">
        <v>403</v>
      </c>
      <c r="D60" s="334">
        <v>20683611.859999999</v>
      </c>
      <c r="E60" s="334">
        <v>544</v>
      </c>
      <c r="F60" s="334">
        <v>17035350.07</v>
      </c>
    </row>
    <row r="61" spans="1:6">
      <c r="A61" s="348" t="s">
        <v>48</v>
      </c>
      <c r="B61" s="348" t="s">
        <v>53</v>
      </c>
      <c r="C61" s="334">
        <v>2098</v>
      </c>
      <c r="D61" s="334">
        <v>60836101.659999996</v>
      </c>
      <c r="E61" s="334">
        <v>5166</v>
      </c>
      <c r="F61" s="334">
        <v>27823245.260000002</v>
      </c>
    </row>
    <row r="62" spans="1:6">
      <c r="A62" s="348" t="s">
        <v>48</v>
      </c>
      <c r="B62" s="348" t="s">
        <v>54</v>
      </c>
      <c r="C62" s="334">
        <v>24</v>
      </c>
      <c r="D62" s="334">
        <v>2011459.571</v>
      </c>
      <c r="E62" s="334">
        <v>20</v>
      </c>
      <c r="F62" s="334">
        <v>150194.106</v>
      </c>
    </row>
    <row r="63" spans="1:6">
      <c r="A63" s="348" t="s">
        <v>48</v>
      </c>
      <c r="B63" s="348" t="s">
        <v>28</v>
      </c>
      <c r="C63" s="334">
        <v>214</v>
      </c>
      <c r="D63" s="334">
        <v>9313653.0360000003</v>
      </c>
      <c r="E63" s="334">
        <v>180</v>
      </c>
      <c r="F63" s="334">
        <v>3882563.98</v>
      </c>
    </row>
    <row r="64" spans="1:6">
      <c r="A64" s="348" t="s">
        <v>55</v>
      </c>
      <c r="B64" s="348" t="s">
        <v>56</v>
      </c>
      <c r="C64" s="334">
        <v>0</v>
      </c>
      <c r="D64" s="334">
        <v>0</v>
      </c>
      <c r="E64" s="334">
        <v>0</v>
      </c>
      <c r="F64" s="334">
        <v>0</v>
      </c>
    </row>
    <row r="65" spans="1:6">
      <c r="A65" s="348" t="s">
        <v>55</v>
      </c>
      <c r="B65" s="348" t="s">
        <v>28</v>
      </c>
      <c r="C65" s="334">
        <v>14</v>
      </c>
      <c r="D65" s="334">
        <v>338320.72399999999</v>
      </c>
      <c r="E65" s="334">
        <v>7</v>
      </c>
      <c r="F65" s="334">
        <v>44156.663999999997</v>
      </c>
    </row>
    <row r="66" spans="1:6">
      <c r="A66" s="348" t="s">
        <v>55</v>
      </c>
      <c r="B66" s="348" t="s">
        <v>57</v>
      </c>
      <c r="C66" s="334">
        <v>0</v>
      </c>
      <c r="D66" s="334">
        <v>0</v>
      </c>
      <c r="E66" s="334">
        <v>34</v>
      </c>
      <c r="F66" s="334">
        <v>1237050.899</v>
      </c>
    </row>
    <row r="67" spans="1:6">
      <c r="A67" s="355" t="s">
        <v>55</v>
      </c>
      <c r="B67" s="355" t="s">
        <v>58</v>
      </c>
      <c r="C67" s="334">
        <v>0</v>
      </c>
      <c r="D67" s="334">
        <v>0</v>
      </c>
      <c r="E67" s="334">
        <v>0</v>
      </c>
      <c r="F67" s="334">
        <v>0</v>
      </c>
    </row>
    <row r="68" spans="1:6">
      <c r="A68" s="341" t="s">
        <v>55</v>
      </c>
      <c r="B68" s="341" t="s">
        <v>59</v>
      </c>
      <c r="C68" s="334">
        <v>17</v>
      </c>
      <c r="D68" s="334">
        <v>250934.23300000001</v>
      </c>
      <c r="E68" s="334">
        <v>40</v>
      </c>
      <c r="F68" s="334">
        <v>699742.11100000003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110670250</v>
      </c>
      <c r="E73" s="476"/>
    </row>
    <row r="74" spans="1:6">
      <c r="A74" s="348" t="s">
        <v>63</v>
      </c>
      <c r="B74" s="348" t="s">
        <v>651</v>
      </c>
      <c r="C74" s="1307" t="s">
        <v>653</v>
      </c>
      <c r="D74" s="476">
        <v>11833356</v>
      </c>
      <c r="E74" s="476"/>
    </row>
    <row r="75" spans="1:6">
      <c r="A75" s="348" t="s">
        <v>64</v>
      </c>
      <c r="B75" s="348" t="s">
        <v>650</v>
      </c>
      <c r="C75" s="1307" t="s">
        <v>654</v>
      </c>
      <c r="D75" s="476">
        <v>29535151</v>
      </c>
      <c r="E75" s="476"/>
    </row>
    <row r="76" spans="1:6">
      <c r="A76" s="348" t="s">
        <v>64</v>
      </c>
      <c r="B76" s="348" t="s">
        <v>651</v>
      </c>
      <c r="C76" s="1307" t="s">
        <v>655</v>
      </c>
      <c r="D76" s="476">
        <v>1195299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432342</v>
      </c>
      <c r="C83" s="476"/>
    </row>
    <row r="84" spans="1:6">
      <c r="A84" s="341" t="s">
        <v>336</v>
      </c>
      <c r="B84" s="1308">
        <v>177857</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2513.5381575337105</v>
      </c>
    </row>
    <row r="92" spans="1:6">
      <c r="A92" s="341" t="s">
        <v>68</v>
      </c>
      <c r="B92" s="342">
        <v>1355.1473841152565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9792</v>
      </c>
    </row>
    <row r="98" spans="1:6">
      <c r="A98" s="348" t="s">
        <v>71</v>
      </c>
      <c r="B98" s="334">
        <v>3</v>
      </c>
    </row>
    <row r="99" spans="1:6">
      <c r="A99" s="348" t="s">
        <v>72</v>
      </c>
      <c r="B99" s="334">
        <v>58</v>
      </c>
    </row>
    <row r="100" spans="1:6">
      <c r="A100" s="348" t="s">
        <v>73</v>
      </c>
      <c r="B100" s="334">
        <v>1420</v>
      </c>
    </row>
    <row r="101" spans="1:6">
      <c r="A101" s="348" t="s">
        <v>74</v>
      </c>
      <c r="B101" s="334">
        <v>56</v>
      </c>
    </row>
    <row r="102" spans="1:6">
      <c r="A102" s="348" t="s">
        <v>75</v>
      </c>
      <c r="B102" s="334">
        <v>435</v>
      </c>
    </row>
    <row r="103" spans="1:6">
      <c r="A103" s="348" t="s">
        <v>76</v>
      </c>
      <c r="B103" s="334">
        <v>92</v>
      </c>
    </row>
    <row r="104" spans="1:6">
      <c r="A104" s="348" t="s">
        <v>77</v>
      </c>
      <c r="B104" s="334">
        <v>3205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24</v>
      </c>
      <c r="C123" s="334">
        <v>29</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116</v>
      </c>
    </row>
    <row r="130" spans="1:6">
      <c r="A130" s="348" t="s">
        <v>294</v>
      </c>
      <c r="B130" s="334">
        <v>2</v>
      </c>
    </row>
    <row r="131" spans="1:6">
      <c r="A131" s="348" t="s">
        <v>295</v>
      </c>
      <c r="B131" s="334">
        <v>4</v>
      </c>
    </row>
    <row r="132" spans="1:6">
      <c r="A132" s="341" t="s">
        <v>296</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190622.75769446563</v>
      </c>
      <c r="C3" s="43" t="s">
        <v>169</v>
      </c>
      <c r="D3" s="43"/>
      <c r="E3" s="154"/>
      <c r="F3" s="43"/>
      <c r="G3" s="43"/>
      <c r="H3" s="43"/>
      <c r="I3" s="43"/>
      <c r="J3" s="43"/>
      <c r="K3" s="96"/>
    </row>
    <row r="4" spans="1:11">
      <c r="A4" s="383" t="s">
        <v>170</v>
      </c>
      <c r="B4" s="49">
        <f>IF(ISERROR('SEAP template'!B78+'SEAP template'!C78),0,'SEAP template'!B78+'SEAP template'!C78)</f>
        <v>3868.685541648967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0.21651480885574639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3048.4090000000001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3048.4090000000001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0.21651480885574639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660.02569194913701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62323.066759000001</v>
      </c>
      <c r="C5" s="17">
        <f>IF(ISERROR('Eigen informatie GS &amp; warmtenet'!B59),0,'Eigen informatie GS &amp; warmtenet'!B59)</f>
        <v>0</v>
      </c>
      <c r="D5" s="30">
        <f>(SUM(HH_hh_gas_kWh,HH_rest_gas_kWh)/1000)*0.902</f>
        <v>195674.48149843002</v>
      </c>
      <c r="E5" s="17">
        <f>B46*B57</f>
        <v>0</v>
      </c>
      <c r="F5" s="17">
        <f>B51*B62</f>
        <v>0</v>
      </c>
      <c r="G5" s="18"/>
      <c r="H5" s="17"/>
      <c r="I5" s="17"/>
      <c r="J5" s="17">
        <f>B50*B61+C50*C61</f>
        <v>0</v>
      </c>
      <c r="K5" s="17"/>
      <c r="L5" s="17"/>
      <c r="M5" s="17"/>
      <c r="N5" s="17">
        <f>B48*B59+C48*C59</f>
        <v>0</v>
      </c>
      <c r="O5" s="17">
        <f>B69*B70*B71</f>
        <v>287.67394181111962</v>
      </c>
      <c r="P5" s="17">
        <f>B77*B78*B79/1000-B77*B78*B79/1000/B80</f>
        <v>410.82441299971589</v>
      </c>
    </row>
    <row r="6" spans="1:16">
      <c r="A6" s="16" t="s">
        <v>615</v>
      </c>
      <c r="B6" s="809">
        <f>kWh_PV_kleiner_dan_10kW</f>
        <v>2513.5381575337105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64836.60491653371</v>
      </c>
      <c r="C8" s="21">
        <f>C5</f>
        <v>0</v>
      </c>
      <c r="D8" s="21">
        <f>D5</f>
        <v>195674.48149843002</v>
      </c>
      <c r="E8" s="21">
        <f>E5</f>
        <v>0</v>
      </c>
      <c r="F8" s="21">
        <f>F5</f>
        <v>0</v>
      </c>
      <c r="G8" s="21"/>
      <c r="H8" s="21"/>
      <c r="I8" s="21"/>
      <c r="J8" s="21">
        <f>J5</f>
        <v>0</v>
      </c>
      <c r="K8" s="21"/>
      <c r="L8" s="21">
        <f>L5</f>
        <v>0</v>
      </c>
      <c r="M8" s="21">
        <f>M5</f>
        <v>0</v>
      </c>
      <c r="N8" s="21">
        <f>N5</f>
        <v>0</v>
      </c>
      <c r="O8" s="21">
        <f>O5</f>
        <v>287.67394181111962</v>
      </c>
      <c r="P8" s="21">
        <f>P5</f>
        <v>410.82441299971589</v>
      </c>
    </row>
    <row r="9" spans="1:16">
      <c r="B9" s="19"/>
      <c r="C9" s="19"/>
      <c r="D9" s="258"/>
      <c r="E9" s="19"/>
      <c r="F9" s="19"/>
      <c r="G9" s="19"/>
      <c r="H9" s="19"/>
      <c r="I9" s="19"/>
      <c r="J9" s="19"/>
      <c r="K9" s="19"/>
      <c r="L9" s="19"/>
      <c r="M9" s="19"/>
      <c r="N9" s="19"/>
      <c r="O9" s="19"/>
      <c r="P9" s="19"/>
    </row>
    <row r="10" spans="1:16">
      <c r="A10" s="24" t="s">
        <v>213</v>
      </c>
      <c r="B10" s="25">
        <f ca="1">'EF ele_warmte'!B12</f>
        <v>0.21651480885574639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14038.085120358843</v>
      </c>
      <c r="C12" s="23">
        <f ca="1">C10*C8</f>
        <v>0</v>
      </c>
      <c r="D12" s="23">
        <f>D8*D10</f>
        <v>39526.245262682867</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9792</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3.7809647979139509</v>
      </c>
      <c r="D20" s="229"/>
      <c r="E20" s="15"/>
    </row>
    <row r="21" spans="1:7">
      <c r="A21" s="171" t="s">
        <v>73</v>
      </c>
      <c r="B21" s="37">
        <f>aantalw2001_elektriciteit</f>
        <v>1420</v>
      </c>
      <c r="C21" s="167">
        <f>IF(ISERROR(B21/SUM($B$20,$B$21,$B$22)*100),0,B21/SUM($B$20,$B$21,$B$22)*100)</f>
        <v>92.568448500651897</v>
      </c>
      <c r="D21" s="229"/>
      <c r="E21" s="15"/>
    </row>
    <row r="22" spans="1:7">
      <c r="A22" s="171" t="s">
        <v>74</v>
      </c>
      <c r="B22" s="37">
        <f>aantalw2001_hout</f>
        <v>56</v>
      </c>
      <c r="C22" s="167">
        <f>IF(ISERROR(B22/SUM($B$20,$B$21,$B$22)*100),0,B22/SUM($B$20,$B$21,$B$22)*100)</f>
        <v>3.6505867014341589</v>
      </c>
      <c r="D22" s="229"/>
      <c r="E22" s="15"/>
    </row>
    <row r="23" spans="1:7">
      <c r="A23" s="171" t="s">
        <v>75</v>
      </c>
      <c r="B23" s="37">
        <f>aantalw2001_niet_gespec</f>
        <v>435</v>
      </c>
      <c r="C23" s="166" t="s">
        <v>110</v>
      </c>
      <c r="D23" s="228"/>
      <c r="E23" s="15"/>
    </row>
    <row r="24" spans="1:7">
      <c r="A24" s="171" t="s">
        <v>76</v>
      </c>
      <c r="B24" s="37">
        <f>aantalw2001_steenkool</f>
        <v>92</v>
      </c>
      <c r="C24" s="166" t="s">
        <v>110</v>
      </c>
      <c r="D24" s="229"/>
      <c r="E24" s="15"/>
    </row>
    <row r="25" spans="1:7">
      <c r="A25" s="171" t="s">
        <v>77</v>
      </c>
      <c r="B25" s="37">
        <f>aantalw2001_stookolie</f>
        <v>3205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16787</v>
      </c>
      <c r="C28" s="36"/>
      <c r="D28" s="228"/>
    </row>
    <row r="29" spans="1:7" s="15" customFormat="1">
      <c r="A29" s="230" t="s">
        <v>837</v>
      </c>
      <c r="B29" s="37">
        <f>SUM(HH_hh_gas_aantal,HH_rest_gas_aantal)</f>
        <v>18730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18730</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18730</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92708.007894000009</v>
      </c>
      <c r="C5" s="17">
        <f>IF(ISERROR('Eigen informatie GS &amp; warmtenet'!B60),0,'Eigen informatie GS &amp; warmtenet'!B60)</f>
        <v>0</v>
      </c>
      <c r="D5" s="30">
        <f>SUM(D6:D12)</f>
        <v>113857.57273457601</v>
      </c>
      <c r="E5" s="17">
        <f>SUM(E6:E12)</f>
        <v>1226.0330754304059</v>
      </c>
      <c r="F5" s="17">
        <f>SUM(F6:F12)</f>
        <v>10678.196677119433</v>
      </c>
      <c r="G5" s="18"/>
      <c r="H5" s="17"/>
      <c r="I5" s="17"/>
      <c r="J5" s="17">
        <f>SUM(J6:J12)</f>
        <v>0.19280857023722953</v>
      </c>
      <c r="K5" s="17"/>
      <c r="L5" s="17"/>
      <c r="M5" s="17"/>
      <c r="N5" s="17">
        <f>SUM(N6:N12)</f>
        <v>7588.5253431315305</v>
      </c>
      <c r="O5" s="17">
        <f>B38*B39*B40</f>
        <v>9.7945215316823084</v>
      </c>
      <c r="P5" s="17">
        <f>B46*B47*B48/1000-B46*B47*B48/1000/B49</f>
        <v>262.69569153247511</v>
      </c>
      <c r="R5" s="32"/>
    </row>
    <row r="6" spans="1:18">
      <c r="A6" s="32" t="s">
        <v>53</v>
      </c>
      <c r="B6" s="37">
        <f>B26</f>
        <v>27823.245260000003</v>
      </c>
      <c r="C6" s="33"/>
      <c r="D6" s="37">
        <f>IF(ISERROR(TER_kantoor_gas_kWh/1000),0,TER_kantoor_gas_kWh/1000)*0.902</f>
        <v>54874.163697319993</v>
      </c>
      <c r="E6" s="33">
        <f>$C$26*'E Balans VL '!I12/100/3.6*1000000</f>
        <v>223.88473377198497</v>
      </c>
      <c r="F6" s="33">
        <f>$C$26*('E Balans VL '!L12+'E Balans VL '!N12)/100/3.6*1000000</f>
        <v>3401.6844242044358</v>
      </c>
      <c r="G6" s="34"/>
      <c r="H6" s="33"/>
      <c r="I6" s="33"/>
      <c r="J6" s="33">
        <f>$C$26*('E Balans VL '!D12+'E Balans VL '!E12)/100/3.6*1000000</f>
        <v>0</v>
      </c>
      <c r="K6" s="33"/>
      <c r="L6" s="33"/>
      <c r="M6" s="33"/>
      <c r="N6" s="33">
        <f>$C$26*'E Balans VL '!Y12/100/3.6*1000000</f>
        <v>14.953624180718069</v>
      </c>
      <c r="O6" s="33"/>
      <c r="P6" s="33"/>
      <c r="R6" s="32"/>
    </row>
    <row r="7" spans="1:18">
      <c r="A7" s="32" t="s">
        <v>52</v>
      </c>
      <c r="B7" s="37">
        <f t="shared" ref="B7:B12" si="0">B27</f>
        <v>17035.35007</v>
      </c>
      <c r="C7" s="33"/>
      <c r="D7" s="37">
        <f>IF(ISERROR(TER_horeca_gas_kWh/1000),0,TER_horeca_gas_kWh/1000)*0.902</f>
        <v>18656.61789772</v>
      </c>
      <c r="E7" s="33">
        <f>$C$27*'E Balans VL '!I9/100/3.6*1000000</f>
        <v>182.9178282453579</v>
      </c>
      <c r="F7" s="33">
        <f>$C$27*('E Balans VL '!L9+'E Balans VL '!N9)/100/3.6*1000000</f>
        <v>2048.9395284520233</v>
      </c>
      <c r="G7" s="34"/>
      <c r="H7" s="33"/>
      <c r="I7" s="33"/>
      <c r="J7" s="33">
        <f>$C$27*('E Balans VL '!D9+'E Balans VL '!E9)/100/3.6*1000000</f>
        <v>0</v>
      </c>
      <c r="K7" s="33"/>
      <c r="L7" s="33"/>
      <c r="M7" s="33"/>
      <c r="N7" s="33">
        <f>$C$27*'E Balans VL '!Y9/100/3.6*1000000</f>
        <v>2.5539442419539893</v>
      </c>
      <c r="O7" s="33"/>
      <c r="P7" s="33"/>
      <c r="R7" s="32"/>
    </row>
    <row r="8" spans="1:18">
      <c r="A8" s="6" t="s">
        <v>51</v>
      </c>
      <c r="B8" s="37">
        <f t="shared" si="0"/>
        <v>27512.718989999998</v>
      </c>
      <c r="C8" s="33"/>
      <c r="D8" s="37">
        <f>IF(ISERROR(TER_handel_gas_kWh/1000),0,TER_handel_gas_kWh/1000)*0.902</f>
        <v>13804.06984066</v>
      </c>
      <c r="E8" s="33">
        <f>$C$28*'E Balans VL '!I13/100/3.6*1000000</f>
        <v>738.35714831950384</v>
      </c>
      <c r="F8" s="33">
        <f>$C$28*('E Balans VL '!L13+'E Balans VL '!N13)/100/3.6*1000000</f>
        <v>2625.5613555098112</v>
      </c>
      <c r="G8" s="34"/>
      <c r="H8" s="33"/>
      <c r="I8" s="33"/>
      <c r="J8" s="33">
        <f>$C$28*('E Balans VL '!D13+'E Balans VL '!E13)/100/3.6*1000000</f>
        <v>0</v>
      </c>
      <c r="K8" s="33"/>
      <c r="L8" s="33"/>
      <c r="M8" s="33"/>
      <c r="N8" s="33">
        <f>$C$28*'E Balans VL '!Y13/100/3.6*1000000</f>
        <v>10.906354637856536</v>
      </c>
      <c r="O8" s="33"/>
      <c r="P8" s="33"/>
      <c r="R8" s="32"/>
    </row>
    <row r="9" spans="1:18">
      <c r="A9" s="32" t="s">
        <v>50</v>
      </c>
      <c r="B9" s="37">
        <f t="shared" si="0"/>
        <v>5384.5642980000002</v>
      </c>
      <c r="C9" s="33"/>
      <c r="D9" s="37">
        <f>IF(ISERROR(TER_gezond_gas_kWh/1000),0,TER_gezond_gas_kWh/1000)*0.902</f>
        <v>7933.051941914001</v>
      </c>
      <c r="E9" s="33">
        <f>$C$29*'E Balans VL '!I10/100/3.6*1000000</f>
        <v>10.092426784721951</v>
      </c>
      <c r="F9" s="33">
        <f>$C$29*('E Balans VL '!L10+'E Balans VL '!N10)/100/3.6*1000000</f>
        <v>442.66031565916194</v>
      </c>
      <c r="G9" s="34"/>
      <c r="H9" s="33"/>
      <c r="I9" s="33"/>
      <c r="J9" s="33">
        <f>$C$29*('E Balans VL '!D10+'E Balans VL '!E10)/100/3.6*1000000</f>
        <v>0</v>
      </c>
      <c r="K9" s="33"/>
      <c r="L9" s="33"/>
      <c r="M9" s="33"/>
      <c r="N9" s="33">
        <f>$C$29*'E Balans VL '!Y10/100/3.6*1000000</f>
        <v>41.895927700663215</v>
      </c>
      <c r="O9" s="33"/>
      <c r="P9" s="33"/>
      <c r="R9" s="32"/>
    </row>
    <row r="10" spans="1:18">
      <c r="A10" s="32" t="s">
        <v>49</v>
      </c>
      <c r="B10" s="37">
        <f t="shared" si="0"/>
        <v>10919.37119</v>
      </c>
      <c r="C10" s="33"/>
      <c r="D10" s="37">
        <f>IF(ISERROR(TER_ander_gas_kWh/1000),0,TER_ander_gas_kWh/1000)*0.902</f>
        <v>8374.4177854480004</v>
      </c>
      <c r="E10" s="33">
        <f>$C$30*'E Balans VL '!I14/100/3.6*1000000</f>
        <v>16.832321333663668</v>
      </c>
      <c r="F10" s="33">
        <f>$C$30*('E Balans VL '!L14+'E Balans VL '!N14)/100/3.6*1000000</f>
        <v>1695.2353917056482</v>
      </c>
      <c r="G10" s="34"/>
      <c r="H10" s="33"/>
      <c r="I10" s="33"/>
      <c r="J10" s="33">
        <f>$C$30*('E Balans VL '!D14+'E Balans VL '!E14)/100/3.6*1000000</f>
        <v>0.18536784178990551</v>
      </c>
      <c r="K10" s="33"/>
      <c r="L10" s="33"/>
      <c r="M10" s="33"/>
      <c r="N10" s="33">
        <f>$C$30*'E Balans VL '!Y14/100/3.6*1000000</f>
        <v>7223.9060160843137</v>
      </c>
      <c r="O10" s="33"/>
      <c r="P10" s="33"/>
      <c r="R10" s="32"/>
    </row>
    <row r="11" spans="1:18">
      <c r="A11" s="32" t="s">
        <v>54</v>
      </c>
      <c r="B11" s="37">
        <f t="shared" si="0"/>
        <v>150.194106</v>
      </c>
      <c r="C11" s="33"/>
      <c r="D11" s="37">
        <f>IF(ISERROR(TER_onderwijs_gas_kWh/1000),0,TER_onderwijs_gas_kWh/1000)*0.902</f>
        <v>1814.3365330420002</v>
      </c>
      <c r="E11" s="33">
        <f>$C$31*'E Balans VL '!I11/100/3.6*1000000</f>
        <v>3.8309755372199361</v>
      </c>
      <c r="F11" s="33">
        <f>$C$31*('E Balans VL '!L11+'E Balans VL '!N11)/100/3.6*1000000</f>
        <v>18.062254927260522</v>
      </c>
      <c r="G11" s="34"/>
      <c r="H11" s="33"/>
      <c r="I11" s="33"/>
      <c r="J11" s="33">
        <f>$C$31*('E Balans VL '!D11+'E Balans VL '!E11)/100/3.6*1000000</f>
        <v>0</v>
      </c>
      <c r="K11" s="33"/>
      <c r="L11" s="33"/>
      <c r="M11" s="33"/>
      <c r="N11" s="33">
        <f>$C$31*'E Balans VL '!Y11/100/3.6*1000000</f>
        <v>0.33402802697623551</v>
      </c>
      <c r="O11" s="33"/>
      <c r="P11" s="33"/>
      <c r="R11" s="32"/>
    </row>
    <row r="12" spans="1:18">
      <c r="A12" s="32" t="s">
        <v>259</v>
      </c>
      <c r="B12" s="37">
        <f t="shared" si="0"/>
        <v>3882.5639799999999</v>
      </c>
      <c r="C12" s="33"/>
      <c r="D12" s="37">
        <f>IF(ISERROR(TER_rest_gas_kWh/1000),0,TER_rest_gas_kWh/1000)*0.902</f>
        <v>8400.9150384719997</v>
      </c>
      <c r="E12" s="33">
        <f>$C$32*'E Balans VL '!I8/100/3.6*1000000</f>
        <v>50.117641437953658</v>
      </c>
      <c r="F12" s="33">
        <f>$C$32*('E Balans VL '!L8+'E Balans VL '!N8)/100/3.6*1000000</f>
        <v>446.05340666109117</v>
      </c>
      <c r="G12" s="34"/>
      <c r="H12" s="33"/>
      <c r="I12" s="33"/>
      <c r="J12" s="33">
        <f>$C$32*('E Balans VL '!D8+'E Balans VL '!E8)/100/3.6*1000000</f>
        <v>7.4407284473240291E-3</v>
      </c>
      <c r="K12" s="33"/>
      <c r="L12" s="33"/>
      <c r="M12" s="33"/>
      <c r="N12" s="33">
        <f>$C$32*'E Balans VL '!Y8/100/3.6*1000000</f>
        <v>293.97544825904839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92708.007894000009</v>
      </c>
      <c r="C16" s="21">
        <f t="shared" ca="1" si="1"/>
        <v>0</v>
      </c>
      <c r="D16" s="21">
        <f t="shared" ca="1" si="1"/>
        <v>113857.57273457601</v>
      </c>
      <c r="E16" s="21">
        <f t="shared" si="1"/>
        <v>1226.0330754304059</v>
      </c>
      <c r="F16" s="21">
        <f t="shared" ca="1" si="1"/>
        <v>10678.196677119433</v>
      </c>
      <c r="G16" s="21">
        <f t="shared" si="1"/>
        <v>0</v>
      </c>
      <c r="H16" s="21">
        <f t="shared" si="1"/>
        <v>0</v>
      </c>
      <c r="I16" s="21">
        <f t="shared" si="1"/>
        <v>0</v>
      </c>
      <c r="J16" s="21">
        <f t="shared" si="1"/>
        <v>0.19280857023722953</v>
      </c>
      <c r="K16" s="21">
        <f t="shared" si="1"/>
        <v>0</v>
      </c>
      <c r="L16" s="21">
        <f t="shared" ca="1" si="1"/>
        <v>0</v>
      </c>
      <c r="M16" s="21">
        <f t="shared" si="1"/>
        <v>0</v>
      </c>
      <c r="N16" s="21">
        <f t="shared" ca="1" si="1"/>
        <v>7588.5253431315305</v>
      </c>
      <c r="O16" s="21">
        <f>O5</f>
        <v>9.7945215316823084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0.21651480885574639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20072.656608566438</v>
      </c>
      <c r="C20" s="23">
        <f t="shared" ref="C20:P20" ca="1" si="2">C16*C18</f>
        <v>0</v>
      </c>
      <c r="D20" s="23">
        <f t="shared" ca="1" si="2"/>
        <v>22999.229692384357</v>
      </c>
      <c r="E20" s="23">
        <f t="shared" si="2"/>
        <v>278.30950812270214</v>
      </c>
      <c r="F20" s="23">
        <f t="shared" ca="1" si="2"/>
        <v>2851.0785127908889</v>
      </c>
      <c r="G20" s="23">
        <f t="shared" si="2"/>
        <v>0</v>
      </c>
      <c r="H20" s="23">
        <f t="shared" si="2"/>
        <v>0</v>
      </c>
      <c r="I20" s="23">
        <f t="shared" si="2"/>
        <v>0</v>
      </c>
      <c r="J20" s="23">
        <f t="shared" si="2"/>
        <v>6.8254233863979247E-2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27823.245260000003</v>
      </c>
      <c r="C26" s="39">
        <f>IF(ISERROR(B26*3.6/1000000/'E Balans VL '!Z12*100),0,B26*3.6/1000000/'E Balans VL '!Z12*100)</f>
        <v>0.590244692844618</v>
      </c>
      <c r="D26" s="237" t="s">
        <v>716</v>
      </c>
      <c r="F26" s="6"/>
    </row>
    <row r="27" spans="1:18">
      <c r="A27" s="231" t="s">
        <v>52</v>
      </c>
      <c r="B27" s="33">
        <f>IF(ISERROR(TER_horeca_ele_kWh/1000),0,TER_horeca_ele_kWh/1000)</f>
        <v>17035.35007</v>
      </c>
      <c r="C27" s="39">
        <f>IF(ISERROR(B27*3.6/1000000/'E Balans VL '!Z9*100),0,B27*3.6/1000000/'E Balans VL '!Z9*100)</f>
        <v>1.2829127680313059</v>
      </c>
      <c r="D27" s="237" t="s">
        <v>716</v>
      </c>
      <c r="F27" s="6"/>
    </row>
    <row r="28" spans="1:18">
      <c r="A28" s="171" t="s">
        <v>51</v>
      </c>
      <c r="B28" s="33">
        <f>IF(ISERROR(TER_handel_ele_kWh/1000),0,TER_handel_ele_kWh/1000)</f>
        <v>27512.718989999998</v>
      </c>
      <c r="C28" s="39">
        <f>IF(ISERROR(B28*3.6/1000000/'E Balans VL '!Z13*100),0,B28*3.6/1000000/'E Balans VL '!Z13*100)</f>
        <v>0.79859674711034967</v>
      </c>
      <c r="D28" s="237" t="s">
        <v>716</v>
      </c>
      <c r="F28" s="6"/>
    </row>
    <row r="29" spans="1:18">
      <c r="A29" s="231" t="s">
        <v>50</v>
      </c>
      <c r="B29" s="33">
        <f>IF(ISERROR(TER_gezond_ele_kWh/1000),0,TER_gezond_ele_kWh/1000)</f>
        <v>5384.5642980000002</v>
      </c>
      <c r="C29" s="39">
        <f>IF(ISERROR(B29*3.6/1000000/'E Balans VL '!Z10*100),0,B29*3.6/1000000/'E Balans VL '!Z10*100)</f>
        <v>0.54303973080776147</v>
      </c>
      <c r="D29" s="237" t="s">
        <v>716</v>
      </c>
      <c r="F29" s="6"/>
    </row>
    <row r="30" spans="1:18">
      <c r="A30" s="231" t="s">
        <v>49</v>
      </c>
      <c r="B30" s="33">
        <f>IF(ISERROR(TER_ander_ele_kWh/1000),0,TER_ander_ele_kWh/1000)</f>
        <v>10919.37119</v>
      </c>
      <c r="C30" s="39">
        <f>IF(ISERROR(B30*3.6/1000000/'E Balans VL '!Z14*100),0,B30*3.6/1000000/'E Balans VL '!Z14*100)</f>
        <v>0.79234934737148677</v>
      </c>
      <c r="D30" s="237" t="s">
        <v>716</v>
      </c>
      <c r="F30" s="6"/>
    </row>
    <row r="31" spans="1:18">
      <c r="A31" s="231" t="s">
        <v>54</v>
      </c>
      <c r="B31" s="33">
        <f>IF(ISERROR(TER_onderwijs_ele_kWh/1000),0,TER_onderwijs_ele_kWh/1000)</f>
        <v>150.194106</v>
      </c>
      <c r="C31" s="39">
        <f>IF(ISERROR(B31*3.6/1000000/'E Balans VL '!Z11*100),0,B31*3.6/1000000/'E Balans VL '!Z11*100)</f>
        <v>4.2811436398788254E-2</v>
      </c>
      <c r="D31" s="237" t="s">
        <v>716</v>
      </c>
    </row>
    <row r="32" spans="1:18">
      <c r="A32" s="231" t="s">
        <v>259</v>
      </c>
      <c r="B32" s="33">
        <f>IF(ISERROR(TER_rest_ele_kWh/1000),0,TER_rest_ele_kWh/1000)</f>
        <v>3882.5639799999999</v>
      </c>
      <c r="C32" s="39">
        <f>IF(ISERROR(B32*3.6/1000000/'E Balans VL '!Z8*100),0,B32*3.6/1000000/'E Balans VL '!Z8*100)</f>
        <v>3.1805173282902763E-2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8446.2712189999984</v>
      </c>
      <c r="C5" s="17">
        <f>IF(ISERROR('Eigen informatie GS &amp; warmtenet'!B61),0,'Eigen informatie GS &amp; warmtenet'!B61)</f>
        <v>0</v>
      </c>
      <c r="D5" s="30">
        <f>SUM(D6:D15)</f>
        <v>10840.848356976001</v>
      </c>
      <c r="E5" s="17">
        <f>SUM(E6:E15)</f>
        <v>1352.9690635843513</v>
      </c>
      <c r="F5" s="17">
        <f>SUM(F6:F15)</f>
        <v>4239.6601455472173</v>
      </c>
      <c r="G5" s="18"/>
      <c r="H5" s="17"/>
      <c r="I5" s="17"/>
      <c r="J5" s="17">
        <f>SUM(J6:J15)</f>
        <v>18.427237402464677</v>
      </c>
      <c r="K5" s="17"/>
      <c r="L5" s="17"/>
      <c r="M5" s="17"/>
      <c r="N5" s="17">
        <f>SUM(N6:N15)</f>
        <v>539.79492712349975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211.88457399999999</v>
      </c>
      <c r="C8" s="33"/>
      <c r="D8" s="37">
        <f>IF( ISERROR(IND_metaal_Gas_kWH/1000),0,IND_metaal_Gas_kWH/1000)*0.902</f>
        <v>19.714756028</v>
      </c>
      <c r="E8" s="33">
        <f>C30*'E Balans VL '!I18/100/3.6*1000000</f>
        <v>1.5285984869171751</v>
      </c>
      <c r="F8" s="33">
        <f>C30*'E Balans VL '!L18/100/3.6*1000000+C30*'E Balans VL '!N18/100/3.6*1000000</f>
        <v>20.040373822533063</v>
      </c>
      <c r="G8" s="34"/>
      <c r="H8" s="33"/>
      <c r="I8" s="33"/>
      <c r="J8" s="40">
        <f>C30*'E Balans VL '!D18/100/3.6*1000000+C30*'E Balans VL '!E18/100/3.6*1000000</f>
        <v>0.21311473583243745</v>
      </c>
      <c r="K8" s="33"/>
      <c r="L8" s="33"/>
      <c r="M8" s="33"/>
      <c r="N8" s="33">
        <f>C30*'E Balans VL '!Y18/100/3.6*1000000</f>
        <v>2.6787816065976204</v>
      </c>
      <c r="O8" s="33"/>
      <c r="P8" s="33"/>
      <c r="R8" s="32"/>
    </row>
    <row r="9" spans="1:18">
      <c r="A9" s="6" t="s">
        <v>32</v>
      </c>
      <c r="B9" s="37">
        <f t="shared" si="0"/>
        <v>4636.1112050000002</v>
      </c>
      <c r="C9" s="33"/>
      <c r="D9" s="37">
        <f>IF( ISERROR(IND_andere_gas_kWh/1000),0,IND_andere_gas_kWh/1000)*0.902</f>
        <v>7114.0763073160006</v>
      </c>
      <c r="E9" s="33">
        <f>C31*'E Balans VL '!I19/100/3.6*1000000</f>
        <v>1284.728407478879</v>
      </c>
      <c r="F9" s="33">
        <f>C31*'E Balans VL '!L19/100/3.6*1000000+C31*'E Balans VL '!N19/100/3.6*1000000</f>
        <v>3842.4189854175283</v>
      </c>
      <c r="G9" s="34"/>
      <c r="H9" s="33"/>
      <c r="I9" s="33"/>
      <c r="J9" s="40">
        <f>C31*'E Balans VL '!D19/100/3.6*1000000+C31*'E Balans VL '!E19/100/3.6*1000000</f>
        <v>0</v>
      </c>
      <c r="K9" s="33"/>
      <c r="L9" s="33"/>
      <c r="M9" s="33"/>
      <c r="N9" s="33">
        <f>C31*'E Balans VL '!Y19/100/3.6*1000000</f>
        <v>336.52496770409374</v>
      </c>
      <c r="O9" s="33"/>
      <c r="P9" s="33"/>
      <c r="R9" s="32"/>
    </row>
    <row r="10" spans="1:18">
      <c r="A10" s="6" t="s">
        <v>40</v>
      </c>
      <c r="B10" s="37">
        <f t="shared" si="0"/>
        <v>2080.4580419999998</v>
      </c>
      <c r="C10" s="33"/>
      <c r="D10" s="37">
        <f>IF( ISERROR(IND_voed_gas_kWh/1000),0,IND_voed_gas_kWh/1000)*0.902</f>
        <v>1753.3524131640002</v>
      </c>
      <c r="E10" s="33">
        <f>C32*'E Balans VL '!I20/100/3.6*1000000</f>
        <v>3.6831154306589236</v>
      </c>
      <c r="F10" s="33">
        <f>C32*'E Balans VL '!L20/100/3.6*1000000+C32*'E Balans VL '!N20/100/3.6*1000000</f>
        <v>112.36317320222628</v>
      </c>
      <c r="G10" s="34"/>
      <c r="H10" s="33"/>
      <c r="I10" s="33"/>
      <c r="J10" s="40">
        <f>C32*'E Balans VL '!D20/100/3.6*1000000+C32*'E Balans VL '!E20/100/3.6*1000000</f>
        <v>0</v>
      </c>
      <c r="K10" s="33"/>
      <c r="L10" s="33"/>
      <c r="M10" s="33"/>
      <c r="N10" s="33">
        <f>C32*'E Balans VL '!Y20/100/3.6*1000000</f>
        <v>120.8905008962535</v>
      </c>
      <c r="O10" s="33"/>
      <c r="P10" s="33"/>
      <c r="R10" s="32"/>
    </row>
    <row r="11" spans="1:18">
      <c r="A11" s="6" t="s">
        <v>39</v>
      </c>
      <c r="B11" s="37">
        <f t="shared" si="0"/>
        <v>112.93364800000001</v>
      </c>
      <c r="C11" s="33"/>
      <c r="D11" s="37">
        <f>IF( ISERROR(IND_textiel_gas_kWh/1000),0,IND_textiel_gas_kWh/1000)*0.902</f>
        <v>52.047671235999999</v>
      </c>
      <c r="E11" s="33">
        <f>C33*'E Balans VL '!I21/100/3.6*1000000</f>
        <v>0.39810283114461714</v>
      </c>
      <c r="F11" s="33">
        <f>C33*'E Balans VL '!L21/100/3.6*1000000+C33*'E Balans VL '!N21/100/3.6*1000000</f>
        <v>3.3147714454112904</v>
      </c>
      <c r="G11" s="34"/>
      <c r="H11" s="33"/>
      <c r="I11" s="33"/>
      <c r="J11" s="40">
        <f>C33*'E Balans VL '!D21/100/3.6*1000000+C33*'E Balans VL '!E21/100/3.6*1000000</f>
        <v>0</v>
      </c>
      <c r="K11" s="33"/>
      <c r="L11" s="33"/>
      <c r="M11" s="33"/>
      <c r="N11" s="33">
        <f>C33*'E Balans VL '!Y21/100/3.6*1000000</f>
        <v>4.9758403648487946</v>
      </c>
      <c r="O11" s="33"/>
      <c r="P11" s="33"/>
      <c r="R11" s="32"/>
    </row>
    <row r="12" spans="1:18">
      <c r="A12" s="6" t="s">
        <v>36</v>
      </c>
      <c r="B12" s="37">
        <f t="shared" si="0"/>
        <v>113.26644899999999</v>
      </c>
      <c r="C12" s="33"/>
      <c r="D12" s="37">
        <f>IF( ISERROR(IND_min_gas_kWh/1000),0,IND_min_gas_kWh/1000)*0.902</f>
        <v>62.142987829999988</v>
      </c>
      <c r="E12" s="33">
        <f>C34*'E Balans VL '!I22/100/3.6*1000000</f>
        <v>4.9878503886870069</v>
      </c>
      <c r="F12" s="33">
        <f>C34*'E Balans VL '!L22/100/3.6*1000000+C34*'E Balans VL '!N22/100/3.6*1000000</f>
        <v>44.291755887924673</v>
      </c>
      <c r="G12" s="34"/>
      <c r="H12" s="33"/>
      <c r="I12" s="33"/>
      <c r="J12" s="40">
        <f>C34*'E Balans VL '!D22/100/3.6*1000000+C34*'E Balans VL '!E22/100/3.6*1000000</f>
        <v>3.4391718948512298E-2</v>
      </c>
      <c r="K12" s="33"/>
      <c r="L12" s="33"/>
      <c r="M12" s="33"/>
      <c r="N12" s="33">
        <f>C34*'E Balans VL '!Y22/100/3.6*1000000</f>
        <v>28.018686933802716</v>
      </c>
      <c r="O12" s="33"/>
      <c r="P12" s="33"/>
      <c r="R12" s="32"/>
    </row>
    <row r="13" spans="1:18">
      <c r="A13" s="6" t="s">
        <v>38</v>
      </c>
      <c r="B13" s="37">
        <f t="shared" si="0"/>
        <v>74.244398000000004</v>
      </c>
      <c r="C13" s="33"/>
      <c r="D13" s="37">
        <f>IF( ISERROR(IND_papier_gas_kWh/1000),0,IND_papier_gas_kWh/1000)*0.902</f>
        <v>172.01833818400002</v>
      </c>
      <c r="E13" s="33">
        <f>C35*'E Balans VL '!I23/100/3.6*1000000</f>
        <v>0.10923900351245848</v>
      </c>
      <c r="F13" s="33">
        <f>C35*'E Balans VL '!L23/100/3.6*1000000+C35*'E Balans VL '!N23/100/3.6*1000000</f>
        <v>0.79495752733962666</v>
      </c>
      <c r="G13" s="34"/>
      <c r="H13" s="33"/>
      <c r="I13" s="33"/>
      <c r="J13" s="40">
        <f>C35*'E Balans VL '!D23/100/3.6*1000000+C35*'E Balans VL '!E23/100/3.6*1000000</f>
        <v>8.1227534819972185</v>
      </c>
      <c r="K13" s="33"/>
      <c r="L13" s="33"/>
      <c r="M13" s="33"/>
      <c r="N13" s="33">
        <f>C35*'E Balans VL '!Y23/100/3.6*1000000</f>
        <v>-0.67259062825481741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1217.372903</v>
      </c>
      <c r="C15" s="33"/>
      <c r="D15" s="37">
        <f>IF( ISERROR(IND_rest_gas_kWh/1000),0,IND_rest_gas_kWh/1000)*0.902</f>
        <v>1667.495883218</v>
      </c>
      <c r="E15" s="33">
        <f>C37*'E Balans VL '!I15/100/3.6*1000000</f>
        <v>57.53374996455198</v>
      </c>
      <c r="F15" s="33">
        <f>C37*'E Balans VL '!L15/100/3.6*1000000+C37*'E Balans VL '!N15/100/3.6*1000000</f>
        <v>216.43612824425395</v>
      </c>
      <c r="G15" s="34"/>
      <c r="H15" s="33"/>
      <c r="I15" s="33"/>
      <c r="J15" s="40">
        <f>C37*'E Balans VL '!D15/100/3.6*1000000+C37*'E Balans VL '!E15/100/3.6*1000000</f>
        <v>10.056977465686506</v>
      </c>
      <c r="K15" s="33"/>
      <c r="L15" s="33"/>
      <c r="M15" s="33"/>
      <c r="N15" s="33">
        <f>C37*'E Balans VL '!Y15/100/3.6*1000000</f>
        <v>47.378740246158145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8446.2712189999984</v>
      </c>
      <c r="C18" s="21">
        <f>C5+C16</f>
        <v>0</v>
      </c>
      <c r="D18" s="21">
        <f>MAX((D5+D16),0)</f>
        <v>10840.848356976001</v>
      </c>
      <c r="E18" s="21">
        <f>MAX((E5+E16),0)</f>
        <v>1352.9690635843513</v>
      </c>
      <c r="F18" s="21">
        <f>MAX((F5+F16),0)</f>
        <v>4239.6601455472173</v>
      </c>
      <c r="G18" s="21"/>
      <c r="H18" s="21"/>
      <c r="I18" s="21"/>
      <c r="J18" s="21">
        <f>MAX((J5+J16),0)</f>
        <v>18.427237402464677</v>
      </c>
      <c r="K18" s="21"/>
      <c r="L18" s="21">
        <f>MAX((L5+L16),0)</f>
        <v>0</v>
      </c>
      <c r="M18" s="21"/>
      <c r="N18" s="21">
        <f>MAX((N5+N16),0)</f>
        <v>539.79492712349975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0.21651480885574639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1828.7427985255767</v>
      </c>
      <c r="C22" s="23">
        <f ca="1">C18*C20</f>
        <v>0</v>
      </c>
      <c r="D22" s="23">
        <f>D18*D20</f>
        <v>2189.8513681091522</v>
      </c>
      <c r="E22" s="23">
        <f>E18*E20</f>
        <v>307.12397743364772</v>
      </c>
      <c r="F22" s="23">
        <f>F18*F20</f>
        <v>1131.9892588611071</v>
      </c>
      <c r="G22" s="23"/>
      <c r="H22" s="23"/>
      <c r="I22" s="23"/>
      <c r="J22" s="23">
        <f>J18*J20</f>
        <v>6.5232420404724953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211.88457399999999</v>
      </c>
      <c r="C30" s="39">
        <f>IF(ISERROR(B30*3.6/1000000/'E Balans VL '!Z18*100),0,B30*3.6/1000000/'E Balans VL '!Z18*100)</f>
        <v>1.2231765843419116E-2</v>
      </c>
      <c r="D30" s="237" t="s">
        <v>716</v>
      </c>
    </row>
    <row r="31" spans="1:18">
      <c r="A31" s="6" t="s">
        <v>32</v>
      </c>
      <c r="B31" s="37">
        <f>IF( ISERROR(IND_ander_ele_kWh/1000),0,IND_ander_ele_kWh/1000)</f>
        <v>4636.1112050000002</v>
      </c>
      <c r="C31" s="39">
        <f>IF(ISERROR(B31*3.6/1000000/'E Balans VL '!Z19*100),0,B31*3.6/1000000/'E Balans VL '!Z19*100)</f>
        <v>0.23318136623890354</v>
      </c>
      <c r="D31" s="237" t="s">
        <v>716</v>
      </c>
    </row>
    <row r="32" spans="1:18">
      <c r="A32" s="171" t="s">
        <v>40</v>
      </c>
      <c r="B32" s="37">
        <f>IF( ISERROR(IND_voed_ele_kWh/1000),0,IND_voed_ele_kWh/1000)</f>
        <v>2080.4580419999998</v>
      </c>
      <c r="C32" s="39">
        <f>IF(ISERROR(B32*3.6/1000000/'E Balans VL '!Z20*100),0,B32*3.6/1000000/'E Balans VL '!Z20*100)</f>
        <v>6.929160707458458E-2</v>
      </c>
      <c r="D32" s="237" t="s">
        <v>716</v>
      </c>
    </row>
    <row r="33" spans="1:5">
      <c r="A33" s="171" t="s">
        <v>39</v>
      </c>
      <c r="B33" s="37">
        <f>IF( ISERROR(IND_textiel_ele_kWh/1000),0,IND_textiel_ele_kWh/1000)</f>
        <v>112.93364800000001</v>
      </c>
      <c r="C33" s="39">
        <f>IF(ISERROR(B33*3.6/1000000/'E Balans VL '!Z21*100),0,B33*3.6/1000000/'E Balans VL '!Z21*100)</f>
        <v>1.7607793078471788E-2</v>
      </c>
      <c r="D33" s="237" t="s">
        <v>716</v>
      </c>
    </row>
    <row r="34" spans="1:5">
      <c r="A34" s="171" t="s">
        <v>36</v>
      </c>
      <c r="B34" s="37">
        <f>IF( ISERROR(IND_min_ele_kWh/1000),0,IND_min_ele_kWh/1000)</f>
        <v>113.26644899999999</v>
      </c>
      <c r="C34" s="39">
        <f>IF(ISERROR(B34*3.6/1000000/'E Balans VL '!Z22*100),0,B34*3.6/1000000/'E Balans VL '!Z22*100)</f>
        <v>2.1128018466661732E-2</v>
      </c>
      <c r="D34" s="237" t="s">
        <v>716</v>
      </c>
    </row>
    <row r="35" spans="1:5">
      <c r="A35" s="171" t="s">
        <v>38</v>
      </c>
      <c r="B35" s="37">
        <f>IF( ISERROR(IND_papier_ele_kWh/1000),0,IND_papier_ele_kWh/1000)</f>
        <v>74.244398000000004</v>
      </c>
      <c r="C35" s="39">
        <f>IF(ISERROR(B35*3.6/1000000/'E Balans VL '!Z22*100),0,B35*3.6/1000000/'E Balans VL '!Z22*100)</f>
        <v>1.3849087932386608E-2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1217.372903</v>
      </c>
      <c r="C37" s="39">
        <f>IF(ISERROR(B37*3.6/1000000/'E Balans VL '!Z15*100),0,B37*3.6/1000000/'E Balans VL '!Z15*100)</f>
        <v>9.4988377093141885E-3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1996.2493980000002</v>
      </c>
      <c r="C5" s="17">
        <f>'Eigen informatie GS &amp; warmtenet'!B62</f>
        <v>0</v>
      </c>
      <c r="D5" s="30">
        <f>IF(ISERROR(SUM(LB_lb_gas_kWh,LB_rest_gas_kWh)/1000),0,SUM(LB_lb_gas_kWh,LB_rest_gas_kWh)/1000)*0.902</f>
        <v>906.65457526600005</v>
      </c>
      <c r="E5" s="17">
        <f>B17*'E Balans VL '!I25/3.6*1000000/100</f>
        <v>62.302285429739378</v>
      </c>
      <c r="F5" s="17">
        <f>B17*('E Balans VL '!L25/3.6*1000000+'E Balans VL '!N25/3.6*1000000)/100</f>
        <v>7054.9665110748774</v>
      </c>
      <c r="G5" s="18"/>
      <c r="H5" s="17"/>
      <c r="I5" s="17"/>
      <c r="J5" s="17">
        <f>('E Balans VL '!D25+'E Balans VL '!E25)/3.6*1000000*landbouw!B17/100</f>
        <v>549.98055301724833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1996.2493980000002</v>
      </c>
      <c r="C8" s="21">
        <f>C5+C6</f>
        <v>0</v>
      </c>
      <c r="D8" s="21">
        <f>MAX((D5+D6),0)</f>
        <v>906.65457526600005</v>
      </c>
      <c r="E8" s="21">
        <f>MAX((E5+E6),0)</f>
        <v>62.302285429739378</v>
      </c>
      <c r="F8" s="21">
        <f>MAX((F5+F6),0)</f>
        <v>7054.9665110748774</v>
      </c>
      <c r="G8" s="21"/>
      <c r="H8" s="21"/>
      <c r="I8" s="21"/>
      <c r="J8" s="21">
        <f>MAX((J5+J6),0)</f>
        <v>549.98055301724833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0.21651480885574639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432.21755683636883</v>
      </c>
      <c r="C12" s="23">
        <f ca="1">C8*C10</f>
        <v>0</v>
      </c>
      <c r="D12" s="23">
        <f>D8*D10</f>
        <v>183.14422420373202</v>
      </c>
      <c r="E12" s="23">
        <f>E8*E10</f>
        <v>14.14261879255084</v>
      </c>
      <c r="F12" s="23">
        <f>F8*F10</f>
        <v>1883.6760584569925</v>
      </c>
      <c r="G12" s="23"/>
      <c r="H12" s="23"/>
      <c r="I12" s="23"/>
      <c r="J12" s="23">
        <f>J8*J10</f>
        <v>194.69311576810588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0.29675678348390383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353.93786631249264</v>
      </c>
      <c r="C26" s="247">
        <f>B26*'GWP N2O_CH4'!B5</f>
        <v>7432.6951925623453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65.966494970525261</v>
      </c>
      <c r="C27" s="247">
        <f>B27*'GWP N2O_CH4'!B5</f>
        <v>1385.2963943810305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4.8075680512322423</v>
      </c>
      <c r="C28" s="247">
        <f>B28*'GWP N2O_CH4'!B4</f>
        <v>1490.3460958819951</v>
      </c>
      <c r="D28" s="50"/>
    </row>
    <row r="29" spans="1:4">
      <c r="A29" s="41" t="s">
        <v>276</v>
      </c>
      <c r="B29" s="247">
        <f>B34*'ha_N2O bodem landbouw'!B4</f>
        <v>22.007413131033672</v>
      </c>
      <c r="C29" s="247">
        <f>B29*'GWP N2O_CH4'!B4</f>
        <v>6822.298070620438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4.8258294650715215E-3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2.7410155895499997E-4</v>
      </c>
      <c r="C5" s="463" t="s">
        <v>210</v>
      </c>
      <c r="D5" s="448">
        <f>SUM(D6:D11)</f>
        <v>1.1076437944294801E-3</v>
      </c>
      <c r="E5" s="448">
        <f>SUM(E6:E11)</f>
        <v>8.5222284057047491E-4</v>
      </c>
      <c r="F5" s="461" t="s">
        <v>210</v>
      </c>
      <c r="G5" s="448">
        <f>SUM(G6:G11)</f>
        <v>0.35330815296663792</v>
      </c>
      <c r="H5" s="448">
        <f>SUM(H6:H11)</f>
        <v>8.2473480284505379E-2</v>
      </c>
      <c r="I5" s="463" t="s">
        <v>210</v>
      </c>
      <c r="J5" s="463" t="s">
        <v>210</v>
      </c>
      <c r="K5" s="463" t="s">
        <v>210</v>
      </c>
      <c r="L5" s="463" t="s">
        <v>210</v>
      </c>
      <c r="M5" s="448">
        <f>SUM(M6:M11)</f>
        <v>2.5792534282819628E-2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2.1636033874999997E-4</v>
      </c>
      <c r="C6" s="449"/>
      <c r="D6" s="917">
        <f>vkm_2011_GW_PW*SUMIFS(TableVerdeelsleutelVkm[CNG],TableVerdeelsleutelVkm[Voertuigtype],"Lichte voertuigen")*SUMIFS(TableECFTransport[EnergieConsumptieFactor (PJ per km)],TableECFTransport[Index],CONCATENATE($A6,"_CNG_CNG"))</f>
        <v>7.5232175102700005E-4</v>
      </c>
      <c r="E6" s="917">
        <f>vkm_2011_GW_PW*SUMIFS(TableVerdeelsleutelVkm[LPG],TableVerdeelsleutelVkm[Voertuigtype],"Lichte voertuigen")*SUMIFS(TableECFTransport[EnergieConsumptieFactor (PJ per km)],TableECFTransport[Index],CONCATENATE($A6,"_LPG_LPG"))</f>
        <v>5.9270559089999995E-4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0.1613413534921391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5.6458757681394175E-2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1.3014925592134727E-2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0.11194533599361986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2.820263755934862E-5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6.4551178149770284E-3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5.7741220204999995E-5</v>
      </c>
      <c r="C8" s="449"/>
      <c r="D8" s="451">
        <f>vkm_2011_NGW_PW*SUMIFS(TableVerdeelsleutelVkm[CNG],TableVerdeelsleutelVkm[Voertuigtype],"Lichte voertuigen")*SUMIFS(TableECFTransport[EnergieConsumptieFactor (PJ per km)],TableECFTransport[Index],CONCATENATE($A8,"_CNG_CNG"))</f>
        <v>3.5532204340248E-4</v>
      </c>
      <c r="E8" s="451">
        <f>vkm_2011_NGW_PW*SUMIFS(TableVerdeelsleutelVkm[LPG],TableVerdeelsleutelVkm[Voertuigtype],"Lichte voertuigen")*SUMIFS(TableECFTransport[EnergieConsumptieFactor (PJ per km)],TableECFTransport[Index],CONCATENATE($A8,"_LPG_LPG"))</f>
        <v>2.5951724967047501E-4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6.5555119528392727E-2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2.5983081144321653E-2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5.488329820543543E-3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1.4466343952486254E-2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3.438821230200362E-6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8.3416105516433202E-4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76.139321931944437</v>
      </c>
      <c r="C14" s="21"/>
      <c r="D14" s="21">
        <f t="shared" ref="D14:M14" si="0">((D5)*10^9/3600)+D12</f>
        <v>307.67883178596668</v>
      </c>
      <c r="E14" s="21">
        <f t="shared" si="0"/>
        <v>236.72856682513191</v>
      </c>
      <c r="F14" s="21"/>
      <c r="G14" s="21">
        <f t="shared" si="0"/>
        <v>98141.153601843864</v>
      </c>
      <c r="H14" s="21">
        <f t="shared" si="0"/>
        <v>22909.300079029272</v>
      </c>
      <c r="I14" s="21"/>
      <c r="J14" s="21"/>
      <c r="K14" s="21"/>
      <c r="L14" s="21"/>
      <c r="M14" s="21">
        <f t="shared" si="0"/>
        <v>7164.5928563387861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0.21651480885574639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16.485290734501088</v>
      </c>
      <c r="C18" s="23"/>
      <c r="D18" s="23">
        <f t="shared" ref="D18:M18" si="1">D14*D16</f>
        <v>62.151124020765273</v>
      </c>
      <c r="E18" s="23">
        <f t="shared" si="1"/>
        <v>53.737384669304944</v>
      </c>
      <c r="F18" s="23"/>
      <c r="G18" s="23">
        <f t="shared" si="1"/>
        <v>26203.688011692313</v>
      </c>
      <c r="H18" s="23">
        <f t="shared" si="1"/>
        <v>5704.415719678289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2.2570053299999998E-3</v>
      </c>
      <c r="C50" s="321">
        <f t="shared" ref="C50:P50" si="2">SUM(C51:C52)</f>
        <v>0</v>
      </c>
      <c r="D50" s="321">
        <f t="shared" si="2"/>
        <v>0</v>
      </c>
      <c r="E50" s="321">
        <f t="shared" si="2"/>
        <v>0</v>
      </c>
      <c r="F50" s="321">
        <f t="shared" si="2"/>
        <v>0</v>
      </c>
      <c r="G50" s="321">
        <f t="shared" si="2"/>
        <v>5.3074573477786139E-3</v>
      </c>
      <c r="H50" s="321">
        <f t="shared" si="2"/>
        <v>0</v>
      </c>
      <c r="I50" s="321">
        <f t="shared" si="2"/>
        <v>0</v>
      </c>
      <c r="J50" s="321">
        <f t="shared" si="2"/>
        <v>0</v>
      </c>
      <c r="K50" s="321">
        <f t="shared" si="2"/>
        <v>0</v>
      </c>
      <c r="L50" s="321">
        <f t="shared" si="2"/>
        <v>0</v>
      </c>
      <c r="M50" s="321">
        <f t="shared" si="2"/>
        <v>2.9498906662743095E-4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5.3074573477786139E-3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2.9498906662743095E-4</v>
      </c>
      <c r="N51" s="323"/>
      <c r="O51" s="323"/>
      <c r="P51" s="326"/>
    </row>
    <row r="52" spans="1:18">
      <c r="A52" s="4" t="s">
        <v>329</v>
      </c>
      <c r="B52" s="918">
        <f>vkm_2011_tram*SUMIFS(TableECFTransport[EnergieConsumptieFactor (PJ per km)],TableECFTransport[Index],"Tram_gemiddeld_Electric_Electric")</f>
        <v>2.2570053299999998E-3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626.94592499999999</v>
      </c>
      <c r="C54" s="21">
        <f t="shared" ref="C54:P54" si="3">(C50)*10^9/3600</f>
        <v>0</v>
      </c>
      <c r="D54" s="21">
        <f t="shared" si="3"/>
        <v>0</v>
      </c>
      <c r="E54" s="21">
        <f t="shared" si="3"/>
        <v>0</v>
      </c>
      <c r="F54" s="21">
        <f t="shared" si="3"/>
        <v>0</v>
      </c>
      <c r="G54" s="21">
        <f t="shared" si="3"/>
        <v>1474.2937077162817</v>
      </c>
      <c r="H54" s="21">
        <f t="shared" si="3"/>
        <v>0</v>
      </c>
      <c r="I54" s="21">
        <f t="shared" si="3"/>
        <v>0</v>
      </c>
      <c r="J54" s="21">
        <f t="shared" si="3"/>
        <v>0</v>
      </c>
      <c r="K54" s="21">
        <f t="shared" si="3"/>
        <v>0</v>
      </c>
      <c r="L54" s="21">
        <f t="shared" si="3"/>
        <v>0</v>
      </c>
      <c r="M54" s="21">
        <f t="shared" si="3"/>
        <v>81.941407396508595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0.21651480885574639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135.74307711426411</v>
      </c>
      <c r="C58" s="23">
        <f t="shared" ref="C58:P58" ca="1" si="4">C54*C56</f>
        <v>0</v>
      </c>
      <c r="D58" s="23">
        <f t="shared" si="4"/>
        <v>0</v>
      </c>
      <c r="E58" s="23">
        <f t="shared" si="4"/>
        <v>0</v>
      </c>
      <c r="F58" s="23">
        <f t="shared" si="4"/>
        <v>0</v>
      </c>
      <c r="G58" s="23">
        <f t="shared" si="4"/>
        <v>393.63641996024722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95756.416894000009</v>
      </c>
      <c r="D10" s="712">
        <f ca="1">tertiair!C16</f>
        <v>0</v>
      </c>
      <c r="E10" s="712">
        <f ca="1">tertiair!D16</f>
        <v>113857.57273457601</v>
      </c>
      <c r="F10" s="712">
        <f>tertiair!E16</f>
        <v>1226.0330754304059</v>
      </c>
      <c r="G10" s="712">
        <f ca="1">tertiair!F16</f>
        <v>10678.196677119433</v>
      </c>
      <c r="H10" s="712">
        <f>tertiair!G16</f>
        <v>0</v>
      </c>
      <c r="I10" s="712">
        <f>tertiair!H16</f>
        <v>0</v>
      </c>
      <c r="J10" s="712">
        <f>tertiair!I16</f>
        <v>0</v>
      </c>
      <c r="K10" s="712">
        <f>tertiair!J16</f>
        <v>0.19280857023722953</v>
      </c>
      <c r="L10" s="712">
        <f>tertiair!K16</f>
        <v>0</v>
      </c>
      <c r="M10" s="712">
        <f ca="1">tertiair!L16</f>
        <v>0</v>
      </c>
      <c r="N10" s="712">
        <f>tertiair!M16</f>
        <v>0</v>
      </c>
      <c r="O10" s="712">
        <f ca="1">tertiair!N16</f>
        <v>7588.5253431315305</v>
      </c>
      <c r="P10" s="712">
        <f>tertiair!O16</f>
        <v>9.7945215316823084</v>
      </c>
      <c r="Q10" s="713">
        <f>tertiair!P16</f>
        <v>262.69569153247511</v>
      </c>
      <c r="R10" s="715">
        <f ca="1">SUM(C10:Q10)</f>
        <v>229379.42774589179</v>
      </c>
      <c r="S10" s="67"/>
    </row>
    <row r="11" spans="1:19" s="474" customFormat="1">
      <c r="A11" s="834" t="s">
        <v>224</v>
      </c>
      <c r="B11" s="839"/>
      <c r="C11" s="712">
        <f>huishoudens!B8</f>
        <v>64836.60491653371</v>
      </c>
      <c r="D11" s="712">
        <f>huishoudens!C8</f>
        <v>0</v>
      </c>
      <c r="E11" s="712">
        <f>huishoudens!D8</f>
        <v>195674.48149843002</v>
      </c>
      <c r="F11" s="712">
        <f>huishoudens!E8</f>
        <v>0</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0</v>
      </c>
      <c r="P11" s="712">
        <f>huishoudens!O8</f>
        <v>287.67394181111962</v>
      </c>
      <c r="Q11" s="713">
        <f>huishoudens!P8</f>
        <v>410.82441299971589</v>
      </c>
      <c r="R11" s="715">
        <f>SUM(C11:Q11)</f>
        <v>261209.58476977455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8446.2712189999984</v>
      </c>
      <c r="D13" s="712">
        <f>industrie!C18</f>
        <v>0</v>
      </c>
      <c r="E13" s="712">
        <f>industrie!D18</f>
        <v>10840.848356976001</v>
      </c>
      <c r="F13" s="712">
        <f>industrie!E18</f>
        <v>1352.9690635843513</v>
      </c>
      <c r="G13" s="712">
        <f>industrie!F18</f>
        <v>4239.6601455472173</v>
      </c>
      <c r="H13" s="712">
        <f>industrie!G18</f>
        <v>0</v>
      </c>
      <c r="I13" s="712">
        <f>industrie!H18</f>
        <v>0</v>
      </c>
      <c r="J13" s="712">
        <f>industrie!I18</f>
        <v>0</v>
      </c>
      <c r="K13" s="712">
        <f>industrie!J18</f>
        <v>18.427237402464677</v>
      </c>
      <c r="L13" s="712">
        <f>industrie!K18</f>
        <v>0</v>
      </c>
      <c r="M13" s="712">
        <f>industrie!L18</f>
        <v>0</v>
      </c>
      <c r="N13" s="712">
        <f>industrie!M18</f>
        <v>0</v>
      </c>
      <c r="O13" s="712">
        <f>industrie!N18</f>
        <v>539.79492712349975</v>
      </c>
      <c r="P13" s="712">
        <f>industrie!O18</f>
        <v>0</v>
      </c>
      <c r="Q13" s="713">
        <f>industrie!P18</f>
        <v>0</v>
      </c>
      <c r="R13" s="715">
        <f>SUM(C13:Q13)</f>
        <v>25437.970949633538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169039.2930295337</v>
      </c>
      <c r="D16" s="748">
        <f t="shared" ref="D16:R16" ca="1" si="0">SUM(D9:D15)</f>
        <v>0</v>
      </c>
      <c r="E16" s="748">
        <f t="shared" ca="1" si="0"/>
        <v>320372.90258998203</v>
      </c>
      <c r="F16" s="748">
        <f t="shared" si="0"/>
        <v>2579.0021390147572</v>
      </c>
      <c r="G16" s="748">
        <f t="shared" ca="1" si="0"/>
        <v>14917.85682266665</v>
      </c>
      <c r="H16" s="748">
        <f t="shared" si="0"/>
        <v>0</v>
      </c>
      <c r="I16" s="748">
        <f t="shared" si="0"/>
        <v>0</v>
      </c>
      <c r="J16" s="748">
        <f t="shared" si="0"/>
        <v>0</v>
      </c>
      <c r="K16" s="748">
        <f t="shared" si="0"/>
        <v>18.620045972701906</v>
      </c>
      <c r="L16" s="748">
        <f t="shared" si="0"/>
        <v>0</v>
      </c>
      <c r="M16" s="748">
        <f t="shared" ca="1" si="0"/>
        <v>0</v>
      </c>
      <c r="N16" s="748">
        <f t="shared" si="0"/>
        <v>0</v>
      </c>
      <c r="O16" s="748">
        <f t="shared" ca="1" si="0"/>
        <v>8128.3202702550298</v>
      </c>
      <c r="P16" s="748">
        <f t="shared" si="0"/>
        <v>297.46846334280195</v>
      </c>
      <c r="Q16" s="748">
        <f t="shared" si="0"/>
        <v>673.520104532191</v>
      </c>
      <c r="R16" s="748">
        <f t="shared" ca="1" si="0"/>
        <v>516026.98346529983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626.94592499999999</v>
      </c>
      <c r="D19" s="712">
        <f>transport!C54</f>
        <v>0</v>
      </c>
      <c r="E19" s="712">
        <f>transport!D54</f>
        <v>0</v>
      </c>
      <c r="F19" s="712">
        <f>transport!E54</f>
        <v>0</v>
      </c>
      <c r="G19" s="712">
        <f>transport!F54</f>
        <v>0</v>
      </c>
      <c r="H19" s="712">
        <f>transport!G54</f>
        <v>1474.2937077162817</v>
      </c>
      <c r="I19" s="712">
        <f>transport!H54</f>
        <v>0</v>
      </c>
      <c r="J19" s="712">
        <f>transport!I54</f>
        <v>0</v>
      </c>
      <c r="K19" s="712">
        <f>transport!J54</f>
        <v>0</v>
      </c>
      <c r="L19" s="712">
        <f>transport!K54</f>
        <v>0</v>
      </c>
      <c r="M19" s="712">
        <f>transport!L54</f>
        <v>0</v>
      </c>
      <c r="N19" s="712">
        <f>transport!M54</f>
        <v>81.941407396508595</v>
      </c>
      <c r="O19" s="712">
        <f>transport!N54</f>
        <v>0</v>
      </c>
      <c r="P19" s="712">
        <f>transport!O54</f>
        <v>0</v>
      </c>
      <c r="Q19" s="713">
        <f>transport!P54</f>
        <v>0</v>
      </c>
      <c r="R19" s="715">
        <f>SUM(C19:Q19)</f>
        <v>2183.18104011279</v>
      </c>
      <c r="S19" s="67"/>
    </row>
    <row r="20" spans="1:19" s="474" customFormat="1">
      <c r="A20" s="834" t="s">
        <v>306</v>
      </c>
      <c r="B20" s="839"/>
      <c r="C20" s="712">
        <f>transport!B14</f>
        <v>76.139321931944437</v>
      </c>
      <c r="D20" s="712">
        <f>transport!C14</f>
        <v>0</v>
      </c>
      <c r="E20" s="712">
        <f>transport!D14</f>
        <v>307.67883178596668</v>
      </c>
      <c r="F20" s="712">
        <f>transport!E14</f>
        <v>236.72856682513191</v>
      </c>
      <c r="G20" s="712">
        <f>transport!F14</f>
        <v>0</v>
      </c>
      <c r="H20" s="712">
        <f>transport!G14</f>
        <v>98141.153601843864</v>
      </c>
      <c r="I20" s="712">
        <f>transport!H14</f>
        <v>22909.300079029272</v>
      </c>
      <c r="J20" s="712">
        <f>transport!I14</f>
        <v>0</v>
      </c>
      <c r="K20" s="712">
        <f>transport!J14</f>
        <v>0</v>
      </c>
      <c r="L20" s="712">
        <f>transport!K14</f>
        <v>0</v>
      </c>
      <c r="M20" s="712">
        <f>transport!L14</f>
        <v>0</v>
      </c>
      <c r="N20" s="712">
        <f>transport!M14</f>
        <v>7164.5928563387861</v>
      </c>
      <c r="O20" s="712">
        <f>transport!N14</f>
        <v>0</v>
      </c>
      <c r="P20" s="712">
        <f>transport!O14</f>
        <v>0</v>
      </c>
      <c r="Q20" s="713">
        <f>transport!P14</f>
        <v>0</v>
      </c>
      <c r="R20" s="715">
        <f>SUM(C20:Q20)</f>
        <v>128835.59325775497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703.08524693194443</v>
      </c>
      <c r="D22" s="837">
        <f t="shared" ref="D22:R22" si="1">SUM(D18:D21)</f>
        <v>0</v>
      </c>
      <c r="E22" s="837">
        <f t="shared" si="1"/>
        <v>307.67883178596668</v>
      </c>
      <c r="F22" s="837">
        <f t="shared" si="1"/>
        <v>236.72856682513191</v>
      </c>
      <c r="G22" s="837">
        <f t="shared" si="1"/>
        <v>0</v>
      </c>
      <c r="H22" s="837">
        <f t="shared" si="1"/>
        <v>99615.447309560142</v>
      </c>
      <c r="I22" s="837">
        <f t="shared" si="1"/>
        <v>22909.300079029272</v>
      </c>
      <c r="J22" s="837">
        <f t="shared" si="1"/>
        <v>0</v>
      </c>
      <c r="K22" s="837">
        <f t="shared" si="1"/>
        <v>0</v>
      </c>
      <c r="L22" s="837">
        <f t="shared" si="1"/>
        <v>0</v>
      </c>
      <c r="M22" s="837">
        <f t="shared" si="1"/>
        <v>0</v>
      </c>
      <c r="N22" s="837">
        <f t="shared" si="1"/>
        <v>7246.5342637352951</v>
      </c>
      <c r="O22" s="837">
        <f t="shared" si="1"/>
        <v>0</v>
      </c>
      <c r="P22" s="837">
        <f t="shared" si="1"/>
        <v>0</v>
      </c>
      <c r="Q22" s="837">
        <f t="shared" si="1"/>
        <v>0</v>
      </c>
      <c r="R22" s="837">
        <f t="shared" si="1"/>
        <v>131018.77429786776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1996.2493980000002</v>
      </c>
      <c r="D24" s="712">
        <f>+landbouw!C8</f>
        <v>0</v>
      </c>
      <c r="E24" s="712">
        <f>+landbouw!D8</f>
        <v>906.65457526600005</v>
      </c>
      <c r="F24" s="712">
        <f>+landbouw!E8</f>
        <v>62.302285429739378</v>
      </c>
      <c r="G24" s="712">
        <f>+landbouw!F8</f>
        <v>7054.9665110748774</v>
      </c>
      <c r="H24" s="712">
        <f>+landbouw!G8</f>
        <v>0</v>
      </c>
      <c r="I24" s="712">
        <f>+landbouw!H8</f>
        <v>0</v>
      </c>
      <c r="J24" s="712">
        <f>+landbouw!I8</f>
        <v>0</v>
      </c>
      <c r="K24" s="712">
        <f>+landbouw!J8</f>
        <v>549.98055301724833</v>
      </c>
      <c r="L24" s="712">
        <f>+landbouw!K8</f>
        <v>0</v>
      </c>
      <c r="M24" s="712">
        <f>+landbouw!L8</f>
        <v>0</v>
      </c>
      <c r="N24" s="712">
        <f>+landbouw!M8</f>
        <v>0</v>
      </c>
      <c r="O24" s="712">
        <f>+landbouw!N8</f>
        <v>0</v>
      </c>
      <c r="P24" s="712">
        <f>+landbouw!O8</f>
        <v>0</v>
      </c>
      <c r="Q24" s="713">
        <f>+landbouw!P8</f>
        <v>0</v>
      </c>
      <c r="R24" s="715">
        <f>SUM(C24:Q24)</f>
        <v>10570.153322787866</v>
      </c>
      <c r="S24" s="67"/>
    </row>
    <row r="25" spans="1:19" s="474" customFormat="1" ht="15" thickBot="1">
      <c r="A25" s="856" t="s">
        <v>734</v>
      </c>
      <c r="B25" s="982"/>
      <c r="C25" s="983">
        <f>IF(Onbekend_ele_kWh="---",0,Onbekend_ele_kWh)/1000+IF(REST_rest_ele_kWh="---",0,REST_rest_ele_kWh)/1000</f>
        <v>18884.130020000001</v>
      </c>
      <c r="D25" s="983"/>
      <c r="E25" s="983">
        <f>IF(onbekend_gas_kWh="---",0,onbekend_gas_kWh)/1000+IF(REST_rest_gas_kWh="---",0,REST_rest_gas_kWh)/1000</f>
        <v>54184.177000000003</v>
      </c>
      <c r="F25" s="983"/>
      <c r="G25" s="983"/>
      <c r="H25" s="983"/>
      <c r="I25" s="983"/>
      <c r="J25" s="983"/>
      <c r="K25" s="983"/>
      <c r="L25" s="983"/>
      <c r="M25" s="983"/>
      <c r="N25" s="983"/>
      <c r="O25" s="983"/>
      <c r="P25" s="983"/>
      <c r="Q25" s="984"/>
      <c r="R25" s="715">
        <f>SUM(C25:Q25)</f>
        <v>73068.307020000007</v>
      </c>
      <c r="S25" s="67"/>
    </row>
    <row r="26" spans="1:19" s="474" customFormat="1" ht="15.75" thickBot="1">
      <c r="A26" s="720" t="s">
        <v>735</v>
      </c>
      <c r="B26" s="842"/>
      <c r="C26" s="837">
        <f>SUM(C24:C25)</f>
        <v>20880.379418</v>
      </c>
      <c r="D26" s="837">
        <f t="shared" ref="D26:R26" si="2">SUM(D24:D25)</f>
        <v>0</v>
      </c>
      <c r="E26" s="837">
        <f t="shared" si="2"/>
        <v>55090.831575266006</v>
      </c>
      <c r="F26" s="837">
        <f t="shared" si="2"/>
        <v>62.302285429739378</v>
      </c>
      <c r="G26" s="837">
        <f t="shared" si="2"/>
        <v>7054.9665110748774</v>
      </c>
      <c r="H26" s="837">
        <f t="shared" si="2"/>
        <v>0</v>
      </c>
      <c r="I26" s="837">
        <f t="shared" si="2"/>
        <v>0</v>
      </c>
      <c r="J26" s="837">
        <f t="shared" si="2"/>
        <v>0</v>
      </c>
      <c r="K26" s="837">
        <f t="shared" si="2"/>
        <v>549.98055301724833</v>
      </c>
      <c r="L26" s="837">
        <f t="shared" si="2"/>
        <v>0</v>
      </c>
      <c r="M26" s="837">
        <f t="shared" si="2"/>
        <v>0</v>
      </c>
      <c r="N26" s="837">
        <f t="shared" si="2"/>
        <v>0</v>
      </c>
      <c r="O26" s="837">
        <f t="shared" si="2"/>
        <v>0</v>
      </c>
      <c r="P26" s="837">
        <f t="shared" si="2"/>
        <v>0</v>
      </c>
      <c r="Q26" s="837">
        <f t="shared" si="2"/>
        <v>0</v>
      </c>
      <c r="R26" s="837">
        <f t="shared" si="2"/>
        <v>83638.460342787876</v>
      </c>
      <c r="S26" s="67"/>
    </row>
    <row r="27" spans="1:19" s="474" customFormat="1" ht="17.25" thickTop="1" thickBot="1">
      <c r="A27" s="721" t="s">
        <v>115</v>
      </c>
      <c r="B27" s="829"/>
      <c r="C27" s="722">
        <f ca="1">C22+C16+C26</f>
        <v>190622.75769446563</v>
      </c>
      <c r="D27" s="722">
        <f t="shared" ref="D27:R27" ca="1" si="3">D22+D16+D26</f>
        <v>0</v>
      </c>
      <c r="E27" s="722">
        <f t="shared" ca="1" si="3"/>
        <v>375771.41299703403</v>
      </c>
      <c r="F27" s="722">
        <f t="shared" si="3"/>
        <v>2878.0329912696284</v>
      </c>
      <c r="G27" s="722">
        <f t="shared" ca="1" si="3"/>
        <v>21972.823333741529</v>
      </c>
      <c r="H27" s="722">
        <f t="shared" si="3"/>
        <v>99615.447309560142</v>
      </c>
      <c r="I27" s="722">
        <f t="shared" si="3"/>
        <v>22909.300079029272</v>
      </c>
      <c r="J27" s="722">
        <f t="shared" si="3"/>
        <v>0</v>
      </c>
      <c r="K27" s="722">
        <f t="shared" si="3"/>
        <v>568.60059898995019</v>
      </c>
      <c r="L27" s="722">
        <f t="shared" si="3"/>
        <v>0</v>
      </c>
      <c r="M27" s="722">
        <f t="shared" ca="1" si="3"/>
        <v>0</v>
      </c>
      <c r="N27" s="722">
        <f t="shared" si="3"/>
        <v>7246.5342637352951</v>
      </c>
      <c r="O27" s="722">
        <f t="shared" ca="1" si="3"/>
        <v>8128.3202702550298</v>
      </c>
      <c r="P27" s="722">
        <f t="shared" si="3"/>
        <v>297.46846334280195</v>
      </c>
      <c r="Q27" s="722">
        <f t="shared" si="3"/>
        <v>673.520104532191</v>
      </c>
      <c r="R27" s="722">
        <f t="shared" ca="1" si="3"/>
        <v>730684.21810595552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20732.682300515575</v>
      </c>
      <c r="D40" s="712">
        <f ca="1">tertiair!C20</f>
        <v>0</v>
      </c>
      <c r="E40" s="712">
        <f ca="1">tertiair!D20</f>
        <v>22999.229692384357</v>
      </c>
      <c r="F40" s="712">
        <f>tertiair!E20</f>
        <v>278.30950812270214</v>
      </c>
      <c r="G40" s="712">
        <f ca="1">tertiair!F20</f>
        <v>2851.0785127908889</v>
      </c>
      <c r="H40" s="712">
        <f>tertiair!G20</f>
        <v>0</v>
      </c>
      <c r="I40" s="712">
        <f>tertiair!H20</f>
        <v>0</v>
      </c>
      <c r="J40" s="712">
        <f>tertiair!I20</f>
        <v>0</v>
      </c>
      <c r="K40" s="712">
        <f>tertiair!J20</f>
        <v>6.8254233863979247E-2</v>
      </c>
      <c r="L40" s="712">
        <f>tertiair!K20</f>
        <v>0</v>
      </c>
      <c r="M40" s="712">
        <f ca="1">tertiair!L20</f>
        <v>0</v>
      </c>
      <c r="N40" s="712">
        <f>tertiair!M20</f>
        <v>0</v>
      </c>
      <c r="O40" s="712">
        <f ca="1">tertiair!N20</f>
        <v>0</v>
      </c>
      <c r="P40" s="712">
        <f>tertiair!O20</f>
        <v>0</v>
      </c>
      <c r="Q40" s="795">
        <f>tertiair!P20</f>
        <v>0</v>
      </c>
      <c r="R40" s="875">
        <f t="shared" ca="1" si="4"/>
        <v>46861.368268047379</v>
      </c>
    </row>
    <row r="41" spans="1:18">
      <c r="A41" s="847" t="s">
        <v>224</v>
      </c>
      <c r="B41" s="854"/>
      <c r="C41" s="712">
        <f ca="1">huishoudens!B12</f>
        <v>14038.085120358843</v>
      </c>
      <c r="D41" s="712">
        <f ca="1">huishoudens!C12</f>
        <v>0</v>
      </c>
      <c r="E41" s="712">
        <f>huishoudens!D12</f>
        <v>39526.245262682867</v>
      </c>
      <c r="F41" s="712">
        <f>huishoudens!E12</f>
        <v>0</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53564.330383041714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1828.7427985255767</v>
      </c>
      <c r="D43" s="712">
        <f ca="1">industrie!C22</f>
        <v>0</v>
      </c>
      <c r="E43" s="712">
        <f>industrie!D22</f>
        <v>2189.8513681091522</v>
      </c>
      <c r="F43" s="712">
        <f>industrie!E22</f>
        <v>307.12397743364772</v>
      </c>
      <c r="G43" s="712">
        <f>industrie!F22</f>
        <v>1131.9892588611071</v>
      </c>
      <c r="H43" s="712">
        <f>industrie!G22</f>
        <v>0</v>
      </c>
      <c r="I43" s="712">
        <f>industrie!H22</f>
        <v>0</v>
      </c>
      <c r="J43" s="712">
        <f>industrie!I22</f>
        <v>0</v>
      </c>
      <c r="K43" s="712">
        <f>industrie!J22</f>
        <v>6.5232420404724953</v>
      </c>
      <c r="L43" s="712">
        <f>industrie!K22</f>
        <v>0</v>
      </c>
      <c r="M43" s="712">
        <f>industrie!L22</f>
        <v>0</v>
      </c>
      <c r="N43" s="712">
        <f>industrie!M22</f>
        <v>0</v>
      </c>
      <c r="O43" s="712">
        <f>industrie!N22</f>
        <v>0</v>
      </c>
      <c r="P43" s="712">
        <f>industrie!O22</f>
        <v>0</v>
      </c>
      <c r="Q43" s="795">
        <f>industrie!P22</f>
        <v>0</v>
      </c>
      <c r="R43" s="874">
        <f t="shared" ca="1" si="4"/>
        <v>5464.2306449699563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36599.510219399992</v>
      </c>
      <c r="D46" s="748">
        <f t="shared" ref="D46:Q46" ca="1" si="5">SUM(D39:D45)</f>
        <v>0</v>
      </c>
      <c r="E46" s="748">
        <f t="shared" ca="1" si="5"/>
        <v>64715.326323176378</v>
      </c>
      <c r="F46" s="748">
        <f t="shared" si="5"/>
        <v>585.43348555634986</v>
      </c>
      <c r="G46" s="748">
        <f t="shared" ca="1" si="5"/>
        <v>3983.0677716519958</v>
      </c>
      <c r="H46" s="748">
        <f t="shared" si="5"/>
        <v>0</v>
      </c>
      <c r="I46" s="748">
        <f t="shared" si="5"/>
        <v>0</v>
      </c>
      <c r="J46" s="748">
        <f t="shared" si="5"/>
        <v>0</v>
      </c>
      <c r="K46" s="748">
        <f t="shared" si="5"/>
        <v>6.5914962743364747</v>
      </c>
      <c r="L46" s="748">
        <f t="shared" si="5"/>
        <v>0</v>
      </c>
      <c r="M46" s="748">
        <f t="shared" ca="1" si="5"/>
        <v>0</v>
      </c>
      <c r="N46" s="748">
        <f t="shared" si="5"/>
        <v>0</v>
      </c>
      <c r="O46" s="748">
        <f t="shared" ca="1" si="5"/>
        <v>0</v>
      </c>
      <c r="P46" s="748">
        <f t="shared" si="5"/>
        <v>0</v>
      </c>
      <c r="Q46" s="748">
        <f t="shared" si="5"/>
        <v>0</v>
      </c>
      <c r="R46" s="748">
        <f ca="1">SUM(R39:R45)</f>
        <v>105889.92929605905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135.74307711426411</v>
      </c>
      <c r="D49" s="712">
        <f ca="1">transport!C58</f>
        <v>0</v>
      </c>
      <c r="E49" s="712">
        <f>transport!D58</f>
        <v>0</v>
      </c>
      <c r="F49" s="712">
        <f>transport!E58</f>
        <v>0</v>
      </c>
      <c r="G49" s="712">
        <f>transport!F58</f>
        <v>0</v>
      </c>
      <c r="H49" s="712">
        <f>transport!G58</f>
        <v>393.63641996024722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529.37949707451139</v>
      </c>
    </row>
    <row r="50" spans="1:18">
      <c r="A50" s="850" t="s">
        <v>306</v>
      </c>
      <c r="B50" s="860"/>
      <c r="C50" s="718">
        <f ca="1">transport!B18</f>
        <v>16.485290734501088</v>
      </c>
      <c r="D50" s="718">
        <f>transport!C18</f>
        <v>0</v>
      </c>
      <c r="E50" s="718">
        <f>transport!D18</f>
        <v>62.151124020765273</v>
      </c>
      <c r="F50" s="718">
        <f>transport!E18</f>
        <v>53.737384669304944</v>
      </c>
      <c r="G50" s="718">
        <f>transport!F18</f>
        <v>0</v>
      </c>
      <c r="H50" s="718">
        <f>transport!G18</f>
        <v>26203.688011692313</v>
      </c>
      <c r="I50" s="718">
        <f>transport!H18</f>
        <v>5704.415719678289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32040.477530795171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152.2283678487652</v>
      </c>
      <c r="D52" s="748">
        <f t="shared" ref="D52:Q52" ca="1" si="6">SUM(D48:D51)</f>
        <v>0</v>
      </c>
      <c r="E52" s="748">
        <f t="shared" si="6"/>
        <v>62.151124020765273</v>
      </c>
      <c r="F52" s="748">
        <f t="shared" si="6"/>
        <v>53.737384669304944</v>
      </c>
      <c r="G52" s="748">
        <f t="shared" si="6"/>
        <v>0</v>
      </c>
      <c r="H52" s="748">
        <f t="shared" si="6"/>
        <v>26597.32443165256</v>
      </c>
      <c r="I52" s="748">
        <f t="shared" si="6"/>
        <v>5704.415719678289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32569.857027869682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432.21755683636883</v>
      </c>
      <c r="D54" s="718">
        <f ca="1">+landbouw!C12</f>
        <v>0</v>
      </c>
      <c r="E54" s="718">
        <f>+landbouw!D12</f>
        <v>183.14422420373202</v>
      </c>
      <c r="F54" s="718">
        <f>+landbouw!E12</f>
        <v>14.14261879255084</v>
      </c>
      <c r="G54" s="718">
        <f>+landbouw!F12</f>
        <v>1883.6760584569925</v>
      </c>
      <c r="H54" s="718">
        <f>+landbouw!G12</f>
        <v>0</v>
      </c>
      <c r="I54" s="718">
        <f>+landbouw!H12</f>
        <v>0</v>
      </c>
      <c r="J54" s="718">
        <f>+landbouw!I12</f>
        <v>0</v>
      </c>
      <c r="K54" s="718">
        <f>+landbouw!J12</f>
        <v>194.69311576810588</v>
      </c>
      <c r="L54" s="718">
        <f>+landbouw!K12</f>
        <v>0</v>
      </c>
      <c r="M54" s="718">
        <f>+landbouw!L12</f>
        <v>0</v>
      </c>
      <c r="N54" s="718">
        <f>+landbouw!M12</f>
        <v>0</v>
      </c>
      <c r="O54" s="718">
        <f>+landbouw!N12</f>
        <v>0</v>
      </c>
      <c r="P54" s="718">
        <f>+landbouw!O12</f>
        <v>0</v>
      </c>
      <c r="Q54" s="719">
        <f>+landbouw!P12</f>
        <v>0</v>
      </c>
      <c r="R54" s="747">
        <f ca="1">SUM(C54:Q54)</f>
        <v>2707.8735740577499</v>
      </c>
    </row>
    <row r="55" spans="1:18" ht="15" thickBot="1">
      <c r="A55" s="850" t="s">
        <v>734</v>
      </c>
      <c r="B55" s="860"/>
      <c r="C55" s="718">
        <f ca="1">C25*'EF ele_warmte'!B12</f>
        <v>4088.6938016873623</v>
      </c>
      <c r="D55" s="718"/>
      <c r="E55" s="718">
        <f>E25*EF_CO2_aardgas</f>
        <v>10945.203754000002</v>
      </c>
      <c r="F55" s="718"/>
      <c r="G55" s="718"/>
      <c r="H55" s="718"/>
      <c r="I55" s="718"/>
      <c r="J55" s="718"/>
      <c r="K55" s="718"/>
      <c r="L55" s="718"/>
      <c r="M55" s="718"/>
      <c r="N55" s="718"/>
      <c r="O55" s="718"/>
      <c r="P55" s="718"/>
      <c r="Q55" s="719"/>
      <c r="R55" s="747">
        <f ca="1">SUM(C55:Q55)</f>
        <v>15033.897555687365</v>
      </c>
    </row>
    <row r="56" spans="1:18" ht="15.75" thickBot="1">
      <c r="A56" s="848" t="s">
        <v>735</v>
      </c>
      <c r="B56" s="861"/>
      <c r="C56" s="748">
        <f ca="1">SUM(C54:C55)</f>
        <v>4520.911358523731</v>
      </c>
      <c r="D56" s="748">
        <f t="shared" ref="D56:Q56" ca="1" si="7">SUM(D54:D55)</f>
        <v>0</v>
      </c>
      <c r="E56" s="748">
        <f t="shared" si="7"/>
        <v>11128.347978203734</v>
      </c>
      <c r="F56" s="748">
        <f t="shared" si="7"/>
        <v>14.14261879255084</v>
      </c>
      <c r="G56" s="748">
        <f t="shared" si="7"/>
        <v>1883.6760584569925</v>
      </c>
      <c r="H56" s="748">
        <f t="shared" si="7"/>
        <v>0</v>
      </c>
      <c r="I56" s="748">
        <f t="shared" si="7"/>
        <v>0</v>
      </c>
      <c r="J56" s="748">
        <f t="shared" si="7"/>
        <v>0</v>
      </c>
      <c r="K56" s="748">
        <f t="shared" si="7"/>
        <v>194.69311576810588</v>
      </c>
      <c r="L56" s="748">
        <f t="shared" si="7"/>
        <v>0</v>
      </c>
      <c r="M56" s="748">
        <f t="shared" si="7"/>
        <v>0</v>
      </c>
      <c r="N56" s="748">
        <f t="shared" si="7"/>
        <v>0</v>
      </c>
      <c r="O56" s="748">
        <f t="shared" si="7"/>
        <v>0</v>
      </c>
      <c r="P56" s="748">
        <f t="shared" si="7"/>
        <v>0</v>
      </c>
      <c r="Q56" s="749">
        <f t="shared" si="7"/>
        <v>0</v>
      </c>
      <c r="R56" s="750">
        <f ca="1">SUM(R54:R55)</f>
        <v>17741.771129745113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41272.649945772486</v>
      </c>
      <c r="D61" s="756">
        <f t="shared" ref="D61:Q61" ca="1" si="8">D46+D52+D56</f>
        <v>0</v>
      </c>
      <c r="E61" s="756">
        <f t="shared" ca="1" si="8"/>
        <v>75905.825425400879</v>
      </c>
      <c r="F61" s="756">
        <f t="shared" si="8"/>
        <v>653.31348901820559</v>
      </c>
      <c r="G61" s="756">
        <f t="shared" ca="1" si="8"/>
        <v>5866.7438301089878</v>
      </c>
      <c r="H61" s="756">
        <f t="shared" si="8"/>
        <v>26597.32443165256</v>
      </c>
      <c r="I61" s="756">
        <f t="shared" si="8"/>
        <v>5704.415719678289</v>
      </c>
      <c r="J61" s="756">
        <f t="shared" si="8"/>
        <v>0</v>
      </c>
      <c r="K61" s="756">
        <f t="shared" si="8"/>
        <v>201.28461204244235</v>
      </c>
      <c r="L61" s="756">
        <f t="shared" si="8"/>
        <v>0</v>
      </c>
      <c r="M61" s="756">
        <f t="shared" ca="1" si="8"/>
        <v>0</v>
      </c>
      <c r="N61" s="756">
        <f t="shared" si="8"/>
        <v>0</v>
      </c>
      <c r="O61" s="756">
        <f t="shared" ca="1" si="8"/>
        <v>0</v>
      </c>
      <c r="P61" s="756">
        <f t="shared" si="8"/>
        <v>0</v>
      </c>
      <c r="Q61" s="756">
        <f t="shared" si="8"/>
        <v>0</v>
      </c>
      <c r="R61" s="756">
        <f ca="1">R46+R52+R56</f>
        <v>156201.55745367386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0.21651480885574639</v>
      </c>
      <c r="D63" s="802">
        <f t="shared" ca="1" si="9"/>
        <v>0</v>
      </c>
      <c r="E63" s="1008">
        <f t="shared" ca="1" si="9"/>
        <v>0.20200000000000001</v>
      </c>
      <c r="F63" s="802">
        <f t="shared" si="9"/>
        <v>0.22699999999999998</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3868.685541648967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3868.685541648967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3868.685541648967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3868.685541648967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64836.60491653371</v>
      </c>
      <c r="C4" s="478">
        <f>huishoudens!C8</f>
        <v>0</v>
      </c>
      <c r="D4" s="478">
        <f>huishoudens!D8</f>
        <v>195674.48149843002</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287.67394181111962</v>
      </c>
      <c r="P4" s="479">
        <f>huishoudens!P8</f>
        <v>410.82441299971589</v>
      </c>
      <c r="Q4" s="480">
        <f>SUM(B4:P4)</f>
        <v>261209.58476977455</v>
      </c>
    </row>
    <row r="5" spans="1:17">
      <c r="A5" s="477" t="s">
        <v>155</v>
      </c>
      <c r="B5" s="478">
        <f ca="1">tertiair!B16</f>
        <v>92708.007894000009</v>
      </c>
      <c r="C5" s="478">
        <f ca="1">tertiair!C16</f>
        <v>0</v>
      </c>
      <c r="D5" s="478">
        <f ca="1">tertiair!D16</f>
        <v>113857.57273457601</v>
      </c>
      <c r="E5" s="478">
        <f>tertiair!E16</f>
        <v>1226.0330754304059</v>
      </c>
      <c r="F5" s="478">
        <f ca="1">tertiair!F16</f>
        <v>10678.196677119433</v>
      </c>
      <c r="G5" s="478">
        <f>tertiair!G16</f>
        <v>0</v>
      </c>
      <c r="H5" s="478">
        <f>tertiair!H16</f>
        <v>0</v>
      </c>
      <c r="I5" s="478">
        <f>tertiair!I16</f>
        <v>0</v>
      </c>
      <c r="J5" s="478">
        <f>tertiair!J16</f>
        <v>0.19280857023722953</v>
      </c>
      <c r="K5" s="478">
        <f>tertiair!K16</f>
        <v>0</v>
      </c>
      <c r="L5" s="478">
        <f ca="1">tertiair!L16</f>
        <v>0</v>
      </c>
      <c r="M5" s="478">
        <f>tertiair!M16</f>
        <v>0</v>
      </c>
      <c r="N5" s="478">
        <f ca="1">tertiair!N16</f>
        <v>7588.5253431315305</v>
      </c>
      <c r="O5" s="478">
        <f>tertiair!O16</f>
        <v>9.7945215316823084</v>
      </c>
      <c r="P5" s="479">
        <f>tertiair!P16</f>
        <v>262.69569153247511</v>
      </c>
      <c r="Q5" s="477">
        <f t="shared" ref="Q5:Q14" ca="1" si="0">SUM(B5:P5)</f>
        <v>226331.01874589178</v>
      </c>
    </row>
    <row r="6" spans="1:17">
      <c r="A6" s="477" t="s">
        <v>193</v>
      </c>
      <c r="B6" s="478">
        <f>'openbare verlichting'!B8</f>
        <v>3048.4090000000001</v>
      </c>
      <c r="C6" s="478"/>
      <c r="D6" s="478"/>
      <c r="E6" s="478"/>
      <c r="F6" s="478"/>
      <c r="G6" s="478"/>
      <c r="H6" s="478"/>
      <c r="I6" s="478"/>
      <c r="J6" s="478"/>
      <c r="K6" s="478"/>
      <c r="L6" s="478"/>
      <c r="M6" s="478"/>
      <c r="N6" s="478"/>
      <c r="O6" s="478"/>
      <c r="P6" s="479"/>
      <c r="Q6" s="477">
        <f t="shared" si="0"/>
        <v>3048.4090000000001</v>
      </c>
    </row>
    <row r="7" spans="1:17">
      <c r="A7" s="477" t="s">
        <v>111</v>
      </c>
      <c r="B7" s="478">
        <f>landbouw!B8</f>
        <v>1996.2493980000002</v>
      </c>
      <c r="C7" s="478">
        <f>landbouw!C8</f>
        <v>0</v>
      </c>
      <c r="D7" s="478">
        <f>landbouw!D8</f>
        <v>906.65457526600005</v>
      </c>
      <c r="E7" s="478">
        <f>landbouw!E8</f>
        <v>62.302285429739378</v>
      </c>
      <c r="F7" s="478">
        <f>landbouw!F8</f>
        <v>7054.9665110748774</v>
      </c>
      <c r="G7" s="478">
        <f>landbouw!G8</f>
        <v>0</v>
      </c>
      <c r="H7" s="478">
        <f>landbouw!H8</f>
        <v>0</v>
      </c>
      <c r="I7" s="478">
        <f>landbouw!I8</f>
        <v>0</v>
      </c>
      <c r="J7" s="478">
        <f>landbouw!J8</f>
        <v>549.98055301724833</v>
      </c>
      <c r="K7" s="478">
        <f>landbouw!K8</f>
        <v>0</v>
      </c>
      <c r="L7" s="478">
        <f>landbouw!L8</f>
        <v>0</v>
      </c>
      <c r="M7" s="478">
        <f>landbouw!M8</f>
        <v>0</v>
      </c>
      <c r="N7" s="478">
        <f>landbouw!N8</f>
        <v>0</v>
      </c>
      <c r="O7" s="478">
        <f>landbouw!O8</f>
        <v>0</v>
      </c>
      <c r="P7" s="479">
        <f>landbouw!P8</f>
        <v>0</v>
      </c>
      <c r="Q7" s="477">
        <f t="shared" si="0"/>
        <v>10570.153322787866</v>
      </c>
    </row>
    <row r="8" spans="1:17">
      <c r="A8" s="477" t="s">
        <v>629</v>
      </c>
      <c r="B8" s="478">
        <f>industrie!B18</f>
        <v>8446.2712189999984</v>
      </c>
      <c r="C8" s="478">
        <f>industrie!C18</f>
        <v>0</v>
      </c>
      <c r="D8" s="478">
        <f>industrie!D18</f>
        <v>10840.848356976001</v>
      </c>
      <c r="E8" s="478">
        <f>industrie!E18</f>
        <v>1352.9690635843513</v>
      </c>
      <c r="F8" s="478">
        <f>industrie!F18</f>
        <v>4239.6601455472173</v>
      </c>
      <c r="G8" s="478">
        <f>industrie!G18</f>
        <v>0</v>
      </c>
      <c r="H8" s="478">
        <f>industrie!H18</f>
        <v>0</v>
      </c>
      <c r="I8" s="478">
        <f>industrie!I18</f>
        <v>0</v>
      </c>
      <c r="J8" s="478">
        <f>industrie!J18</f>
        <v>18.427237402464677</v>
      </c>
      <c r="K8" s="478">
        <f>industrie!K18</f>
        <v>0</v>
      </c>
      <c r="L8" s="478">
        <f>industrie!L18</f>
        <v>0</v>
      </c>
      <c r="M8" s="478">
        <f>industrie!M18</f>
        <v>0</v>
      </c>
      <c r="N8" s="478">
        <f>industrie!N18</f>
        <v>539.79492712349975</v>
      </c>
      <c r="O8" s="478">
        <f>industrie!O18</f>
        <v>0</v>
      </c>
      <c r="P8" s="479">
        <f>industrie!P18</f>
        <v>0</v>
      </c>
      <c r="Q8" s="477">
        <f t="shared" si="0"/>
        <v>25437.970949633538</v>
      </c>
    </row>
    <row r="9" spans="1:17" s="483" customFormat="1">
      <c r="A9" s="481" t="s">
        <v>555</v>
      </c>
      <c r="B9" s="482">
        <f>transport!B14</f>
        <v>76.139321931944437</v>
      </c>
      <c r="C9" s="482">
        <f>transport!C14</f>
        <v>0</v>
      </c>
      <c r="D9" s="482">
        <f>transport!D14</f>
        <v>307.67883178596668</v>
      </c>
      <c r="E9" s="482">
        <f>transport!E14</f>
        <v>236.72856682513191</v>
      </c>
      <c r="F9" s="482">
        <f>transport!F14</f>
        <v>0</v>
      </c>
      <c r="G9" s="482">
        <f>transport!G14</f>
        <v>98141.153601843864</v>
      </c>
      <c r="H9" s="482">
        <f>transport!H14</f>
        <v>22909.300079029272</v>
      </c>
      <c r="I9" s="482">
        <f>transport!I14</f>
        <v>0</v>
      </c>
      <c r="J9" s="482">
        <f>transport!J14</f>
        <v>0</v>
      </c>
      <c r="K9" s="482">
        <f>transport!K14</f>
        <v>0</v>
      </c>
      <c r="L9" s="482">
        <f>transport!L14</f>
        <v>0</v>
      </c>
      <c r="M9" s="482">
        <f>transport!M14</f>
        <v>7164.5928563387861</v>
      </c>
      <c r="N9" s="482">
        <f>transport!N14</f>
        <v>0</v>
      </c>
      <c r="O9" s="482">
        <f>transport!O14</f>
        <v>0</v>
      </c>
      <c r="P9" s="482">
        <f>transport!P14</f>
        <v>0</v>
      </c>
      <c r="Q9" s="481">
        <f>SUM(B9:P9)</f>
        <v>128835.59325775497</v>
      </c>
    </row>
    <row r="10" spans="1:17">
      <c r="A10" s="477" t="s">
        <v>545</v>
      </c>
      <c r="B10" s="478">
        <f>transport!B54</f>
        <v>626.94592499999999</v>
      </c>
      <c r="C10" s="478">
        <f>transport!C54</f>
        <v>0</v>
      </c>
      <c r="D10" s="478">
        <f>transport!D54</f>
        <v>0</v>
      </c>
      <c r="E10" s="478">
        <f>transport!E54</f>
        <v>0</v>
      </c>
      <c r="F10" s="478">
        <f>transport!F54</f>
        <v>0</v>
      </c>
      <c r="G10" s="478">
        <f>transport!G54</f>
        <v>1474.2937077162817</v>
      </c>
      <c r="H10" s="478">
        <f>transport!H54</f>
        <v>0</v>
      </c>
      <c r="I10" s="478">
        <f>transport!I54</f>
        <v>0</v>
      </c>
      <c r="J10" s="478">
        <f>transport!J54</f>
        <v>0</v>
      </c>
      <c r="K10" s="478">
        <f>transport!K54</f>
        <v>0</v>
      </c>
      <c r="L10" s="478">
        <f>transport!L54</f>
        <v>0</v>
      </c>
      <c r="M10" s="478">
        <f>transport!M54</f>
        <v>81.941407396508595</v>
      </c>
      <c r="N10" s="478">
        <f>transport!N54</f>
        <v>0</v>
      </c>
      <c r="O10" s="478">
        <f>transport!O54</f>
        <v>0</v>
      </c>
      <c r="P10" s="479">
        <f>transport!P54</f>
        <v>0</v>
      </c>
      <c r="Q10" s="477">
        <f t="shared" si="0"/>
        <v>2183.18104011279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18884.130020000001</v>
      </c>
      <c r="C14" s="485"/>
      <c r="D14" s="485">
        <f>'SEAP template'!E25</f>
        <v>54184.177000000003</v>
      </c>
      <c r="E14" s="485"/>
      <c r="F14" s="485"/>
      <c r="G14" s="485"/>
      <c r="H14" s="485"/>
      <c r="I14" s="485"/>
      <c r="J14" s="485"/>
      <c r="K14" s="485"/>
      <c r="L14" s="485"/>
      <c r="M14" s="485"/>
      <c r="N14" s="485"/>
      <c r="O14" s="485"/>
      <c r="P14" s="486"/>
      <c r="Q14" s="477">
        <f t="shared" si="0"/>
        <v>73068.307020000007</v>
      </c>
    </row>
    <row r="15" spans="1:17" s="489" customFormat="1">
      <c r="A15" s="487" t="s">
        <v>549</v>
      </c>
      <c r="B15" s="488">
        <f ca="1">SUM(B4:B14)</f>
        <v>190622.75769446572</v>
      </c>
      <c r="C15" s="488">
        <f t="shared" ref="C15:Q15" ca="1" si="1">SUM(C4:C14)</f>
        <v>0</v>
      </c>
      <c r="D15" s="488">
        <f t="shared" ca="1" si="1"/>
        <v>375771.41299703403</v>
      </c>
      <c r="E15" s="488">
        <f t="shared" si="1"/>
        <v>2878.0329912696284</v>
      </c>
      <c r="F15" s="488">
        <f t="shared" ca="1" si="1"/>
        <v>21972.823333741529</v>
      </c>
      <c r="G15" s="488">
        <f t="shared" si="1"/>
        <v>99615.447309560142</v>
      </c>
      <c r="H15" s="488">
        <f t="shared" si="1"/>
        <v>22909.300079029272</v>
      </c>
      <c r="I15" s="488">
        <f t="shared" si="1"/>
        <v>0</v>
      </c>
      <c r="J15" s="488">
        <f t="shared" si="1"/>
        <v>568.6005989899503</v>
      </c>
      <c r="K15" s="488">
        <f t="shared" si="1"/>
        <v>0</v>
      </c>
      <c r="L15" s="488">
        <f t="shared" ca="1" si="1"/>
        <v>0</v>
      </c>
      <c r="M15" s="488">
        <f t="shared" si="1"/>
        <v>7246.5342637352951</v>
      </c>
      <c r="N15" s="488">
        <f t="shared" ca="1" si="1"/>
        <v>8128.3202702550298</v>
      </c>
      <c r="O15" s="488">
        <f t="shared" si="1"/>
        <v>297.46846334280195</v>
      </c>
      <c r="P15" s="488">
        <f t="shared" si="1"/>
        <v>673.520104532191</v>
      </c>
      <c r="Q15" s="488">
        <f t="shared" ca="1" si="1"/>
        <v>730684.21810595528</v>
      </c>
    </row>
    <row r="17" spans="1:17">
      <c r="A17" s="490" t="s">
        <v>550</v>
      </c>
      <c r="B17" s="807">
        <f ca="1">huishoudens!B10</f>
        <v>0.21651480885574639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14038.085120358843</v>
      </c>
      <c r="C22" s="478">
        <f t="shared" ref="C22:C32" ca="1" si="3">C4*$C$17</f>
        <v>0</v>
      </c>
      <c r="D22" s="478">
        <f t="shared" ref="D22:D32" si="4">D4*$D$17</f>
        <v>39526.245262682867</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53564.330383041714</v>
      </c>
    </row>
    <row r="23" spans="1:17">
      <c r="A23" s="477" t="s">
        <v>155</v>
      </c>
      <c r="B23" s="478">
        <f t="shared" ca="1" si="2"/>
        <v>20072.656608566438</v>
      </c>
      <c r="C23" s="478">
        <f t="shared" ca="1" si="3"/>
        <v>0</v>
      </c>
      <c r="D23" s="478">
        <f t="shared" ca="1" si="4"/>
        <v>22999.229692384357</v>
      </c>
      <c r="E23" s="478">
        <f t="shared" si="5"/>
        <v>278.30950812270214</v>
      </c>
      <c r="F23" s="478">
        <f t="shared" ca="1" si="6"/>
        <v>2851.0785127908889</v>
      </c>
      <c r="G23" s="478">
        <f t="shared" si="7"/>
        <v>0</v>
      </c>
      <c r="H23" s="478">
        <f t="shared" si="8"/>
        <v>0</v>
      </c>
      <c r="I23" s="478">
        <f t="shared" si="9"/>
        <v>0</v>
      </c>
      <c r="J23" s="478">
        <f t="shared" si="10"/>
        <v>6.8254233863979247E-2</v>
      </c>
      <c r="K23" s="478">
        <f t="shared" si="11"/>
        <v>0</v>
      </c>
      <c r="L23" s="478">
        <f t="shared" ca="1" si="12"/>
        <v>0</v>
      </c>
      <c r="M23" s="478">
        <f t="shared" si="13"/>
        <v>0</v>
      </c>
      <c r="N23" s="478">
        <f t="shared" ca="1" si="14"/>
        <v>0</v>
      </c>
      <c r="O23" s="478">
        <f t="shared" si="15"/>
        <v>0</v>
      </c>
      <c r="P23" s="479">
        <f t="shared" si="16"/>
        <v>0</v>
      </c>
      <c r="Q23" s="477">
        <f t="shared" ref="Q23:Q31" ca="1" si="17">SUM(B23:P23)</f>
        <v>46201.342576098243</v>
      </c>
    </row>
    <row r="24" spans="1:17">
      <c r="A24" s="477" t="s">
        <v>193</v>
      </c>
      <c r="B24" s="478">
        <f t="shared" ca="1" si="2"/>
        <v>660.02569194913701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660.02569194913701</v>
      </c>
    </row>
    <row r="25" spans="1:17">
      <c r="A25" s="477" t="s">
        <v>111</v>
      </c>
      <c r="B25" s="478">
        <f t="shared" ca="1" si="2"/>
        <v>432.21755683636883</v>
      </c>
      <c r="C25" s="478">
        <f t="shared" ca="1" si="3"/>
        <v>0</v>
      </c>
      <c r="D25" s="478">
        <f t="shared" si="4"/>
        <v>183.14422420373202</v>
      </c>
      <c r="E25" s="478">
        <f t="shared" si="5"/>
        <v>14.14261879255084</v>
      </c>
      <c r="F25" s="478">
        <f t="shared" si="6"/>
        <v>1883.6760584569925</v>
      </c>
      <c r="G25" s="478">
        <f t="shared" si="7"/>
        <v>0</v>
      </c>
      <c r="H25" s="478">
        <f t="shared" si="8"/>
        <v>0</v>
      </c>
      <c r="I25" s="478">
        <f t="shared" si="9"/>
        <v>0</v>
      </c>
      <c r="J25" s="478">
        <f t="shared" si="10"/>
        <v>194.69311576810588</v>
      </c>
      <c r="K25" s="478">
        <f t="shared" si="11"/>
        <v>0</v>
      </c>
      <c r="L25" s="478">
        <f t="shared" si="12"/>
        <v>0</v>
      </c>
      <c r="M25" s="478">
        <f t="shared" si="13"/>
        <v>0</v>
      </c>
      <c r="N25" s="478">
        <f t="shared" si="14"/>
        <v>0</v>
      </c>
      <c r="O25" s="478">
        <f t="shared" si="15"/>
        <v>0</v>
      </c>
      <c r="P25" s="479">
        <f t="shared" si="16"/>
        <v>0</v>
      </c>
      <c r="Q25" s="477">
        <f t="shared" ca="1" si="17"/>
        <v>2707.8735740577499</v>
      </c>
    </row>
    <row r="26" spans="1:17">
      <c r="A26" s="477" t="s">
        <v>629</v>
      </c>
      <c r="B26" s="478">
        <f t="shared" ca="1" si="2"/>
        <v>1828.7427985255767</v>
      </c>
      <c r="C26" s="478">
        <f t="shared" ca="1" si="3"/>
        <v>0</v>
      </c>
      <c r="D26" s="478">
        <f t="shared" si="4"/>
        <v>2189.8513681091522</v>
      </c>
      <c r="E26" s="478">
        <f t="shared" si="5"/>
        <v>307.12397743364772</v>
      </c>
      <c r="F26" s="478">
        <f t="shared" si="6"/>
        <v>1131.9892588611071</v>
      </c>
      <c r="G26" s="478">
        <f t="shared" si="7"/>
        <v>0</v>
      </c>
      <c r="H26" s="478">
        <f t="shared" si="8"/>
        <v>0</v>
      </c>
      <c r="I26" s="478">
        <f t="shared" si="9"/>
        <v>0</v>
      </c>
      <c r="J26" s="478">
        <f t="shared" si="10"/>
        <v>6.5232420404724953</v>
      </c>
      <c r="K26" s="478">
        <f t="shared" si="11"/>
        <v>0</v>
      </c>
      <c r="L26" s="478">
        <f t="shared" si="12"/>
        <v>0</v>
      </c>
      <c r="M26" s="478">
        <f t="shared" si="13"/>
        <v>0</v>
      </c>
      <c r="N26" s="478">
        <f t="shared" si="14"/>
        <v>0</v>
      </c>
      <c r="O26" s="478">
        <f t="shared" si="15"/>
        <v>0</v>
      </c>
      <c r="P26" s="479">
        <f t="shared" si="16"/>
        <v>0</v>
      </c>
      <c r="Q26" s="477">
        <f t="shared" ca="1" si="17"/>
        <v>5464.2306449699563</v>
      </c>
    </row>
    <row r="27" spans="1:17" s="483" customFormat="1">
      <c r="A27" s="481" t="s">
        <v>555</v>
      </c>
      <c r="B27" s="801">
        <f t="shared" ca="1" si="2"/>
        <v>16.485290734501088</v>
      </c>
      <c r="C27" s="482">
        <f t="shared" ca="1" si="3"/>
        <v>0</v>
      </c>
      <c r="D27" s="482">
        <f t="shared" si="4"/>
        <v>62.151124020765273</v>
      </c>
      <c r="E27" s="482">
        <f t="shared" si="5"/>
        <v>53.737384669304944</v>
      </c>
      <c r="F27" s="482">
        <f t="shared" si="6"/>
        <v>0</v>
      </c>
      <c r="G27" s="482">
        <f t="shared" si="7"/>
        <v>26203.688011692313</v>
      </c>
      <c r="H27" s="482">
        <f t="shared" si="8"/>
        <v>5704.415719678289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32040.477530795171</v>
      </c>
    </row>
    <row r="28" spans="1:17" ht="16.5" customHeight="1">
      <c r="A28" s="477" t="s">
        <v>545</v>
      </c>
      <c r="B28" s="478">
        <f t="shared" ca="1" si="2"/>
        <v>135.74307711426411</v>
      </c>
      <c r="C28" s="478">
        <f t="shared" ca="1" si="3"/>
        <v>0</v>
      </c>
      <c r="D28" s="478">
        <f t="shared" si="4"/>
        <v>0</v>
      </c>
      <c r="E28" s="478">
        <f t="shared" si="5"/>
        <v>0</v>
      </c>
      <c r="F28" s="478">
        <f t="shared" si="6"/>
        <v>0</v>
      </c>
      <c r="G28" s="478">
        <f t="shared" si="7"/>
        <v>393.63641996024722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529.37949707451139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4088.6938016873623</v>
      </c>
      <c r="C32" s="478">
        <f t="shared" ca="1" si="3"/>
        <v>0</v>
      </c>
      <c r="D32" s="478">
        <f t="shared" si="4"/>
        <v>10945.203754000002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15033.897555687365</v>
      </c>
    </row>
    <row r="33" spans="1:17" s="489" customFormat="1">
      <c r="A33" s="487" t="s">
        <v>549</v>
      </c>
      <c r="B33" s="488">
        <f ca="1">SUM(B22:B32)</f>
        <v>41272.649945772479</v>
      </c>
      <c r="C33" s="488">
        <f t="shared" ref="C33:Q33" ca="1" si="19">SUM(C22:C32)</f>
        <v>0</v>
      </c>
      <c r="D33" s="488">
        <f t="shared" ca="1" si="19"/>
        <v>75905.825425400864</v>
      </c>
      <c r="E33" s="488">
        <f t="shared" si="19"/>
        <v>653.31348901820559</v>
      </c>
      <c r="F33" s="488">
        <f t="shared" ca="1" si="19"/>
        <v>5866.7438301089887</v>
      </c>
      <c r="G33" s="488">
        <f t="shared" si="19"/>
        <v>26597.32443165256</v>
      </c>
      <c r="H33" s="488">
        <f t="shared" si="19"/>
        <v>5704.415719678289</v>
      </c>
      <c r="I33" s="488">
        <f t="shared" si="19"/>
        <v>0</v>
      </c>
      <c r="J33" s="488">
        <f t="shared" si="19"/>
        <v>201.28461204244235</v>
      </c>
      <c r="K33" s="488">
        <f t="shared" si="19"/>
        <v>0</v>
      </c>
      <c r="L33" s="488">
        <f t="shared" ca="1" si="19"/>
        <v>0</v>
      </c>
      <c r="M33" s="488">
        <f t="shared" si="19"/>
        <v>0</v>
      </c>
      <c r="N33" s="488">
        <f t="shared" ca="1" si="19"/>
        <v>0</v>
      </c>
      <c r="O33" s="488">
        <f t="shared" si="19"/>
        <v>0</v>
      </c>
      <c r="P33" s="488">
        <f t="shared" si="19"/>
        <v>0</v>
      </c>
      <c r="Q33" s="488">
        <f t="shared" ca="1" si="19"/>
        <v>156201.55745367386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3868.685541648967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3868.685541648967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0.21651480885574639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0.21651480885574639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2019-08-12T08:39:35Z</dcterms:modified>
</cp:coreProperties>
</file>