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E20" i="59"/>
  <c r="K15" i="48"/>
  <c r="F30"/>
  <c r="F32"/>
  <c r="J30"/>
  <c r="J32"/>
  <c r="D6" i="17"/>
  <c r="D8" s="1"/>
  <c r="D12" s="1"/>
  <c r="E54" i="14" s="1"/>
  <c r="O20" i="59"/>
  <c r="N20"/>
  <c r="D89" i="14"/>
  <c r="D19" i="59" s="1"/>
  <c r="O19" i="18"/>
  <c r="K10"/>
  <c r="N77" i="14"/>
  <c r="L10" i="18"/>
  <c r="O77" i="14"/>
  <c r="H16"/>
  <c r="B8" i="9"/>
  <c r="B6" i="48" s="1"/>
  <c r="Q6" s="1"/>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Q13" i="14"/>
  <c r="I33" i="48"/>
  <c r="J16" i="14"/>
  <c r="J27" s="1"/>
  <c r="B89"/>
  <c r="B19" i="59" s="1"/>
  <c r="G78" i="14"/>
  <c r="G9" i="59"/>
  <c r="G10" s="1"/>
  <c r="H78" i="14"/>
  <c r="H9" i="59"/>
  <c r="H10" s="1"/>
  <c r="E78" i="14"/>
  <c r="E9" i="59"/>
  <c r="E10" s="1"/>
  <c r="O78" i="14"/>
  <c r="O9" i="59"/>
  <c r="O10" s="1"/>
  <c r="K33" i="48"/>
  <c r="I15"/>
  <c r="N46" i="14"/>
  <c r="N78"/>
  <c r="N9" i="59"/>
  <c r="N10" s="1"/>
  <c r="M24" i="48"/>
  <c r="M32"/>
  <c r="Q89" i="14"/>
  <c r="P19" i="59" s="1"/>
  <c r="C89" i="14"/>
  <c r="C19" i="59" s="1"/>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L27"/>
  <c r="M30"/>
  <c r="M26"/>
  <c r="M25"/>
  <c r="C50" i="13"/>
  <c r="J5" s="1"/>
  <c r="J8" s="1"/>
  <c r="C5" i="48"/>
  <c r="F90" i="14" l="1"/>
  <c r="F17" i="59"/>
  <c r="F20" s="1"/>
  <c r="G14" i="22"/>
  <c r="F78" i="14"/>
  <c r="F8" i="59"/>
  <c r="F1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E27" i="14"/>
  <c r="C10" i="18"/>
  <c r="D90" i="14"/>
  <c r="D17" i="59"/>
  <c r="D20" s="1"/>
  <c r="I90" i="14"/>
  <c r="I17" i="59"/>
  <c r="I20" s="1"/>
  <c r="B15" i="48"/>
  <c r="D15"/>
  <c r="O33"/>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56" i="22"/>
  <c r="C58" s="1"/>
  <c r="D49" i="14" s="1"/>
  <c r="D52" s="1"/>
  <c r="C16" i="22"/>
  <c r="C20" i="16"/>
  <c r="C22" s="1"/>
  <c r="D43" i="14" s="1"/>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<sst xmlns="http://schemas.openxmlformats.org/spreadsheetml/2006/main" count="2400" uniqueCount="895">
  <si>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</si>
  <si>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</si>
  <si>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</si>
  <si>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</si>
  <si>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</si>
  <si>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</si>
  <si>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</si>
  <si>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</si>
  <si>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</si>
  <si>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</si>
  <si>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</si>
  <si>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</si>
  <si>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</si>
  <si>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</si>
  <si>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</si>
  <si>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</si>
  <si>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</si>
  <si>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</si>
  <si>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</si>
  <si>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</si>
  <si>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</si>
  <si>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</si>
  <si>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</si>
  <si>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</si>
  <si>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</si>
  <si>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</si>
  <si>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</si>
  <si>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</si>
  <si>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</si>
  <si>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</si>
  <si>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</si>
  <si>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</si>
  <si>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</si>
  <si>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</si>
  <si>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</si>
  <si>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</si>
  <si>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</si>
  <si>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</si>
  <si>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</si>
  <si>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</si>
  <si>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</si>
  <si>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</si>
  <si>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</si>
  <si>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</si>
  <si>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</si>
  <si>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</si>
  <si>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</si>
  <si>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</si>
  <si>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</si>
  <si>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</si>
  <si>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</si>
  <si>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</si>
  <si>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</si>
  <si>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</si>
  <si>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</si>
  <si>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</si>
  <si>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</si>
  <si>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</si>
  <si>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</si>
  <si>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</si>
  <si>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</si>
  <si>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</si>
  <si>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</si>
  <si>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</si>
  <si>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</si>
  <si>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</si>
  <si>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</si>
  <si>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</si>
  <si>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</si>
  <si>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</si>
  <si>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</si>
  <si>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</si>
  <si>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</si>
  <si>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</si>
  <si>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</si>
  <si>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</si>
  <si>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</si>
  <si>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</si>
  <si>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</si>
  <si>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</si>
  <si>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</si>
  <si>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</si>
  <si>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</si>
  <si>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</si>
  <si>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</si>
  <si>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</si>
  <si>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</si>
  <si>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</si>
  <si>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</si>
  <si>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</si>
  <si>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</si>
  <si>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</si>
  <si>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</si>
  <si>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</si>
  <si>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</si>
  <si>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</si>
  <si>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</si>
  <si>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</si>
  <si>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</si>
  <si>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</si>
  <si>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</si>
  <si>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</si>
  <si>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</si>
  <si>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</si>
  <si>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</si>
  <si>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</si>
  <si>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</si>
  <si>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</si>
  <si>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</si>
  <si>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</si>
  <si>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</si>
  <si>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</si>
  <si>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</si>
  <si>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</si>
  <si>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</si>
  <si>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</si>
  <si>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</si>
  <si>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</si>
  <si>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</si>
  <si>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</si>
  <si>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</si>
  <si>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</si>
  <si>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</si>
  <si>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</si>
  <si>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</si>
  <si>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</si>
  <si>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</si>
  <si>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</si>
  <si>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</si>
  <si>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</si>
  <si>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</si>
  <si>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</si>
  <si>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</si>
  <si>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</si>
  <si>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</si>
  <si>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</si>
  <si>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</si>
  <si>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</si>
  <si>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</si>
  <si>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</si>
  <si>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</si>
  <si>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</si>
  <si>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</si>
  <si>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</si>
  <si>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</si>
  <si>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</si>
  <si>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</si>
  <si>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</si>
  <si>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</si>
  <si>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</si>
  <si>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</si>
  <si>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</si>
  <si>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</si>
  <si>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</si>
  <si>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</si>
  <si>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</si>
  <si>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</si>
  <si>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</si>
  <si>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</si>
  <si>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</si>
  <si>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</si>
  <si>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</si>
  <si>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</si>
  <si>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</si>
  <si>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</si>
  <si>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</si>
  <si>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</si>
  <si>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</si>
  <si>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</si>
  <si>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</si>
  <si>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</si>
  <si>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</si>
  <si>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</si>
  <si>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</si>
  <si>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</si>
  <si>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</si>
  <si>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</si>
  <si>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</si>
  <si>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</si>
  <si>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</si>
  <si>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</si>
  <si>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</si>
  <si>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</si>
  <si>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</si>
  <si>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</si>
  <si>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</si>
  <si>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</si>
  <si>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</si>
  <si>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</si>
  <si>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</si>
  <si>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</si>
  <si>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</si>
  <si>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</si>
  <si>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</si>
  <si>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</si>
  <si>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</si>
  <si>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</si>
  <si>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</si>
  <si>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</si>
  <si>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</si>
  <si>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</si>
  <si>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</si>
  <si>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</si>
  <si>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</si>
  <si>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</si>
  <si>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</si>
  <si>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</si>
  <si>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</si>
  <si>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</si>
  <si>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</si>
  <si>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</si>
  <si>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</si>
  <si>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</si>
  <si>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</si>
  <si>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</si>
  <si>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</si>
  <si>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</si>
  <si>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</si>
  <si>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</si>
  <si>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</si>
  <si>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</si>
  <si>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</si>
  <si>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</si>
  <si>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</si>
  <si>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</si>
  <si>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</si>
  <si>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</si>
  <si>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</si>
  <si>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</si>
  <si>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</si>
  <si>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</si>
  <si>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</si>
  <si>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</si>
  <si>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</si>
  <si>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</si>
  <si>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</si>
  <si>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</si>
  <si>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</si>
  <si>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</si>
  <si>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</si>
  <si>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</si>
  <si>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</si>
  <si>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</si>
  <si>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</si>
  <si>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</si>
  <si>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</si>
  <si>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</si>
  <si>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</si>
  <si>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</si>
  <si>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</si>
  <si>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</si>
  <si>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</si>
  <si>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</si>
  <si>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</si>
  <si>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</si>
  <si>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</si>
  <si>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</si>
  <si>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</si>
  <si>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</si>
  <si>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</si>
  <si>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</si>
  <si>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</si>
  <si>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</si>
  <si>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</si>
  <si>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</si>
  <si>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</si>
  <si>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</si>
  <si>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</si>
  <si>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</si>
  <si>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</si>
  <si>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</si>
  <si>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</si>
  <si>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</si>
  <si>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</si>
  <si>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</si>
  <si>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</si>
  <si>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</si>
  <si>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</si>
  <si>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</si>
  <si>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</si>
  <si>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</si>
  <si>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</si>
  <si>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</si>
  <si>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</si>
  <si>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</si>
  <si>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</si>
  <si>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</si>
  <si>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</si>
  <si>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</si>
  <si>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</si>
  <si>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</si>
  <si>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</si>
  <si>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</si>
  <si>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</si>
  <si>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</si>
  <si>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</si>
  <si>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</si>
  <si>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</si>
  <si>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</si>
  <si>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</si>
  <si>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</si>
  <si>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</si>
  <si>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</si>
  <si>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</si>
  <si>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</si>
  <si>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</si>
  <si>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</si>
  <si>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</si>
  <si>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</si>
  <si>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</si>
  <si>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</si>
  <si>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</si>
  <si>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</si>
  <si>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</si>
  <si>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</si>
  <si>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</si>
  <si>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</si>
  <si>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</si>
  <si>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</si>
  <si>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</si>
  <si>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</si>
  <si>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</si>
  <si>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</si>
  <si>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</si>
  <si>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</si>
  <si>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</si>
  <si>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</si>
  <si>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</si>
  <si>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</si>
  <si>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</si>
  <si>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</si>
  <si>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</si>
  <si>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</si>
  <si>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</si>
  <si>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</si>
  <si>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</si>
  <si>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</si>
  <si>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</si>
  <si>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</si>
  <si>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</si>
  <si>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</si>
  <si>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</si>
  <si>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</si>
  <si>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</si>
  <si>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</si>
  <si>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</si>
  <si>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</si>
  <si>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</si>
  <si>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</si>
  <si>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</si>
  <si>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</si>
  <si>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</si>
  <si>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</si>
  <si>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</si>
  <si>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</si>
  <si>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</si>
  <si>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</si>
  <si>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</si>
  <si>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</si>
  <si>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</si>
  <si>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</si>
  <si>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</si>
  <si>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</si>
  <si>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</si>
  <si>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</si>
  <si>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</si>
  <si>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</si>
  <si>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</si>
  <si>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</si>
  <si>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</si>
  <si>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</si>
  <si>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</si>
  <si>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</si>
  <si>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</si>
  <si>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</si>
  <si>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</si>
  <si>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</si>
  <si>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</si>
  <si>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</si>
  <si>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</si>
  <si>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</si>
  <si>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</si>
  <si>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</si>
  <si>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</si>
  <si>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</si>
  <si>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</si>
  <si>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</si>
  <si>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</si>
  <si>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</si>
  <si>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</si>
  <si>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</si>
  <si>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</si>
  <si>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</si>
  <si>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</si>
  <si>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</si>
  <si>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</si>
  <si>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</si>
  <si>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</si>
  <si>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</si>
  <si>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</si>
  <si>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</si>
  <si>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</si>
  <si>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</si>
  <si>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</si>
  <si>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</si>
  <si>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</si>
  <si>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</si>
  <si>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</si>
  <si>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</si>
  <si>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</si>
  <si>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</si>
  <si>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</si>
  <si>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</si>
  <si>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</si>
  <si>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</si>
  <si>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</si>
  <si>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</si>
  <si>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</si>
  <si>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</si>
  <si>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</si>
  <si>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</si>
  <si>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</si>
  <si>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</si>
  <si>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</si>
  <si>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</si>
  <si>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</si>
  <si>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</si>
  <si>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</si>
  <si>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</si>
  <si>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</si>
  <si>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</si>
  <si>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</si>
  <si>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</si>
  <si>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</si>
  <si>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</si>
  <si>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</si>
  <si>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</si>
  <si>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</si>
  <si>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</si>
  <si>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</si>
  <si>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</si>
  <si>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</si>
  <si>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</si>
  <si>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</si>
  <si>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</si>
  <si>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</si>
  <si>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</si>
  <si>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</si>
  <si>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</si>
  <si>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</si>
  <si>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</si>
  <si>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</si>
  <si>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</si>
  <si>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</si>
  <si>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</si>
  <si>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</si>
  <si>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</si>
  <si>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</si>
  <si>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</si>
  <si>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</si>
  <si>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</si>
  <si>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</si>
  <si>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</si>
  <si>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</si>
  <si>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</si>
  <si>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</si>
  <si>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</si>
  <si>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</si>
  <si>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</si>
  <si>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</si>
  <si>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</si>
  <si>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</si>
  <si>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</si>
  <si>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</si>
  <si>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</si>
  <si>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</si>
  <si>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</si>
  <si>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</si>
  <si>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</si>
  <si>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</si>
  <si>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</si>
  <si>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</si>
  <si>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</si>
  <si>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</si>
  <si>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</si>
  <si>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</si>
  <si>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</si>
  <si>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</si>
  <si>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</si>
  <si>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</si>
  <si>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</si>
  <si>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</si>
  <si>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</si>
  <si>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</si>
  <si>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</si>
  <si>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</si>
  <si>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</si>
  <si>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</si>
  <si>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</si>
  <si>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</si>
  <si>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</si>
  <si>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</si>
  <si>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</si>
  <si>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</si>
  <si>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</si>
  <si>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</si>
  <si>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</si>
  <si>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</si>
  <si>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</si>
  <si>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</si>
  <si>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</si>
  <si>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</si>
  <si>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</si>
  <si>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</si>
  <si>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</si>
  <si>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</si>
  <si>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</si>
  <si>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</si>
  <si>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</si>
  <si>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</si>
  <si>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</si>
  <si>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</si>
  <si>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</si>
  <si>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</si>
  <si>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</si>
  <si>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</si>
  <si>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</si>
  <si>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</si>
  <si>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</si>
  <si>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</si>
  <si>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</si>
  <si>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</si>
  <si>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</si>
  <si>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</si>
  <si>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</si>
  <si>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</si>
  <si>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</si>
  <si>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</si>
  <si>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</si>
  <si>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</si>
  <si>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</si>
  <si>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</si>
  <si>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</si>
  <si>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</si>
  <si>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</si>
  <si>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</si>
  <si>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</si>
  <si>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</si>
  <si>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</si>
  <si>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</si>
  <si>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</si>
  <si>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</si>
  <si>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</si>
  <si>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</si>
  <si>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</si>
  <si>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</si>
  <si>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</si>
  <si>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</si>
  <si>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</si>
  <si>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</si>
  <si>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</si>
  <si>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</si>
  <si>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</si>
  <si>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</si>
  <si>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</si>
  <si>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</si>
  <si>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</si>
  <si>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</si>
  <si>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</si>
  <si>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</si>
  <si>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</si>
  <si>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</si>
  <si>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</si>
  <si>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</si>
  <si>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</si>
  <si>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</si>
  <si>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</si>
  <si>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</si>
  <si>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</si>
  <si>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</si>
  <si>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</si>
  <si>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</si>
  <si>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</si>
  <si>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</si>
  <si>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</si>
  <si>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</si>
  <si>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</si>
  <si>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</si>
  <si>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</si>
  <si>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</si>
  <si>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</si>
  <si>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</si>
  <si>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</si>
  <si>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</si>
  <si>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</si>
  <si>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</si>
  <si>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</si>
  <si>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</si>
  <si>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</si>
  <si>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</si>
  <si>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</si>
  <si>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</si>
  <si>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</si>
  <si>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</si>
  <si>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</si>
  <si>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</si>
  <si>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</si>
  <si>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</si>
  <si>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</si>
  <si>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</si>
  <si>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</si>
  <si>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</si>
  <si>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</si>
  <si>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</si>
  <si>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</si>
  <si>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</si>
  <si>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</si>
  <si>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</si>
  <si>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</si>
  <si>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</si>
  <si>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</si>
  <si>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</si>
  <si>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</si>
  <si>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</si>
  <si>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</si>
  <si>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</si>
  <si>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</si>
  <si>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</si>
  <si>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</si>
  <si>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</si>
  <si>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</si>
  <si>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</si>
  <si>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</si>
  <si>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</si>
  <si>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</si>
  <si>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</si>
  <si>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</si>
  <si>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</si>
  <si>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</si>
  <si>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</si>
  <si>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</si>
  <si>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</si>
  <si>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</si>
  <si>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</si>
  <si>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</si>
  <si>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</si>
  <si>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</si>
  <si>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</si>
  <si>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</si>
  <si>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</si>
  <si>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</si>
  <si>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</si>
  <si>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</si>
  <si>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</si>
  <si>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</si>
  <si>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</si>
  <si>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</si>
  <si>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</si>
  <si>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</si>
  <si>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</si>
  <si>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</si>
  <si>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</si>
  <si>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</si>
  <si>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</si>
  <si>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</si>
  <si>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</si>
  <si>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</si>
  <si>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</si>
  <si>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</si>
  <si>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</si>
  <si>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</si>
  <si>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</si>
  <si>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</si>
  <si>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</si>
  <si>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</si>
  <si>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</si>
  <si>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</si>
  <si>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</si>
  <si>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</si>
  <si>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</si>
  <si>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</si>
  <si>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</si>
  <si>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</si>
  <si>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</si>
  <si>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</si>
  <si>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</si>
  <si>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</si>
  <si>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</si>
  <si>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</si>
  <si>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</si>
  <si>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</si>
  <si>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</si>
  <si>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</si>
  <si>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</si>
  <si>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</si>
  <si>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</si>
  <si>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</si>
  <si>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</si>
  <si>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</si>
  <si>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</si>
  <si>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</si>
  <si>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</si>
  <si>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</si>
  <si>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</si>
  <si>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</si>
  <si>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</si>
  <si>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</si>
  <si>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</si>
  <si>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</si>
  <si>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</si>
  <si>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</si>
  <si>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</si>
  <si>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</si>
  <si>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</si>
  <si>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</si>
  <si>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</si>
  <si>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</si>
  <si>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</si>
  <si>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</si>
  <si>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</si>
  <si>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</si>
  <si>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</si>
  <si>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</si>
  <si>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</si>
  <si>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</si>
  <si>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</si>
  <si>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</si>
  <si>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</si>
  <si>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</si>
  <si>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</si>
  <si>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</si>
  <si>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</si>
  <si>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</si>
  <si>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</si>
  <si>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</si>
  <si>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</si>
  <si>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</si>
  <si>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</si>
  <si>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</si>
  <si>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</si>
  <si>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</si>
  <si>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</si>
  <si>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</si>
  <si>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</si>
  <si>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</si>
  <si>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</si>
  <si>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</si>
  <si>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</si>
  <si>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</si>
  <si>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</si>
  <si>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</si>
  <si>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</si>
  <si>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</si>
  <si>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</si>
  <si>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</si>
  <si>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</si>
  <si>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</si>
  <si>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</si>
  <si>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</si>
  <si>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</si>
  <si>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</si>
  <si>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</si>
  <si>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</si>
  <si>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</si>
  <si>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</si>
  <si>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</si>
  <si>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</si>
  <si>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</si>
  <si>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</si>
  <si>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</si>
  <si>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</si>
  <si>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</si>
  <si>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</si>
  <si>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</si>
  <si>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</si>
  <si>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</si>
  <si>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</si>
  <si>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</si>
  <si>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</si>
  <si>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</si>
  <si>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</si>
  <si>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</si>
  <si>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</si>
  <si>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</si>
  <si>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</si>
  <si>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</si>
  <si>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</si>
  <si>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</si>
  <si>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</si>
  <si>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</si>
  <si>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</si>
  <si>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</si>
  <si>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</si>
  <si>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</si>
  <si>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</si>
  <si>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</si>
  <si>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</si>
  <si>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</si>
  <si>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</si>
  <si>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</si>
  <si>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</si>
  <si>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</si>
  <si>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</si>
  <si>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</si>
  <si>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</si>
  <si>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</si>
  <si>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</si>
  <si>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</si>
  <si>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</si>
  <si>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</si>
  <si>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</si>
  <si>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</si>
  <si>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</si>
  <si>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</si>
  <si>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</si>
  <si>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</si>
  <si>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</si>
  <si>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</si>
  <si>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</si>
  <si>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</si>
  <si>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</si>
  <si>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</si>
  <si>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</si>
  <si>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</si>
  <si>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</si>
  <si>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</si>
  <si>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</si>
  <si>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</si>
  <si>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</si>
  <si>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</si>
  <si>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</si>
  <si>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</si>
  <si>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</si>
  <si>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</si>
  <si>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</si>
  <si>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</si>
  <si>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</si>
  <si>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</si>
  <si>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</si>
  <si>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</si>
  <si>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</si>
  <si>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</si>
  <si>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</si>
  <si>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</si>
  <si>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</si>
  <si>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</si>
  <si>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</si>
  <si>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</si>
  <si>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</si>
  <si>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</si>
  <si>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</si>
  <si>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</si>
  <si>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</si>
  <si>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</si>
  <si>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</si>
  <si>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</si>
  <si>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</si>
  <si>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</si>
  <si>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</si>
  <si>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</si>
  <si>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</si>
  <si>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</si>
  <si>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</si>
  <si>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</si>
  <si>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</si>
  <si>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</si>
  <si>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</si>
  <si>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</si>
  <si>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</si>
  <si>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</si>
  <si>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</si>
  <si>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</si>
  <si>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</si>
  <si>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</si>
  <si>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</si>
  <si>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</si>
  <si>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</si>
  <si>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</si>
  <si>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24059</t>
  </si>
  <si>
    <t>LANDEN</t>
  </si>
  <si>
    <t>Mestbank (maart 2019)</t>
  </si>
  <si>
    <t>Fluvius (februari 2019)</t>
  </si>
  <si>
    <t>referentietaak LNE (2017); Jaarverslag De Lijn (2018)</t>
  </si>
  <si>
    <t>VEA (30 april 2019)</t>
  </si>
  <si>
    <t>VEA (mei 2018)</t>
  </si>
  <si>
    <t>VEA (mei 2019)</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</si>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</sst>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142267.71896500312</c:v>
                </c:pt>
                <c:pt idx="1">
                  <c:v>26932.273221215379</c:v>
                </c:pt>
                <c:pt idx="2">
                  <c:v>977.96400000000006</c:v>
                </c:pt>
                <c:pt idx="3">
                  <c:v>6555.8704795810545</c:v>
                </c:pt>
                <c:pt idx="4">
                  <c:v>38608.97530468872</c:v>
                </c:pt>
                <c:pt idx="5">
                  <c:v>93934.960563506058</c:v>
                </c:pt>
                <c:pt idx="6">
                  <c:v>1068.9321150599283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142267.71896500312</c:v>
                </c:pt>
                <c:pt idx="1">
                  <c:v>26932.273221215379</c:v>
                </c:pt>
                <c:pt idx="2">
                  <c:v>977.96400000000006</c:v>
                </c:pt>
                <c:pt idx="3">
                  <c:v>6555.8704795810545</c:v>
                </c:pt>
                <c:pt idx="4">
                  <c:v>38608.97530468872</c:v>
                </c:pt>
                <c:pt idx="5">
                  <c:v>93934.960563506058</c:v>
                </c:pt>
                <c:pt idx="6">
                  <c:v>1068.9321150599283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31182.963715262569</c:v>
                </c:pt>
                <c:pt idx="1">
                  <c:v>5309.3372414630903</c:v>
                </c:pt>
                <c:pt idx="2">
                  <c:v>204.35504349538178</c:v>
                </c:pt>
                <c:pt idx="3">
                  <c:v>1688.6857737915775</c:v>
                </c:pt>
                <c:pt idx="4">
                  <c:v>8238.8924992136253</c:v>
                </c:pt>
                <c:pt idx="5">
                  <c:v>23340.560637455914</c:v>
                </c:pt>
                <c:pt idx="6">
                  <c:v>270.37727581556936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31182.963715262569</c:v>
                </c:pt>
                <c:pt idx="1">
                  <c:v>5309.3372414630903</c:v>
                </c:pt>
                <c:pt idx="2">
                  <c:v>204.35504349538178</c:v>
                </c:pt>
                <c:pt idx="3">
                  <c:v>1688.6857737915775</c:v>
                </c:pt>
                <c:pt idx="4">
                  <c:v>8238.8924992136253</c:v>
                </c:pt>
                <c:pt idx="5">
                  <c:v>23340.560637455914</c:v>
                </c:pt>
                <c:pt idx="6">
                  <c:v>270.37727581556936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12982.844713</v>
      </c>
      <c r="D10" s="712">
        <f ca="1">tertiair!C16</f>
        <v>12.175675675675675</v>
      </c>
      <c r="E10" s="712">
        <f ca="1">tertiair!D16</f>
        <v>11838.454121533026</v>
      </c>
      <c r="F10" s="712">
        <f>tertiair!E16</f>
        <v>189.30080082046402</v>
      </c>
      <c r="G10" s="712">
        <f ca="1">tertiair!F16</f>
        <v>1361.6320599790351</v>
      </c>
      <c r="H10" s="712">
        <f>tertiair!G16</f>
        <v>0</v>
      </c>
      <c r="I10" s="712">
        <f>tertiair!H16</f>
        <v>0</v>
      </c>
      <c r="J10" s="712">
        <f>tertiair!I16</f>
        <v>0</v>
      </c>
      <c r="K10" s="712">
        <f>tertiair!J16</f>
        <v>3.7593746382955019E-2</v>
      </c>
      <c r="L10" s="712">
        <f>tertiair!K16</f>
        <v>0</v>
      </c>
      <c r="M10" s="712">
        <f ca="1">tertiair!L16</f>
        <v>0</v>
      </c>
      <c r="N10" s="712">
        <f>tertiair!M16</f>
        <v>0</v>
      </c>
      <c r="O10" s="712">
        <f ca="1">tertiair!N16</f>
        <v>1473.2531181542981</v>
      </c>
      <c r="P10" s="712">
        <f>tertiair!O16</f>
        <v>0</v>
      </c>
      <c r="Q10" s="713">
        <f>tertiair!P16</f>
        <v>52.539138306495019</v>
      </c>
      <c r="R10" s="715">
        <f ca="1">SUM(C10:Q10)</f>
        <v>27910.237221215379</v>
      </c>
      <c r="S10" s="67"/>
    </row>
    <row r="11" spans="1:19" s="474" customFormat="1">
      <c r="A11" s="834" t="s">
        <v>224</v>
      </c>
      <c r="B11" s="839"/>
      <c r="C11" s="712">
        <f>huishoudens!B8</f>
        <v>27624.188777293853</v>
      </c>
      <c r="D11" s="712">
        <f>huishoudens!C8</f>
        <v>0</v>
      </c>
      <c r="E11" s="712">
        <f>huishoudens!D8</f>
        <v>33874.589253999999</v>
      </c>
      <c r="F11" s="712">
        <f>huishoudens!E8</f>
        <v>9606.0566807858777</v>
      </c>
      <c r="G11" s="712">
        <f>huishoudens!F8</f>
        <v>61375.955806707148</v>
      </c>
      <c r="H11" s="712">
        <f>huishoudens!G8</f>
        <v>0</v>
      </c>
      <c r="I11" s="712">
        <f>huishoudens!H8</f>
        <v>0</v>
      </c>
      <c r="J11" s="712">
        <f>huishoudens!I8</f>
        <v>0</v>
      </c>
      <c r="K11" s="712">
        <f>huishoudens!J8</f>
        <v>0</v>
      </c>
      <c r="L11" s="712">
        <f>huishoudens!K8</f>
        <v>0</v>
      </c>
      <c r="M11" s="712">
        <f>huishoudens!L8</f>
        <v>0</v>
      </c>
      <c r="N11" s="712">
        <f>huishoudens!M8</f>
        <v>0</v>
      </c>
      <c r="O11" s="712">
        <f>huishoudens!N8</f>
        <v>9045.2073713403006</v>
      </c>
      <c r="P11" s="712">
        <f>huishoudens!O8</f>
        <v>236.09102810705679</v>
      </c>
      <c r="Q11" s="713">
        <f>huishoudens!P8</f>
        <v>505.63004676888113</v>
      </c>
      <c r="R11" s="715">
        <f>SUM(C11:Q11)</f>
        <v>142267.71896500312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20863.187300000001</v>
      </c>
      <c r="D13" s="712">
        <f>industrie!C18</f>
        <v>5207.1428571428578</v>
      </c>
      <c r="E13" s="712">
        <f>industrie!D18</f>
        <v>9344.3113021142835</v>
      </c>
      <c r="F13" s="712">
        <f>industrie!E18</f>
        <v>429.24673743373506</v>
      </c>
      <c r="G13" s="712">
        <f>industrie!F18</f>
        <v>2419.4914842537532</v>
      </c>
      <c r="H13" s="712">
        <f>industrie!G18</f>
        <v>0</v>
      </c>
      <c r="I13" s="712">
        <f>industrie!H18</f>
        <v>0</v>
      </c>
      <c r="J13" s="712">
        <f>industrie!I18</f>
        <v>0</v>
      </c>
      <c r="K13" s="712">
        <f>industrie!J18</f>
        <v>31.16235324680634</v>
      </c>
      <c r="L13" s="712">
        <f>industrie!K18</f>
        <v>0</v>
      </c>
      <c r="M13" s="712">
        <f>industrie!L18</f>
        <v>0</v>
      </c>
      <c r="N13" s="712">
        <f>industrie!M18</f>
        <v>0</v>
      </c>
      <c r="O13" s="712">
        <f>industrie!N18</f>
        <v>314.43327049727333</v>
      </c>
      <c r="P13" s="712">
        <f>industrie!O18</f>
        <v>0</v>
      </c>
      <c r="Q13" s="713">
        <f>industrie!P18</f>
        <v>0</v>
      </c>
      <c r="R13" s="715">
        <f>SUM(C13:Q13)</f>
        <v>38608.97530468872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61470.220790293853</v>
      </c>
      <c r="D16" s="748">
        <f t="shared" ref="D16:R16" ca="1" si="0">SUM(D9:D15)</f>
        <v>5219.3185328185336</v>
      </c>
      <c r="E16" s="748">
        <f t="shared" ca="1" si="0"/>
        <v>55057.354677647309</v>
      </c>
      <c r="F16" s="748">
        <f t="shared" si="0"/>
        <v>10224.604219040077</v>
      </c>
      <c r="G16" s="748">
        <f t="shared" ca="1" si="0"/>
        <v>65157.079350939937</v>
      </c>
      <c r="H16" s="748">
        <f t="shared" si="0"/>
        <v>0</v>
      </c>
      <c r="I16" s="748">
        <f t="shared" si="0"/>
        <v>0</v>
      </c>
      <c r="J16" s="748">
        <f t="shared" si="0"/>
        <v>0</v>
      </c>
      <c r="K16" s="748">
        <f t="shared" si="0"/>
        <v>31.199946993189297</v>
      </c>
      <c r="L16" s="748">
        <f t="shared" si="0"/>
        <v>0</v>
      </c>
      <c r="M16" s="748">
        <f t="shared" ca="1" si="0"/>
        <v>0</v>
      </c>
      <c r="N16" s="748">
        <f t="shared" si="0"/>
        <v>0</v>
      </c>
      <c r="O16" s="748">
        <f t="shared" ca="1" si="0"/>
        <v>10832.893759991872</v>
      </c>
      <c r="P16" s="748">
        <f t="shared" si="0"/>
        <v>236.09102810705679</v>
      </c>
      <c r="Q16" s="748">
        <f t="shared" si="0"/>
        <v>558.16918507537616</v>
      </c>
      <c r="R16" s="748">
        <f t="shared" ca="1" si="0"/>
        <v>208786.93149090721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1012.64897309202</v>
      </c>
      <c r="I19" s="712">
        <f>transport!H54</f>
        <v>0</v>
      </c>
      <c r="J19" s="712">
        <f>transport!I54</f>
        <v>0</v>
      </c>
      <c r="K19" s="712">
        <f>transport!J54</f>
        <v>0</v>
      </c>
      <c r="L19" s="712">
        <f>transport!K54</f>
        <v>0</v>
      </c>
      <c r="M19" s="712">
        <f>transport!L54</f>
        <v>0</v>
      </c>
      <c r="N19" s="712">
        <f>transport!M54</f>
        <v>56.283141967908229</v>
      </c>
      <c r="O19" s="712">
        <f>transport!N54</f>
        <v>0</v>
      </c>
      <c r="P19" s="712">
        <f>transport!O54</f>
        <v>0</v>
      </c>
      <c r="Q19" s="713">
        <f>transport!P54</f>
        <v>0</v>
      </c>
      <c r="R19" s="715">
        <f>SUM(C19:Q19)</f>
        <v>1068.9321150599283</v>
      </c>
      <c r="S19" s="67"/>
    </row>
    <row r="20" spans="1:19" s="474" customFormat="1">
      <c r="A20" s="834" t="s">
        <v>306</v>
      </c>
      <c r="B20" s="839"/>
      <c r="C20" s="712">
        <f>transport!B14</f>
        <v>56.128438284722222</v>
      </c>
      <c r="D20" s="712">
        <f>transport!C14</f>
        <v>0</v>
      </c>
      <c r="E20" s="712">
        <f>transport!D14</f>
        <v>233.64137223851665</v>
      </c>
      <c r="F20" s="712">
        <f>transport!E14</f>
        <v>195.45249374746527</v>
      </c>
      <c r="G20" s="712">
        <f>transport!F14</f>
        <v>0</v>
      </c>
      <c r="H20" s="712">
        <f>transport!G14</f>
        <v>70575.489496520429</v>
      </c>
      <c r="I20" s="712">
        <f>transport!H14</f>
        <v>17645.032482595991</v>
      </c>
      <c r="J20" s="712">
        <f>transport!I14</f>
        <v>0</v>
      </c>
      <c r="K20" s="712">
        <f>transport!J14</f>
        <v>0</v>
      </c>
      <c r="L20" s="712">
        <f>transport!K14</f>
        <v>0</v>
      </c>
      <c r="M20" s="712">
        <f>transport!L14</f>
        <v>0</v>
      </c>
      <c r="N20" s="712">
        <f>transport!M14</f>
        <v>5229.2162801189443</v>
      </c>
      <c r="O20" s="712">
        <f>transport!N14</f>
        <v>0</v>
      </c>
      <c r="P20" s="712">
        <f>transport!O14</f>
        <v>0</v>
      </c>
      <c r="Q20" s="713">
        <f>transport!P14</f>
        <v>0</v>
      </c>
      <c r="R20" s="715">
        <f>SUM(C20:Q20)</f>
        <v>93934.960563506058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56.128438284722222</v>
      </c>
      <c r="D22" s="837">
        <f t="shared" ref="D22:R22" si="1">SUM(D18:D21)</f>
        <v>0</v>
      </c>
      <c r="E22" s="837">
        <f t="shared" si="1"/>
        <v>233.64137223851665</v>
      </c>
      <c r="F22" s="837">
        <f t="shared" si="1"/>
        <v>195.45249374746527</v>
      </c>
      <c r="G22" s="837">
        <f t="shared" si="1"/>
        <v>0</v>
      </c>
      <c r="H22" s="837">
        <f t="shared" si="1"/>
        <v>71588.138469612444</v>
      </c>
      <c r="I22" s="837">
        <f t="shared" si="1"/>
        <v>17645.032482595991</v>
      </c>
      <c r="J22" s="837">
        <f t="shared" si="1"/>
        <v>0</v>
      </c>
      <c r="K22" s="837">
        <f t="shared" si="1"/>
        <v>0</v>
      </c>
      <c r="L22" s="837">
        <f t="shared" si="1"/>
        <v>0</v>
      </c>
      <c r="M22" s="837">
        <f t="shared" si="1"/>
        <v>0</v>
      </c>
      <c r="N22" s="837">
        <f t="shared" si="1"/>
        <v>5285.4994220868521</v>
      </c>
      <c r="O22" s="837">
        <f t="shared" si="1"/>
        <v>0</v>
      </c>
      <c r="P22" s="837">
        <f t="shared" si="1"/>
        <v>0</v>
      </c>
      <c r="Q22" s="837">
        <f t="shared" si="1"/>
        <v>0</v>
      </c>
      <c r="R22" s="837">
        <f t="shared" si="1"/>
        <v>95003.892678565986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1304.530448</v>
      </c>
      <c r="D24" s="712">
        <f>+landbouw!C8</f>
        <v>0</v>
      </c>
      <c r="E24" s="712">
        <f>+landbouw!D8</f>
        <v>240.86376600000003</v>
      </c>
      <c r="F24" s="712">
        <f>+landbouw!E8</f>
        <v>40.713965101008782</v>
      </c>
      <c r="G24" s="712">
        <f>+landbouw!F8</f>
        <v>4610.3551152166747</v>
      </c>
      <c r="H24" s="712">
        <f>+landbouw!G8</f>
        <v>0</v>
      </c>
      <c r="I24" s="712">
        <f>+landbouw!H8</f>
        <v>0</v>
      </c>
      <c r="J24" s="712">
        <f>+landbouw!I8</f>
        <v>0</v>
      </c>
      <c r="K24" s="712">
        <f>+landbouw!J8</f>
        <v>359.40718526337099</v>
      </c>
      <c r="L24" s="712">
        <f>+landbouw!K8</f>
        <v>0</v>
      </c>
      <c r="M24" s="712">
        <f>+landbouw!L8</f>
        <v>0</v>
      </c>
      <c r="N24" s="712">
        <f>+landbouw!M8</f>
        <v>0</v>
      </c>
      <c r="O24" s="712">
        <f>+landbouw!N8</f>
        <v>0</v>
      </c>
      <c r="P24" s="712">
        <f>+landbouw!O8</f>
        <v>0</v>
      </c>
      <c r="Q24" s="713">
        <f>+landbouw!P8</f>
        <v>0</v>
      </c>
      <c r="R24" s="715">
        <f>SUM(C24:Q24)</f>
        <v>6555.8704795810545</v>
      </c>
      <c r="S24" s="67"/>
    </row>
    <row r="25" spans="1:19" s="474" customFormat="1" ht="15" thickBot="1">
      <c r="A25" s="856" t="s">
        <v>734</v>
      </c>
      <c r="B25" s="982"/>
      <c r="C25" s="983">
        <f>IF(Onbekend_ele_kWh="---",0,Onbekend_ele_kWh)/1000+IF(REST_rest_ele_kWh="---",0,REST_rest_ele_kWh)/1000</f>
        <v>813.238069</v>
      </c>
      <c r="D25" s="983"/>
      <c r="E25" s="983">
        <f>IF(onbekend_gas_kWh="---",0,onbekend_gas_kWh)/1000+IF(REST_rest_gas_kWh="---",0,REST_rest_gas_kWh)/1000</f>
        <v>1880.3362</v>
      </c>
      <c r="F25" s="983"/>
      <c r="G25" s="983"/>
      <c r="H25" s="983"/>
      <c r="I25" s="983"/>
      <c r="J25" s="983"/>
      <c r="K25" s="983"/>
      <c r="L25" s="983"/>
      <c r="M25" s="983"/>
      <c r="N25" s="983"/>
      <c r="O25" s="983"/>
      <c r="P25" s="983"/>
      <c r="Q25" s="984"/>
      <c r="R25" s="715">
        <f>SUM(C25:Q25)</f>
        <v>2693.5742689999997</v>
      </c>
      <c r="S25" s="67"/>
    </row>
    <row r="26" spans="1:19" s="474" customFormat="1" ht="15.75" thickBot="1">
      <c r="A26" s="720" t="s">
        <v>735</v>
      </c>
      <c r="B26" s="842"/>
      <c r="C26" s="837">
        <f>SUM(C24:C25)</f>
        <v>2117.768517</v>
      </c>
      <c r="D26" s="837">
        <f t="shared" ref="D26:R26" si="2">SUM(D24:D25)</f>
        <v>0</v>
      </c>
      <c r="E26" s="837">
        <f t="shared" si="2"/>
        <v>2121.1999660000001</v>
      </c>
      <c r="F26" s="837">
        <f t="shared" si="2"/>
        <v>40.713965101008782</v>
      </c>
      <c r="G26" s="837">
        <f t="shared" si="2"/>
        <v>4610.3551152166747</v>
      </c>
      <c r="H26" s="837">
        <f t="shared" si="2"/>
        <v>0</v>
      </c>
      <c r="I26" s="837">
        <f t="shared" si="2"/>
        <v>0</v>
      </c>
      <c r="J26" s="837">
        <f t="shared" si="2"/>
        <v>0</v>
      </c>
      <c r="K26" s="837">
        <f t="shared" si="2"/>
        <v>359.40718526337099</v>
      </c>
      <c r="L26" s="837">
        <f t="shared" si="2"/>
        <v>0</v>
      </c>
      <c r="M26" s="837">
        <f t="shared" si="2"/>
        <v>0</v>
      </c>
      <c r="N26" s="837">
        <f t="shared" si="2"/>
        <v>0</v>
      </c>
      <c r="O26" s="837">
        <f t="shared" si="2"/>
        <v>0</v>
      </c>
      <c r="P26" s="837">
        <f t="shared" si="2"/>
        <v>0</v>
      </c>
      <c r="Q26" s="837">
        <f t="shared" si="2"/>
        <v>0</v>
      </c>
      <c r="R26" s="837">
        <f t="shared" si="2"/>
        <v>9249.4447485810542</v>
      </c>
      <c r="S26" s="67"/>
    </row>
    <row r="27" spans="1:19" s="474" customFormat="1" ht="17.25" thickTop="1" thickBot="1">
      <c r="A27" s="721" t="s">
        <v>115</v>
      </c>
      <c r="B27" s="829"/>
      <c r="C27" s="722">
        <f ca="1">C22+C16+C26</f>
        <v>63644.117745578573</v>
      </c>
      <c r="D27" s="722">
        <f t="shared" ref="D27:R27" ca="1" si="3">D22+D16+D26</f>
        <v>5219.3185328185336</v>
      </c>
      <c r="E27" s="722">
        <f t="shared" ca="1" si="3"/>
        <v>57412.196015885827</v>
      </c>
      <c r="F27" s="722">
        <f t="shared" si="3"/>
        <v>10460.770677888551</v>
      </c>
      <c r="G27" s="722">
        <f t="shared" ca="1" si="3"/>
        <v>69767.434466156614</v>
      </c>
      <c r="H27" s="722">
        <f t="shared" si="3"/>
        <v>71588.138469612444</v>
      </c>
      <c r="I27" s="722">
        <f t="shared" si="3"/>
        <v>17645.032482595991</v>
      </c>
      <c r="J27" s="722">
        <f t="shared" si="3"/>
        <v>0</v>
      </c>
      <c r="K27" s="722">
        <f t="shared" si="3"/>
        <v>390.60713225656031</v>
      </c>
      <c r="L27" s="722">
        <f t="shared" si="3"/>
        <v>0</v>
      </c>
      <c r="M27" s="722">
        <f t="shared" ca="1" si="3"/>
        <v>0</v>
      </c>
      <c r="N27" s="722">
        <f t="shared" si="3"/>
        <v>5285.4994220868521</v>
      </c>
      <c r="O27" s="722">
        <f t="shared" ca="1" si="3"/>
        <v>10832.893759991872</v>
      </c>
      <c r="P27" s="722">
        <f t="shared" si="3"/>
        <v>236.09102810705679</v>
      </c>
      <c r="Q27" s="722">
        <f t="shared" si="3"/>
        <v>558.16918507537616</v>
      </c>
      <c r="R27" s="722">
        <f t="shared" ca="1" si="3"/>
        <v>313040.26891805424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2712.8910634940576</v>
      </c>
      <c r="D40" s="712">
        <f ca="1">tertiair!C20</f>
        <v>2.893138927875945</v>
      </c>
      <c r="E40" s="712">
        <f ca="1">tertiair!D20</f>
        <v>2391.3677325496715</v>
      </c>
      <c r="F40" s="712">
        <f>tertiair!E20</f>
        <v>42.971281786245335</v>
      </c>
      <c r="G40" s="712">
        <f ca="1">tertiair!F20</f>
        <v>363.55576001440238</v>
      </c>
      <c r="H40" s="712">
        <f>tertiair!G20</f>
        <v>0</v>
      </c>
      <c r="I40" s="712">
        <f>tertiair!H20</f>
        <v>0</v>
      </c>
      <c r="J40" s="712">
        <f>tertiair!I20</f>
        <v>0</v>
      </c>
      <c r="K40" s="712">
        <f>tertiair!J20</f>
        <v>1.3308186219566077E-2</v>
      </c>
      <c r="L40" s="712">
        <f>tertiair!K20</f>
        <v>0</v>
      </c>
      <c r="M40" s="712">
        <f ca="1">tertiair!L20</f>
        <v>0</v>
      </c>
      <c r="N40" s="712">
        <f>tertiair!M20</f>
        <v>0</v>
      </c>
      <c r="O40" s="712">
        <f ca="1">tertiair!N20</f>
        <v>0</v>
      </c>
      <c r="P40" s="712">
        <f>tertiair!O20</f>
        <v>0</v>
      </c>
      <c r="Q40" s="795">
        <f>tertiair!P20</f>
        <v>0</v>
      </c>
      <c r="R40" s="875">
        <f t="shared" ca="1" si="4"/>
        <v>5513.6922849584726</v>
      </c>
    </row>
    <row r="41" spans="1:18">
      <c r="A41" s="847" t="s">
        <v>224</v>
      </c>
      <c r="B41" s="854"/>
      <c r="C41" s="712">
        <f ca="1">huishoudens!B12</f>
        <v>5772.3416190253656</v>
      </c>
      <c r="D41" s="712">
        <f ca="1">huishoudens!C12</f>
        <v>0</v>
      </c>
      <c r="E41" s="712">
        <f>huishoudens!D12</f>
        <v>6842.6670293080006</v>
      </c>
      <c r="F41" s="712">
        <f>huishoudens!E12</f>
        <v>2180.5748665383944</v>
      </c>
      <c r="G41" s="712">
        <f>huishoudens!F12</f>
        <v>16387.380200390809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31182.963715262569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4359.5649207371607</v>
      </c>
      <c r="D43" s="712">
        <f ca="1">industrie!C22</f>
        <v>1237.3019867068001</v>
      </c>
      <c r="E43" s="712">
        <f>industrie!D22</f>
        <v>1887.5508830270853</v>
      </c>
      <c r="F43" s="712">
        <f>industrie!E22</f>
        <v>97.439009397457866</v>
      </c>
      <c r="G43" s="712">
        <f>industrie!F22</f>
        <v>646.00422629575212</v>
      </c>
      <c r="H43" s="712">
        <f>industrie!G22</f>
        <v>0</v>
      </c>
      <c r="I43" s="712">
        <f>industrie!H22</f>
        <v>0</v>
      </c>
      <c r="J43" s="712">
        <f>industrie!I22</f>
        <v>0</v>
      </c>
      <c r="K43" s="712">
        <f>industrie!J22</f>
        <v>11.031473049369444</v>
      </c>
      <c r="L43" s="712">
        <f>industrie!K22</f>
        <v>0</v>
      </c>
      <c r="M43" s="712">
        <f>industrie!L22</f>
        <v>0</v>
      </c>
      <c r="N43" s="712">
        <f>industrie!M22</f>
        <v>0</v>
      </c>
      <c r="O43" s="712">
        <f>industrie!N22</f>
        <v>0</v>
      </c>
      <c r="P43" s="712">
        <f>industrie!O22</f>
        <v>0</v>
      </c>
      <c r="Q43" s="795">
        <f>industrie!P22</f>
        <v>0</v>
      </c>
      <c r="R43" s="874">
        <f t="shared" ca="1" si="4"/>
        <v>8238.8924992136253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12844.797603256584</v>
      </c>
      <c r="D46" s="748">
        <f t="shared" ref="D46:Q46" ca="1" si="5">SUM(D39:D45)</f>
        <v>1240.1951256346761</v>
      </c>
      <c r="E46" s="748">
        <f t="shared" ca="1" si="5"/>
        <v>11121.585644884757</v>
      </c>
      <c r="F46" s="748">
        <f t="shared" si="5"/>
        <v>2320.9851577220979</v>
      </c>
      <c r="G46" s="748">
        <f t="shared" ca="1" si="5"/>
        <v>17396.940186700962</v>
      </c>
      <c r="H46" s="748">
        <f t="shared" si="5"/>
        <v>0</v>
      </c>
      <c r="I46" s="748">
        <f t="shared" si="5"/>
        <v>0</v>
      </c>
      <c r="J46" s="748">
        <f t="shared" si="5"/>
        <v>0</v>
      </c>
      <c r="K46" s="748">
        <f t="shared" si="5"/>
        <v>11.04478123558901</v>
      </c>
      <c r="L46" s="748">
        <f t="shared" si="5"/>
        <v>0</v>
      </c>
      <c r="M46" s="748">
        <f t="shared" ca="1" si="5"/>
        <v>0</v>
      </c>
      <c r="N46" s="748">
        <f t="shared" si="5"/>
        <v>0</v>
      </c>
      <c r="O46" s="748">
        <f t="shared" ca="1" si="5"/>
        <v>0</v>
      </c>
      <c r="P46" s="748">
        <f t="shared" si="5"/>
        <v>0</v>
      </c>
      <c r="Q46" s="748">
        <f t="shared" si="5"/>
        <v>0</v>
      </c>
      <c r="R46" s="748">
        <f ca="1">SUM(R39:R45)</f>
        <v>44935.548499434663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270.37727581556936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270.37727581556936</v>
      </c>
    </row>
    <row r="50" spans="1:18">
      <c r="A50" s="850" t="s">
        <v>306</v>
      </c>
      <c r="B50" s="860"/>
      <c r="C50" s="718">
        <f ca="1">transport!B18</f>
        <v>11.728580445703789</v>
      </c>
      <c r="D50" s="718">
        <f>transport!C18</f>
        <v>0</v>
      </c>
      <c r="E50" s="718">
        <f>transport!D18</f>
        <v>47.195557192180367</v>
      </c>
      <c r="F50" s="718">
        <f>transport!E18</f>
        <v>44.367716080674619</v>
      </c>
      <c r="G50" s="718">
        <f>transport!F18</f>
        <v>0</v>
      </c>
      <c r="H50" s="718">
        <f>transport!G18</f>
        <v>18843.655695570957</v>
      </c>
      <c r="I50" s="718">
        <f>transport!H18</f>
        <v>4393.6130881664012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23340.560637455914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11.728580445703789</v>
      </c>
      <c r="D52" s="748">
        <f t="shared" ref="D52:Q52" ca="1" si="6">SUM(D48:D51)</f>
        <v>0</v>
      </c>
      <c r="E52" s="748">
        <f t="shared" si="6"/>
        <v>47.195557192180367</v>
      </c>
      <c r="F52" s="748">
        <f t="shared" si="6"/>
        <v>44.367716080674619</v>
      </c>
      <c r="G52" s="748">
        <f t="shared" si="6"/>
        <v>0</v>
      </c>
      <c r="H52" s="748">
        <f t="shared" si="6"/>
        <v>19114.032971386525</v>
      </c>
      <c r="I52" s="748">
        <f t="shared" si="6"/>
        <v>4393.6130881664012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23610.937913271482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272.59426363556315</v>
      </c>
      <c r="D54" s="718">
        <f ca="1">+landbouw!C12</f>
        <v>0</v>
      </c>
      <c r="E54" s="718">
        <f>+landbouw!D12</f>
        <v>48.65448073200001</v>
      </c>
      <c r="F54" s="718">
        <f>+landbouw!E12</f>
        <v>9.242070077928993</v>
      </c>
      <c r="G54" s="718">
        <f>+landbouw!F12</f>
        <v>1230.9648157628521</v>
      </c>
      <c r="H54" s="718">
        <f>+landbouw!G12</f>
        <v>0</v>
      </c>
      <c r="I54" s="718">
        <f>+landbouw!H12</f>
        <v>0</v>
      </c>
      <c r="J54" s="718">
        <f>+landbouw!I12</f>
        <v>0</v>
      </c>
      <c r="K54" s="718">
        <f>+landbouw!J12</f>
        <v>127.23014358323333</v>
      </c>
      <c r="L54" s="718">
        <f>+landbouw!K12</f>
        <v>0</v>
      </c>
      <c r="M54" s="718">
        <f>+landbouw!L12</f>
        <v>0</v>
      </c>
      <c r="N54" s="718">
        <f>+landbouw!M12</f>
        <v>0</v>
      </c>
      <c r="O54" s="718">
        <f>+landbouw!N12</f>
        <v>0</v>
      </c>
      <c r="P54" s="718">
        <f>+landbouw!O12</f>
        <v>0</v>
      </c>
      <c r="Q54" s="719">
        <f>+landbouw!P12</f>
        <v>0</v>
      </c>
      <c r="R54" s="747">
        <f ca="1">SUM(C54:Q54)</f>
        <v>1688.6857737915775</v>
      </c>
    </row>
    <row r="55" spans="1:18" ht="15" thickBot="1">
      <c r="A55" s="850" t="s">
        <v>734</v>
      </c>
      <c r="B55" s="860"/>
      <c r="C55" s="718">
        <f ca="1">C25*'EF ele_warmte'!B12</f>
        <v>169.93396583370685</v>
      </c>
      <c r="D55" s="718"/>
      <c r="E55" s="718">
        <f>E25*EF_CO2_aardgas</f>
        <v>379.8279124</v>
      </c>
      <c r="F55" s="718"/>
      <c r="G55" s="718"/>
      <c r="H55" s="718"/>
      <c r="I55" s="718"/>
      <c r="J55" s="718"/>
      <c r="K55" s="718"/>
      <c r="L55" s="718"/>
      <c r="M55" s="718"/>
      <c r="N55" s="718"/>
      <c r="O55" s="718"/>
      <c r="P55" s="718"/>
      <c r="Q55" s="719"/>
      <c r="R55" s="747">
        <f ca="1">SUM(C55:Q55)</f>
        <v>549.76187823370685</v>
      </c>
    </row>
    <row r="56" spans="1:18" ht="15.75" thickBot="1">
      <c r="A56" s="848" t="s">
        <v>735</v>
      </c>
      <c r="B56" s="861"/>
      <c r="C56" s="748">
        <f ca="1">SUM(C54:C55)</f>
        <v>442.52822946927</v>
      </c>
      <c r="D56" s="748">
        <f t="shared" ref="D56:Q56" ca="1" si="7">SUM(D54:D55)</f>
        <v>0</v>
      </c>
      <c r="E56" s="748">
        <f t="shared" si="7"/>
        <v>428.48239313200003</v>
      </c>
      <c r="F56" s="748">
        <f t="shared" si="7"/>
        <v>9.242070077928993</v>
      </c>
      <c r="G56" s="748">
        <f t="shared" si="7"/>
        <v>1230.9648157628521</v>
      </c>
      <c r="H56" s="748">
        <f t="shared" si="7"/>
        <v>0</v>
      </c>
      <c r="I56" s="748">
        <f t="shared" si="7"/>
        <v>0</v>
      </c>
      <c r="J56" s="748">
        <f t="shared" si="7"/>
        <v>0</v>
      </c>
      <c r="K56" s="748">
        <f t="shared" si="7"/>
        <v>127.23014358323333</v>
      </c>
      <c r="L56" s="748">
        <f t="shared" si="7"/>
        <v>0</v>
      </c>
      <c r="M56" s="748">
        <f t="shared" si="7"/>
        <v>0</v>
      </c>
      <c r="N56" s="748">
        <f t="shared" si="7"/>
        <v>0</v>
      </c>
      <c r="O56" s="748">
        <f t="shared" si="7"/>
        <v>0</v>
      </c>
      <c r="P56" s="748">
        <f t="shared" si="7"/>
        <v>0</v>
      </c>
      <c r="Q56" s="749">
        <f t="shared" si="7"/>
        <v>0</v>
      </c>
      <c r="R56" s="750">
        <f ca="1">SUM(R54:R55)</f>
        <v>2238.4476520252842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13299.054413171558</v>
      </c>
      <c r="D61" s="756">
        <f t="shared" ref="D61:Q61" ca="1" si="8">D46+D52+D56</f>
        <v>1240.1951256346761</v>
      </c>
      <c r="E61" s="756">
        <f t="shared" ca="1" si="8"/>
        <v>11597.263595208939</v>
      </c>
      <c r="F61" s="756">
        <f t="shared" si="8"/>
        <v>2374.5949438807015</v>
      </c>
      <c r="G61" s="756">
        <f t="shared" ca="1" si="8"/>
        <v>18627.905002463813</v>
      </c>
      <c r="H61" s="756">
        <f t="shared" si="8"/>
        <v>19114.032971386525</v>
      </c>
      <c r="I61" s="756">
        <f t="shared" si="8"/>
        <v>4393.6130881664012</v>
      </c>
      <c r="J61" s="756">
        <f t="shared" si="8"/>
        <v>0</v>
      </c>
      <c r="K61" s="756">
        <f t="shared" si="8"/>
        <v>138.27492481882234</v>
      </c>
      <c r="L61" s="756">
        <f t="shared" si="8"/>
        <v>0</v>
      </c>
      <c r="M61" s="756">
        <f t="shared" ca="1" si="8"/>
        <v>0</v>
      </c>
      <c r="N61" s="756">
        <f t="shared" si="8"/>
        <v>0</v>
      </c>
      <c r="O61" s="756">
        <f t="shared" ca="1" si="8"/>
        <v>0</v>
      </c>
      <c r="P61" s="756">
        <f t="shared" si="8"/>
        <v>0</v>
      </c>
      <c r="Q61" s="756">
        <f t="shared" si="8"/>
        <v>0</v>
      </c>
      <c r="R61" s="756">
        <f ca="1">R46+R52+R56</f>
        <v>70784.934064731424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0.20895967898141629</v>
      </c>
      <c r="D63" s="802">
        <f t="shared" ca="1" si="9"/>
        <v>0.23761629374341836</v>
      </c>
      <c r="E63" s="1008">
        <f t="shared" ca="1" si="9"/>
        <v>0.20200000000000001</v>
      </c>
      <c r="F63" s="802">
        <f t="shared" si="9"/>
        <v>0.22700000000000004</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3742.0960986103528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3653.5000000000005</v>
      </c>
      <c r="D76" s="991">
        <f>'lokale energieproductie'!C8</f>
        <v>4297.6788573840549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868.13112919157913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3742.0960986103528</v>
      </c>
      <c r="C78" s="774">
        <f>SUM(C72:C77)</f>
        <v>3653.5000000000005</v>
      </c>
      <c r="D78" s="775">
        <f t="shared" ref="D78:H78" si="10">SUM(D76:D77)</f>
        <v>4297.6788573840549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868.13112919157913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5219.3185328185336</v>
      </c>
      <c r="D87" s="798">
        <f>'lokale energieproductie'!C17</f>
        <v>6139.579829874634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1240.1951256346761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5219.3185328185336</v>
      </c>
      <c r="D90" s="774">
        <f t="shared" ref="D90:H90" si="12">SUM(D87:D89)</f>
        <v>6139.579829874634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1240.1951256346761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27624.188777293853</v>
      </c>
      <c r="C4" s="478">
        <f>huishoudens!C8</f>
        <v>0</v>
      </c>
      <c r="D4" s="478">
        <f>huishoudens!D8</f>
        <v>33874.589253999999</v>
      </c>
      <c r="E4" s="478">
        <f>huishoudens!E8</f>
        <v>9606.0566807858777</v>
      </c>
      <c r="F4" s="478">
        <f>huishoudens!F8</f>
        <v>61375.955806707148</v>
      </c>
      <c r="G4" s="478">
        <f>huishoudens!G8</f>
        <v>0</v>
      </c>
      <c r="H4" s="478">
        <f>huishoudens!H8</f>
        <v>0</v>
      </c>
      <c r="I4" s="478">
        <f>huishoudens!I8</f>
        <v>0</v>
      </c>
      <c r="J4" s="478">
        <f>huishoudens!J8</f>
        <v>0</v>
      </c>
      <c r="K4" s="478">
        <f>huishoudens!K8</f>
        <v>0</v>
      </c>
      <c r="L4" s="478">
        <f>huishoudens!L8</f>
        <v>0</v>
      </c>
      <c r="M4" s="478">
        <f>huishoudens!M8</f>
        <v>0</v>
      </c>
      <c r="N4" s="478">
        <f>huishoudens!N8</f>
        <v>9045.2073713403006</v>
      </c>
      <c r="O4" s="478">
        <f>huishoudens!O8</f>
        <v>236.09102810705679</v>
      </c>
      <c r="P4" s="479">
        <f>huishoudens!P8</f>
        <v>505.63004676888113</v>
      </c>
      <c r="Q4" s="480">
        <f>SUM(B4:P4)</f>
        <v>142267.71896500312</v>
      </c>
    </row>
    <row r="5" spans="1:17">
      <c r="A5" s="477" t="s">
        <v>155</v>
      </c>
      <c r="B5" s="478">
        <f ca="1">tertiair!B16</f>
        <v>12004.880713</v>
      </c>
      <c r="C5" s="478">
        <f ca="1">tertiair!C16</f>
        <v>12.175675675675675</v>
      </c>
      <c r="D5" s="478">
        <f ca="1">tertiair!D16</f>
        <v>11838.454121533026</v>
      </c>
      <c r="E5" s="478">
        <f>tertiair!E16</f>
        <v>189.30080082046402</v>
      </c>
      <c r="F5" s="478">
        <f ca="1">tertiair!F16</f>
        <v>1361.6320599790351</v>
      </c>
      <c r="G5" s="478">
        <f>tertiair!G16</f>
        <v>0</v>
      </c>
      <c r="H5" s="478">
        <f>tertiair!H16</f>
        <v>0</v>
      </c>
      <c r="I5" s="478">
        <f>tertiair!I16</f>
        <v>0</v>
      </c>
      <c r="J5" s="478">
        <f>tertiair!J16</f>
        <v>3.7593746382955019E-2</v>
      </c>
      <c r="K5" s="478">
        <f>tertiair!K16</f>
        <v>0</v>
      </c>
      <c r="L5" s="478">
        <f ca="1">tertiair!L16</f>
        <v>0</v>
      </c>
      <c r="M5" s="478">
        <f>tertiair!M16</f>
        <v>0</v>
      </c>
      <c r="N5" s="478">
        <f ca="1">tertiair!N16</f>
        <v>1473.2531181542981</v>
      </c>
      <c r="O5" s="478">
        <f>tertiair!O16</f>
        <v>0</v>
      </c>
      <c r="P5" s="479">
        <f>tertiair!P16</f>
        <v>52.539138306495019</v>
      </c>
      <c r="Q5" s="477">
        <f t="shared" ref="Q5:Q14" ca="1" si="0">SUM(B5:P5)</f>
        <v>26932.273221215379</v>
      </c>
    </row>
    <row r="6" spans="1:17">
      <c r="A6" s="477" t="s">
        <v>193</v>
      </c>
      <c r="B6" s="478">
        <f>'openbare verlichting'!B8</f>
        <v>977.96400000000006</v>
      </c>
      <c r="C6" s="478"/>
      <c r="D6" s="478"/>
      <c r="E6" s="478"/>
      <c r="F6" s="478"/>
      <c r="G6" s="478"/>
      <c r="H6" s="478"/>
      <c r="I6" s="478"/>
      <c r="J6" s="478"/>
      <c r="K6" s="478"/>
      <c r="L6" s="478"/>
      <c r="M6" s="478"/>
      <c r="N6" s="478"/>
      <c r="O6" s="478"/>
      <c r="P6" s="479"/>
      <c r="Q6" s="477">
        <f t="shared" si="0"/>
        <v>977.96400000000006</v>
      </c>
    </row>
    <row r="7" spans="1:17">
      <c r="A7" s="477" t="s">
        <v>111</v>
      </c>
      <c r="B7" s="478">
        <f>landbouw!B8</f>
        <v>1304.530448</v>
      </c>
      <c r="C7" s="478">
        <f>landbouw!C8</f>
        <v>0</v>
      </c>
      <c r="D7" s="478">
        <f>landbouw!D8</f>
        <v>240.86376600000003</v>
      </c>
      <c r="E7" s="478">
        <f>landbouw!E8</f>
        <v>40.713965101008782</v>
      </c>
      <c r="F7" s="478">
        <f>landbouw!F8</f>
        <v>4610.3551152166747</v>
      </c>
      <c r="G7" s="478">
        <f>landbouw!G8</f>
        <v>0</v>
      </c>
      <c r="H7" s="478">
        <f>landbouw!H8</f>
        <v>0</v>
      </c>
      <c r="I7" s="478">
        <f>landbouw!I8</f>
        <v>0</v>
      </c>
      <c r="J7" s="478">
        <f>landbouw!J8</f>
        <v>359.40718526337099</v>
      </c>
      <c r="K7" s="478">
        <f>landbouw!K8</f>
        <v>0</v>
      </c>
      <c r="L7" s="478">
        <f>landbouw!L8</f>
        <v>0</v>
      </c>
      <c r="M7" s="478">
        <f>landbouw!M8</f>
        <v>0</v>
      </c>
      <c r="N7" s="478">
        <f>landbouw!N8</f>
        <v>0</v>
      </c>
      <c r="O7" s="478">
        <f>landbouw!O8</f>
        <v>0</v>
      </c>
      <c r="P7" s="479">
        <f>landbouw!P8</f>
        <v>0</v>
      </c>
      <c r="Q7" s="477">
        <f t="shared" si="0"/>
        <v>6555.8704795810545</v>
      </c>
    </row>
    <row r="8" spans="1:17">
      <c r="A8" s="477" t="s">
        <v>629</v>
      </c>
      <c r="B8" s="478">
        <f>industrie!B18</f>
        <v>20863.187300000001</v>
      </c>
      <c r="C8" s="478">
        <f>industrie!C18</f>
        <v>5207.1428571428578</v>
      </c>
      <c r="D8" s="478">
        <f>industrie!D18</f>
        <v>9344.3113021142835</v>
      </c>
      <c r="E8" s="478">
        <f>industrie!E18</f>
        <v>429.24673743373506</v>
      </c>
      <c r="F8" s="478">
        <f>industrie!F18</f>
        <v>2419.4914842537532</v>
      </c>
      <c r="G8" s="478">
        <f>industrie!G18</f>
        <v>0</v>
      </c>
      <c r="H8" s="478">
        <f>industrie!H18</f>
        <v>0</v>
      </c>
      <c r="I8" s="478">
        <f>industrie!I18</f>
        <v>0</v>
      </c>
      <c r="J8" s="478">
        <f>industrie!J18</f>
        <v>31.16235324680634</v>
      </c>
      <c r="K8" s="478">
        <f>industrie!K18</f>
        <v>0</v>
      </c>
      <c r="L8" s="478">
        <f>industrie!L18</f>
        <v>0</v>
      </c>
      <c r="M8" s="478">
        <f>industrie!M18</f>
        <v>0</v>
      </c>
      <c r="N8" s="478">
        <f>industrie!N18</f>
        <v>314.43327049727333</v>
      </c>
      <c r="O8" s="478">
        <f>industrie!O18</f>
        <v>0</v>
      </c>
      <c r="P8" s="479">
        <f>industrie!P18</f>
        <v>0</v>
      </c>
      <c r="Q8" s="477">
        <f t="shared" si="0"/>
        <v>38608.97530468872</v>
      </c>
    </row>
    <row r="9" spans="1:17" s="483" customFormat="1">
      <c r="A9" s="481" t="s">
        <v>555</v>
      </c>
      <c r="B9" s="482">
        <f>transport!B14</f>
        <v>56.128438284722222</v>
      </c>
      <c r="C9" s="482">
        <f>transport!C14</f>
        <v>0</v>
      </c>
      <c r="D9" s="482">
        <f>transport!D14</f>
        <v>233.64137223851665</v>
      </c>
      <c r="E9" s="482">
        <f>transport!E14</f>
        <v>195.45249374746527</v>
      </c>
      <c r="F9" s="482">
        <f>transport!F14</f>
        <v>0</v>
      </c>
      <c r="G9" s="482">
        <f>transport!G14</f>
        <v>70575.489496520429</v>
      </c>
      <c r="H9" s="482">
        <f>transport!H14</f>
        <v>17645.032482595991</v>
      </c>
      <c r="I9" s="482">
        <f>transport!I14</f>
        <v>0</v>
      </c>
      <c r="J9" s="482">
        <f>transport!J14</f>
        <v>0</v>
      </c>
      <c r="K9" s="482">
        <f>transport!K14</f>
        <v>0</v>
      </c>
      <c r="L9" s="482">
        <f>transport!L14</f>
        <v>0</v>
      </c>
      <c r="M9" s="482">
        <f>transport!M14</f>
        <v>5229.2162801189443</v>
      </c>
      <c r="N9" s="482">
        <f>transport!N14</f>
        <v>0</v>
      </c>
      <c r="O9" s="482">
        <f>transport!O14</f>
        <v>0</v>
      </c>
      <c r="P9" s="482">
        <f>transport!P14</f>
        <v>0</v>
      </c>
      <c r="Q9" s="481">
        <f>SUM(B9:P9)</f>
        <v>93934.960563506058</v>
      </c>
    </row>
    <row r="10" spans="1:17">
      <c r="A10" s="477" t="s">
        <v>545</v>
      </c>
      <c r="B10" s="478">
        <f>transport!B54</f>
        <v>0</v>
      </c>
      <c r="C10" s="478">
        <f>transport!C54</f>
        <v>0</v>
      </c>
      <c r="D10" s="478">
        <f>transport!D54</f>
        <v>0</v>
      </c>
      <c r="E10" s="478">
        <f>transport!E54</f>
        <v>0</v>
      </c>
      <c r="F10" s="478">
        <f>transport!F54</f>
        <v>0</v>
      </c>
      <c r="G10" s="478">
        <f>transport!G54</f>
        <v>1012.64897309202</v>
      </c>
      <c r="H10" s="478">
        <f>transport!H54</f>
        <v>0</v>
      </c>
      <c r="I10" s="478">
        <f>transport!I54</f>
        <v>0</v>
      </c>
      <c r="J10" s="478">
        <f>transport!J54</f>
        <v>0</v>
      </c>
      <c r="K10" s="478">
        <f>transport!K54</f>
        <v>0</v>
      </c>
      <c r="L10" s="478">
        <f>transport!L54</f>
        <v>0</v>
      </c>
      <c r="M10" s="478">
        <f>transport!M54</f>
        <v>56.283141967908229</v>
      </c>
      <c r="N10" s="478">
        <f>transport!N54</f>
        <v>0</v>
      </c>
      <c r="O10" s="478">
        <f>transport!O54</f>
        <v>0</v>
      </c>
      <c r="P10" s="479">
        <f>transport!P54</f>
        <v>0</v>
      </c>
      <c r="Q10" s="477">
        <f t="shared" si="0"/>
        <v>1068.9321150599283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813.238069</v>
      </c>
      <c r="C14" s="485"/>
      <c r="D14" s="485">
        <f>'SEAP template'!E25</f>
        <v>1880.3362</v>
      </c>
      <c r="E14" s="485"/>
      <c r="F14" s="485"/>
      <c r="G14" s="485"/>
      <c r="H14" s="485"/>
      <c r="I14" s="485"/>
      <c r="J14" s="485"/>
      <c r="K14" s="485"/>
      <c r="L14" s="485"/>
      <c r="M14" s="485"/>
      <c r="N14" s="485"/>
      <c r="O14" s="485"/>
      <c r="P14" s="486"/>
      <c r="Q14" s="477">
        <f t="shared" si="0"/>
        <v>2693.5742689999997</v>
      </c>
    </row>
    <row r="15" spans="1:17" s="489" customFormat="1">
      <c r="A15" s="487" t="s">
        <v>549</v>
      </c>
      <c r="B15" s="488">
        <f ca="1">SUM(B4:B14)</f>
        <v>63644.11774557858</v>
      </c>
      <c r="C15" s="488">
        <f t="shared" ref="C15:Q15" ca="1" si="1">SUM(C4:C14)</f>
        <v>5219.3185328185336</v>
      </c>
      <c r="D15" s="488">
        <f t="shared" ca="1" si="1"/>
        <v>57412.196015885827</v>
      </c>
      <c r="E15" s="488">
        <f t="shared" si="1"/>
        <v>10460.770677888551</v>
      </c>
      <c r="F15" s="488">
        <f t="shared" ca="1" si="1"/>
        <v>69767.434466156614</v>
      </c>
      <c r="G15" s="488">
        <f t="shared" si="1"/>
        <v>71588.138469612444</v>
      </c>
      <c r="H15" s="488">
        <f t="shared" si="1"/>
        <v>17645.032482595991</v>
      </c>
      <c r="I15" s="488">
        <f t="shared" si="1"/>
        <v>0</v>
      </c>
      <c r="J15" s="488">
        <f t="shared" si="1"/>
        <v>390.60713225656031</v>
      </c>
      <c r="K15" s="488">
        <f t="shared" si="1"/>
        <v>0</v>
      </c>
      <c r="L15" s="488">
        <f t="shared" ca="1" si="1"/>
        <v>0</v>
      </c>
      <c r="M15" s="488">
        <f t="shared" si="1"/>
        <v>5285.4994220868521</v>
      </c>
      <c r="N15" s="488">
        <f t="shared" ca="1" si="1"/>
        <v>10832.893759991872</v>
      </c>
      <c r="O15" s="488">
        <f t="shared" si="1"/>
        <v>236.09102810705679</v>
      </c>
      <c r="P15" s="488">
        <f t="shared" si="1"/>
        <v>558.16918507537616</v>
      </c>
      <c r="Q15" s="488">
        <f t="shared" ca="1" si="1"/>
        <v>313040.26891805424</v>
      </c>
    </row>
    <row r="17" spans="1:17">
      <c r="A17" s="490" t="s">
        <v>550</v>
      </c>
      <c r="B17" s="807">
        <f ca="1">huishoudens!B10</f>
        <v>0.20895967898141626</v>
      </c>
      <c r="C17" s="807">
        <f ca="1">huishoudens!C10</f>
        <v>0.23761629374341836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5772.3416190253656</v>
      </c>
      <c r="C22" s="478">
        <f t="shared" ref="C22:C32" ca="1" si="3">C4*$C$17</f>
        <v>0</v>
      </c>
      <c r="D22" s="478">
        <f t="shared" ref="D22:D32" si="4">D4*$D$17</f>
        <v>6842.6670293080006</v>
      </c>
      <c r="E22" s="478">
        <f t="shared" ref="E22:E32" si="5">E4*$E$17</f>
        <v>2180.5748665383944</v>
      </c>
      <c r="F22" s="478">
        <f t="shared" ref="F22:F32" si="6">F4*$F$17</f>
        <v>16387.380200390809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31182.963715262569</v>
      </c>
    </row>
    <row r="23" spans="1:17">
      <c r="A23" s="477" t="s">
        <v>155</v>
      </c>
      <c r="B23" s="478">
        <f t="shared" ca="1" si="2"/>
        <v>2508.5360199986758</v>
      </c>
      <c r="C23" s="478">
        <f t="shared" ca="1" si="3"/>
        <v>2.893138927875945</v>
      </c>
      <c r="D23" s="478">
        <f t="shared" ca="1" si="4"/>
        <v>2391.3677325496715</v>
      </c>
      <c r="E23" s="478">
        <f t="shared" si="5"/>
        <v>42.971281786245335</v>
      </c>
      <c r="F23" s="478">
        <f t="shared" ca="1" si="6"/>
        <v>363.55576001440238</v>
      </c>
      <c r="G23" s="478">
        <f t="shared" si="7"/>
        <v>0</v>
      </c>
      <c r="H23" s="478">
        <f t="shared" si="8"/>
        <v>0</v>
      </c>
      <c r="I23" s="478">
        <f t="shared" si="9"/>
        <v>0</v>
      </c>
      <c r="J23" s="478">
        <f t="shared" si="10"/>
        <v>1.3308186219566077E-2</v>
      </c>
      <c r="K23" s="478">
        <f t="shared" si="11"/>
        <v>0</v>
      </c>
      <c r="L23" s="478">
        <f t="shared" ca="1" si="12"/>
        <v>0</v>
      </c>
      <c r="M23" s="478">
        <f t="shared" si="13"/>
        <v>0</v>
      </c>
      <c r="N23" s="478">
        <f t="shared" ca="1" si="14"/>
        <v>0</v>
      </c>
      <c r="O23" s="478">
        <f t="shared" si="15"/>
        <v>0</v>
      </c>
      <c r="P23" s="479">
        <f t="shared" si="16"/>
        <v>0</v>
      </c>
      <c r="Q23" s="477">
        <f t="shared" ref="Q23:Q31" ca="1" si="17">SUM(B23:P23)</f>
        <v>5309.3372414630903</v>
      </c>
    </row>
    <row r="24" spans="1:17">
      <c r="A24" s="477" t="s">
        <v>193</v>
      </c>
      <c r="B24" s="478">
        <f t="shared" ca="1" si="2"/>
        <v>204.35504349538178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204.35504349538178</v>
      </c>
    </row>
    <row r="25" spans="1:17">
      <c r="A25" s="477" t="s">
        <v>111</v>
      </c>
      <c r="B25" s="478">
        <f t="shared" ca="1" si="2"/>
        <v>272.59426363556315</v>
      </c>
      <c r="C25" s="478">
        <f t="shared" ca="1" si="3"/>
        <v>0</v>
      </c>
      <c r="D25" s="478">
        <f t="shared" si="4"/>
        <v>48.65448073200001</v>
      </c>
      <c r="E25" s="478">
        <f t="shared" si="5"/>
        <v>9.242070077928993</v>
      </c>
      <c r="F25" s="478">
        <f t="shared" si="6"/>
        <v>1230.9648157628521</v>
      </c>
      <c r="G25" s="478">
        <f t="shared" si="7"/>
        <v>0</v>
      </c>
      <c r="H25" s="478">
        <f t="shared" si="8"/>
        <v>0</v>
      </c>
      <c r="I25" s="478">
        <f t="shared" si="9"/>
        <v>0</v>
      </c>
      <c r="J25" s="478">
        <f t="shared" si="10"/>
        <v>127.23014358323333</v>
      </c>
      <c r="K25" s="478">
        <f t="shared" si="11"/>
        <v>0</v>
      </c>
      <c r="L25" s="478">
        <f t="shared" si="12"/>
        <v>0</v>
      </c>
      <c r="M25" s="478">
        <f t="shared" si="13"/>
        <v>0</v>
      </c>
      <c r="N25" s="478">
        <f t="shared" si="14"/>
        <v>0</v>
      </c>
      <c r="O25" s="478">
        <f t="shared" si="15"/>
        <v>0</v>
      </c>
      <c r="P25" s="479">
        <f t="shared" si="16"/>
        <v>0</v>
      </c>
      <c r="Q25" s="477">
        <f t="shared" ca="1" si="17"/>
        <v>1688.6857737915775</v>
      </c>
    </row>
    <row r="26" spans="1:17">
      <c r="A26" s="477" t="s">
        <v>629</v>
      </c>
      <c r="B26" s="478">
        <f t="shared" ca="1" si="2"/>
        <v>4359.5649207371607</v>
      </c>
      <c r="C26" s="478">
        <f t="shared" ca="1" si="3"/>
        <v>1237.3019867068001</v>
      </c>
      <c r="D26" s="478">
        <f t="shared" si="4"/>
        <v>1887.5508830270853</v>
      </c>
      <c r="E26" s="478">
        <f t="shared" si="5"/>
        <v>97.439009397457866</v>
      </c>
      <c r="F26" s="478">
        <f t="shared" si="6"/>
        <v>646.00422629575212</v>
      </c>
      <c r="G26" s="478">
        <f t="shared" si="7"/>
        <v>0</v>
      </c>
      <c r="H26" s="478">
        <f t="shared" si="8"/>
        <v>0</v>
      </c>
      <c r="I26" s="478">
        <f t="shared" si="9"/>
        <v>0</v>
      </c>
      <c r="J26" s="478">
        <f t="shared" si="10"/>
        <v>11.031473049369444</v>
      </c>
      <c r="K26" s="478">
        <f t="shared" si="11"/>
        <v>0</v>
      </c>
      <c r="L26" s="478">
        <f t="shared" si="12"/>
        <v>0</v>
      </c>
      <c r="M26" s="478">
        <f t="shared" si="13"/>
        <v>0</v>
      </c>
      <c r="N26" s="478">
        <f t="shared" si="14"/>
        <v>0</v>
      </c>
      <c r="O26" s="478">
        <f t="shared" si="15"/>
        <v>0</v>
      </c>
      <c r="P26" s="479">
        <f t="shared" si="16"/>
        <v>0</v>
      </c>
      <c r="Q26" s="477">
        <f t="shared" ca="1" si="17"/>
        <v>8238.8924992136253</v>
      </c>
    </row>
    <row r="27" spans="1:17" s="483" customFormat="1">
      <c r="A27" s="481" t="s">
        <v>555</v>
      </c>
      <c r="B27" s="801">
        <f t="shared" ca="1" si="2"/>
        <v>11.728580445703789</v>
      </c>
      <c r="C27" s="482">
        <f t="shared" ca="1" si="3"/>
        <v>0</v>
      </c>
      <c r="D27" s="482">
        <f t="shared" si="4"/>
        <v>47.195557192180367</v>
      </c>
      <c r="E27" s="482">
        <f t="shared" si="5"/>
        <v>44.367716080674619</v>
      </c>
      <c r="F27" s="482">
        <f t="shared" si="6"/>
        <v>0</v>
      </c>
      <c r="G27" s="482">
        <f t="shared" si="7"/>
        <v>18843.655695570957</v>
      </c>
      <c r="H27" s="482">
        <f t="shared" si="8"/>
        <v>4393.6130881664012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23340.560637455914</v>
      </c>
    </row>
    <row r="28" spans="1:17" ht="16.5" customHeight="1">
      <c r="A28" s="477" t="s">
        <v>545</v>
      </c>
      <c r="B28" s="478">
        <f t="shared" ca="1" si="2"/>
        <v>0</v>
      </c>
      <c r="C28" s="478">
        <f t="shared" ca="1" si="3"/>
        <v>0</v>
      </c>
      <c r="D28" s="478">
        <f t="shared" si="4"/>
        <v>0</v>
      </c>
      <c r="E28" s="478">
        <f t="shared" si="5"/>
        <v>0</v>
      </c>
      <c r="F28" s="478">
        <f t="shared" si="6"/>
        <v>0</v>
      </c>
      <c r="G28" s="478">
        <f t="shared" si="7"/>
        <v>270.37727581556936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270.37727581556936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169.93396583370685</v>
      </c>
      <c r="C32" s="478">
        <f t="shared" ca="1" si="3"/>
        <v>0</v>
      </c>
      <c r="D32" s="478">
        <f t="shared" si="4"/>
        <v>379.8279124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549.76187823370685</v>
      </c>
    </row>
    <row r="33" spans="1:17" s="489" customFormat="1">
      <c r="A33" s="487" t="s">
        <v>549</v>
      </c>
      <c r="B33" s="488">
        <f ca="1">SUM(B22:B32)</f>
        <v>13299.054413171558</v>
      </c>
      <c r="C33" s="488">
        <f t="shared" ref="C33:Q33" ca="1" si="19">SUM(C22:C32)</f>
        <v>1240.1951256346761</v>
      </c>
      <c r="D33" s="488">
        <f t="shared" ca="1" si="19"/>
        <v>11597.263595208939</v>
      </c>
      <c r="E33" s="488">
        <f t="shared" si="19"/>
        <v>2374.5949438807015</v>
      </c>
      <c r="F33" s="488">
        <f t="shared" ca="1" si="19"/>
        <v>18627.905002463813</v>
      </c>
      <c r="G33" s="488">
        <f t="shared" si="19"/>
        <v>19114.032971386525</v>
      </c>
      <c r="H33" s="488">
        <f t="shared" si="19"/>
        <v>4393.6130881664012</v>
      </c>
      <c r="I33" s="488">
        <f t="shared" si="19"/>
        <v>0</v>
      </c>
      <c r="J33" s="488">
        <f t="shared" si="19"/>
        <v>138.27492481882234</v>
      </c>
      <c r="K33" s="488">
        <f t="shared" si="19"/>
        <v>0</v>
      </c>
      <c r="L33" s="488">
        <f t="shared" ca="1" si="19"/>
        <v>0</v>
      </c>
      <c r="M33" s="488">
        <f t="shared" si="19"/>
        <v>0</v>
      </c>
      <c r="N33" s="488">
        <f t="shared" ca="1" si="19"/>
        <v>0</v>
      </c>
      <c r="O33" s="488">
        <f t="shared" si="19"/>
        <v>0</v>
      </c>
      <c r="P33" s="488">
        <f t="shared" si="19"/>
        <v>0</v>
      </c>
      <c r="Q33" s="488">
        <f t="shared" ca="1" si="19"/>
        <v>70784.934064731438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3742.0960986103528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3653.5000000000005</v>
      </c>
      <c r="D8" s="1062">
        <f>'SEAP template'!D76</f>
        <v>4297.6788573840549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868.13112919157913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3742.0960986103528</v>
      </c>
      <c r="C10" s="1064">
        <f>SUM(C4:C9)</f>
        <v>3653.5000000000005</v>
      </c>
      <c r="D10" s="1064">
        <f t="shared" ref="D10:H10" si="0">SUM(D8:D9)</f>
        <v>4297.6788573840549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868.13112919157913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0.20895967898141626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5219.3185328185336</v>
      </c>
      <c r="D17" s="1063">
        <f>'SEAP template'!D87</f>
        <v>6139.579829874634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1240.1951256346761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5219.3185328185336</v>
      </c>
      <c r="D20" s="1064">
        <f t="shared" ref="D20:H20" si="2">SUM(D17:D19)</f>
        <v>6139.579829874634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1240.1951256346761</v>
      </c>
    </row>
    <row r="21" spans="1:16">
      <c r="B21" s="913"/>
    </row>
    <row r="22" spans="1:16">
      <c r="A22" s="490" t="s">
        <v>814</v>
      </c>
      <c r="B22" s="807" t="s">
        <v>812</v>
      </c>
      <c r="C22" s="807">
        <f ca="1">'EF ele_warmte'!B22</f>
        <v>0.23761629374341836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0.20895967898141626</v>
      </c>
      <c r="C17" s="527">
        <f ca="1">'EF ele_warmte'!B22</f>
        <v>0.23761629374341836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0.20895967898141626</v>
      </c>
      <c r="C17" s="527">
        <f ca="1">'EF ele_warmte'!B22</f>
        <v>0.23761629374341836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0.20895967898141626</v>
      </c>
      <c r="C29" s="528">
        <f ca="1">'EF ele_warmte'!B22</f>
        <v>0.23761629374341836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6732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4018.02</v>
      </c>
    </row>
    <row r="15" spans="1:6">
      <c r="A15" s="348" t="s">
        <v>183</v>
      </c>
      <c r="B15" s="334">
        <v>3</v>
      </c>
    </row>
    <row r="16" spans="1:6">
      <c r="A16" s="348" t="s">
        <v>6</v>
      </c>
      <c r="B16" s="334">
        <v>139</v>
      </c>
    </row>
    <row r="17" spans="1:6">
      <c r="A17" s="348" t="s">
        <v>7</v>
      </c>
      <c r="B17" s="334">
        <v>248</v>
      </c>
    </row>
    <row r="18" spans="1:6">
      <c r="A18" s="348" t="s">
        <v>8</v>
      </c>
      <c r="B18" s="334">
        <v>284</v>
      </c>
    </row>
    <row r="19" spans="1:6">
      <c r="A19" s="348" t="s">
        <v>9</v>
      </c>
      <c r="B19" s="334">
        <v>239</v>
      </c>
    </row>
    <row r="20" spans="1:6">
      <c r="A20" s="348" t="s">
        <v>10</v>
      </c>
      <c r="B20" s="334">
        <v>150</v>
      </c>
    </row>
    <row r="21" spans="1:6">
      <c r="A21" s="348" t="s">
        <v>11</v>
      </c>
      <c r="B21" s="334">
        <v>559</v>
      </c>
    </row>
    <row r="22" spans="1:6">
      <c r="A22" s="348" t="s">
        <v>12</v>
      </c>
      <c r="B22" s="334">
        <v>2274</v>
      </c>
    </row>
    <row r="23" spans="1:6">
      <c r="A23" s="348" t="s">
        <v>13</v>
      </c>
      <c r="B23" s="334">
        <v>29</v>
      </c>
    </row>
    <row r="24" spans="1:6">
      <c r="A24" s="348" t="s">
        <v>14</v>
      </c>
      <c r="B24" s="334">
        <v>0</v>
      </c>
    </row>
    <row r="25" spans="1:6">
      <c r="A25" s="348" t="s">
        <v>15</v>
      </c>
      <c r="B25" s="334">
        <v>207</v>
      </c>
    </row>
    <row r="26" spans="1:6">
      <c r="A26" s="348" t="s">
        <v>16</v>
      </c>
      <c r="B26" s="334">
        <v>116</v>
      </c>
    </row>
    <row r="27" spans="1:6">
      <c r="A27" s="348" t="s">
        <v>17</v>
      </c>
      <c r="B27" s="334">
        <v>11</v>
      </c>
    </row>
    <row r="28" spans="1:6" s="356" customFormat="1">
      <c r="A28" s="355" t="s">
        <v>18</v>
      </c>
      <c r="B28" s="355">
        <v>8525</v>
      </c>
    </row>
    <row r="29" spans="1:6">
      <c r="A29" s="355" t="s">
        <v>713</v>
      </c>
      <c r="B29" s="355">
        <v>34</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64992</v>
      </c>
    </row>
    <row r="39" spans="1:6">
      <c r="A39" s="348" t="s">
        <v>29</v>
      </c>
      <c r="B39" s="348" t="s">
        <v>30</v>
      </c>
      <c r="C39" s="334">
        <v>2369</v>
      </c>
      <c r="D39" s="334">
        <v>37554977</v>
      </c>
      <c r="E39" s="334">
        <v>6838</v>
      </c>
      <c r="F39" s="334">
        <v>24394803.059999999</v>
      </c>
    </row>
    <row r="40" spans="1:6">
      <c r="A40" s="348" t="s">
        <v>29</v>
      </c>
      <c r="B40" s="348" t="s">
        <v>28</v>
      </c>
      <c r="C40" s="334">
        <v>0</v>
      </c>
      <c r="D40" s="334">
        <v>0</v>
      </c>
      <c r="E40" s="334">
        <v>0</v>
      </c>
      <c r="F40" s="334">
        <v>0</v>
      </c>
    </row>
    <row r="41" spans="1:6">
      <c r="A41" s="348" t="s">
        <v>31</v>
      </c>
      <c r="B41" s="348" t="s">
        <v>32</v>
      </c>
      <c r="C41" s="334">
        <v>20</v>
      </c>
      <c r="D41" s="334">
        <v>462179.8</v>
      </c>
      <c r="E41" s="334">
        <v>71</v>
      </c>
      <c r="F41" s="334">
        <v>975275.25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19212931</v>
      </c>
      <c r="E44" s="334">
        <v>19</v>
      </c>
      <c r="F44" s="334">
        <v>14844158.828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35683.4</v>
      </c>
      <c r="E47" s="334">
        <v>9</v>
      </c>
      <c r="F47" s="334">
        <v>66302.05</v>
      </c>
    </row>
    <row r="48" spans="1:6">
      <c r="A48" s="348" t="s">
        <v>31</v>
      </c>
      <c r="B48" s="348" t="s">
        <v>28</v>
      </c>
      <c r="C48" s="334">
        <v>3</v>
      </c>
      <c r="D48" s="334">
        <v>2194524</v>
      </c>
      <c r="E48" s="334">
        <v>3</v>
      </c>
      <c r="F48" s="334">
        <v>1086789</v>
      </c>
    </row>
    <row r="49" spans="1:6">
      <c r="A49" s="348" t="s">
        <v>31</v>
      </c>
      <c r="B49" s="348" t="s">
        <v>39</v>
      </c>
      <c r="C49" s="334">
        <v>0</v>
      </c>
      <c r="D49" s="334">
        <v>0</v>
      </c>
      <c r="E49" s="334">
        <v>0</v>
      </c>
      <c r="F49" s="334">
        <v>0</v>
      </c>
    </row>
    <row r="50" spans="1:6">
      <c r="A50" s="348" t="s">
        <v>31</v>
      </c>
      <c r="B50" s="348" t="s">
        <v>40</v>
      </c>
      <c r="C50" s="334">
        <v>0</v>
      </c>
      <c r="D50" s="334">
        <v>0</v>
      </c>
      <c r="E50" s="334">
        <v>12</v>
      </c>
      <c r="F50" s="334">
        <v>245662.17199999999</v>
      </c>
    </row>
    <row r="51" spans="1:6">
      <c r="A51" s="348" t="s">
        <v>41</v>
      </c>
      <c r="B51" s="348" t="s">
        <v>42</v>
      </c>
      <c r="C51" s="334">
        <v>12</v>
      </c>
      <c r="D51" s="334">
        <v>267033</v>
      </c>
      <c r="E51" s="334">
        <v>68</v>
      </c>
      <c r="F51" s="334">
        <v>1304530.4480000001</v>
      </c>
    </row>
    <row r="52" spans="1:6">
      <c r="A52" s="348" t="s">
        <v>41</v>
      </c>
      <c r="B52" s="348" t="s">
        <v>28</v>
      </c>
      <c r="C52" s="334">
        <v>0</v>
      </c>
      <c r="D52" s="334">
        <v>0</v>
      </c>
      <c r="E52" s="334">
        <v>0</v>
      </c>
      <c r="F52" s="334">
        <v>0</v>
      </c>
    </row>
    <row r="53" spans="1:6">
      <c r="A53" s="348" t="s">
        <v>43</v>
      </c>
      <c r="B53" s="348" t="s">
        <v>44</v>
      </c>
      <c r="C53" s="334">
        <v>36</v>
      </c>
      <c r="D53" s="334">
        <v>1880336.2</v>
      </c>
      <c r="E53" s="334">
        <v>126</v>
      </c>
      <c r="F53" s="334">
        <v>813238.06900000002</v>
      </c>
    </row>
    <row r="54" spans="1:6">
      <c r="A54" s="348" t="s">
        <v>45</v>
      </c>
      <c r="B54" s="348" t="s">
        <v>46</v>
      </c>
      <c r="C54" s="334">
        <v>0</v>
      </c>
      <c r="D54" s="334">
        <v>0</v>
      </c>
      <c r="E54" s="334">
        <v>1</v>
      </c>
      <c r="F54" s="334">
        <v>977964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23</v>
      </c>
      <c r="D57" s="334">
        <v>943400</v>
      </c>
      <c r="E57" s="334">
        <v>100</v>
      </c>
      <c r="F57" s="334">
        <v>2214516.1060000001</v>
      </c>
    </row>
    <row r="58" spans="1:6">
      <c r="A58" s="348" t="s">
        <v>48</v>
      </c>
      <c r="B58" s="348" t="s">
        <v>50</v>
      </c>
      <c r="C58" s="334">
        <v>15</v>
      </c>
      <c r="D58" s="334">
        <v>1346372</v>
      </c>
      <c r="E58" s="334">
        <v>38</v>
      </c>
      <c r="F58" s="334">
        <v>563396</v>
      </c>
    </row>
    <row r="59" spans="1:6">
      <c r="A59" s="348" t="s">
        <v>48</v>
      </c>
      <c r="B59" s="348" t="s">
        <v>51</v>
      </c>
      <c r="C59" s="334">
        <v>45</v>
      </c>
      <c r="D59" s="334">
        <v>7356447.1030000001</v>
      </c>
      <c r="E59" s="334">
        <v>134</v>
      </c>
      <c r="F59" s="334">
        <v>5723205.1390000004</v>
      </c>
    </row>
    <row r="60" spans="1:6">
      <c r="A60" s="348" t="s">
        <v>48</v>
      </c>
      <c r="B60" s="348" t="s">
        <v>52</v>
      </c>
      <c r="C60" s="334">
        <v>30</v>
      </c>
      <c r="D60" s="334">
        <v>1574809</v>
      </c>
      <c r="E60" s="334">
        <v>52</v>
      </c>
      <c r="F60" s="334">
        <v>975103</v>
      </c>
    </row>
    <row r="61" spans="1:6">
      <c r="A61" s="348" t="s">
        <v>48</v>
      </c>
      <c r="B61" s="348" t="s">
        <v>53</v>
      </c>
      <c r="C61" s="334">
        <v>57</v>
      </c>
      <c r="D61" s="334">
        <v>1906698.8</v>
      </c>
      <c r="E61" s="334">
        <v>196</v>
      </c>
      <c r="F61" s="334">
        <v>2492172.4679999999</v>
      </c>
    </row>
    <row r="62" spans="1:6">
      <c r="A62" s="348" t="s">
        <v>48</v>
      </c>
      <c r="B62" s="348" t="s">
        <v>54</v>
      </c>
      <c r="C62" s="334">
        <v>0</v>
      </c>
      <c r="D62" s="334">
        <v>0</v>
      </c>
      <c r="E62" s="334">
        <v>3</v>
      </c>
      <c r="F62" s="334">
        <v>27988</v>
      </c>
    </row>
    <row r="63" spans="1:6">
      <c r="A63" s="348" t="s">
        <v>48</v>
      </c>
      <c r="B63" s="348" t="s">
        <v>28</v>
      </c>
      <c r="C63" s="334">
        <v>1</v>
      </c>
      <c r="D63" s="334">
        <v>22414</v>
      </c>
      <c r="E63" s="334">
        <v>0</v>
      </c>
      <c r="F63" s="334">
        <v>0</v>
      </c>
    </row>
    <row r="64" spans="1:6">
      <c r="A64" s="348" t="s">
        <v>55</v>
      </c>
      <c r="B64" s="348" t="s">
        <v>56</v>
      </c>
      <c r="C64" s="334">
        <v>0</v>
      </c>
      <c r="D64" s="334">
        <v>0</v>
      </c>
      <c r="E64" s="334">
        <v>0</v>
      </c>
      <c r="F64" s="334">
        <v>0</v>
      </c>
    </row>
    <row r="65" spans="1:6">
      <c r="A65" s="348" t="s">
        <v>55</v>
      </c>
      <c r="B65" s="348" t="s">
        <v>28</v>
      </c>
      <c r="C65" s="334">
        <v>2</v>
      </c>
      <c r="D65" s="334">
        <v>186838</v>
      </c>
      <c r="E65" s="334">
        <v>4</v>
      </c>
      <c r="F65" s="334">
        <v>220689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8</v>
      </c>
      <c r="F68" s="334">
        <v>153864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37299216</v>
      </c>
      <c r="E73" s="476"/>
    </row>
    <row r="74" spans="1:6">
      <c r="A74" s="348" t="s">
        <v>63</v>
      </c>
      <c r="B74" s="348" t="s">
        <v>651</v>
      </c>
      <c r="C74" s="1307" t="s">
        <v>653</v>
      </c>
      <c r="D74" s="476">
        <v>2064629.5</v>
      </c>
      <c r="E74" s="476"/>
    </row>
    <row r="75" spans="1:6">
      <c r="A75" s="348" t="s">
        <v>64</v>
      </c>
      <c r="B75" s="348" t="s">
        <v>650</v>
      </c>
      <c r="C75" s="1307" t="s">
        <v>654</v>
      </c>
      <c r="D75" s="476">
        <v>24026326</v>
      </c>
      <c r="E75" s="476"/>
    </row>
    <row r="76" spans="1:6">
      <c r="A76" s="348" t="s">
        <v>64</v>
      </c>
      <c r="B76" s="348" t="s">
        <v>651</v>
      </c>
      <c r="C76" s="1307" t="s">
        <v>655</v>
      </c>
      <c r="D76" s="476">
        <v>444786.5</v>
      </c>
      <c r="E76" s="476"/>
    </row>
    <row r="77" spans="1:6">
      <c r="A77" s="348" t="s">
        <v>65</v>
      </c>
      <c r="B77" s="348" t="s">
        <v>650</v>
      </c>
      <c r="C77" s="1307" t="s">
        <v>656</v>
      </c>
      <c r="D77" s="476">
        <v>42031173</v>
      </c>
      <c r="E77" s="476"/>
    </row>
    <row r="78" spans="1:6">
      <c r="A78" s="341" t="s">
        <v>65</v>
      </c>
      <c r="B78" s="341" t="s">
        <v>651</v>
      </c>
      <c r="C78" s="341" t="s">
        <v>657</v>
      </c>
      <c r="D78" s="1308">
        <v>5635761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296963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3229.3857172938556</v>
      </c>
    </row>
    <row r="92" spans="1:6">
      <c r="A92" s="341" t="s">
        <v>68</v>
      </c>
      <c r="B92" s="342">
        <v>512.71038131649721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430</v>
      </c>
    </row>
    <row r="98" spans="1:6">
      <c r="A98" s="348" t="s">
        <v>71</v>
      </c>
      <c r="B98" s="334">
        <v>3</v>
      </c>
    </row>
    <row r="99" spans="1:6">
      <c r="A99" s="348" t="s">
        <v>72</v>
      </c>
      <c r="B99" s="334">
        <v>68</v>
      </c>
    </row>
    <row r="100" spans="1:6">
      <c r="A100" s="348" t="s">
        <v>73</v>
      </c>
      <c r="B100" s="334">
        <v>273</v>
      </c>
    </row>
    <row r="101" spans="1:6">
      <c r="A101" s="348" t="s">
        <v>74</v>
      </c>
      <c r="B101" s="334">
        <v>37</v>
      </c>
    </row>
    <row r="102" spans="1:6">
      <c r="A102" s="348" t="s">
        <v>75</v>
      </c>
      <c r="B102" s="334">
        <v>74</v>
      </c>
    </row>
    <row r="103" spans="1:6">
      <c r="A103" s="348" t="s">
        <v>76</v>
      </c>
      <c r="B103" s="334">
        <v>152</v>
      </c>
    </row>
    <row r="104" spans="1:6">
      <c r="A104" s="348" t="s">
        <v>77</v>
      </c>
      <c r="B104" s="334">
        <v>4697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21</v>
      </c>
      <c r="C123" s="334">
        <v>22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97</v>
      </c>
    </row>
    <row r="130" spans="1:6">
      <c r="A130" s="348" t="s">
        <v>294</v>
      </c>
      <c r="B130" s="334">
        <v>0</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63644.117745578573</v>
      </c>
      <c r="C3" s="43" t="s">
        <v>169</v>
      </c>
      <c r="D3" s="43"/>
      <c r="E3" s="154"/>
      <c r="F3" s="43"/>
      <c r="G3" s="43"/>
      <c r="H3" s="43"/>
      <c r="I3" s="43"/>
      <c r="J3" s="43"/>
      <c r="K3" s="96"/>
    </row>
    <row r="4" spans="1:11">
      <c r="A4" s="383" t="s">
        <v>170</v>
      </c>
      <c r="B4" s="49">
        <f>IF(ISERROR('SEAP template'!B78+'SEAP template'!C78),0,'SEAP template'!B78+'SEAP template'!C78)</f>
        <v>7395.5960986103528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868.13112919157913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0.20895967898141626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1240.1951256346761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5219.3185328185336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0.23761629374341836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977.96400000000006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977.96400000000006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0.20895967898141626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204.35504349538178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24394.803059999998</v>
      </c>
      <c r="C5" s="17">
        <f>IF(ISERROR('Eigen informatie GS &amp; warmtenet'!B59),0,'Eigen informatie GS &amp; warmtenet'!B59)</f>
        <v>0</v>
      </c>
      <c r="D5" s="30">
        <f>(SUM(HH_hh_gas_kWh,HH_rest_gas_kWh)/1000)*0.902</f>
        <v>33874.589253999999</v>
      </c>
      <c r="E5" s="17">
        <f>B46*B57</f>
        <v>9606.0566807858777</v>
      </c>
      <c r="F5" s="17">
        <f>B51*B62</f>
        <v>61375.955806707148</v>
      </c>
      <c r="G5" s="18"/>
      <c r="H5" s="17"/>
      <c r="I5" s="17"/>
      <c r="J5" s="17">
        <f>B50*B61+C50*C61</f>
        <v>0</v>
      </c>
      <c r="K5" s="17"/>
      <c r="L5" s="17"/>
      <c r="M5" s="17"/>
      <c r="N5" s="17">
        <f>B48*B59+C48*C59</f>
        <v>9045.2073713403006</v>
      </c>
      <c r="O5" s="17">
        <f>B69*B70*B71</f>
        <v>236.09102810705679</v>
      </c>
      <c r="P5" s="17">
        <f>B77*B78*B79/1000-B77*B78*B79/1000/B80</f>
        <v>505.63004676888113</v>
      </c>
    </row>
    <row r="6" spans="1:16">
      <c r="A6" s="16" t="s">
        <v>615</v>
      </c>
      <c r="B6" s="809">
        <f>kWh_PV_kleiner_dan_10kW</f>
        <v>3229.3857172938556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27624.188777293853</v>
      </c>
      <c r="C8" s="21">
        <f>C5</f>
        <v>0</v>
      </c>
      <c r="D8" s="21">
        <f>D5</f>
        <v>33874.589253999999</v>
      </c>
      <c r="E8" s="21">
        <f>E5</f>
        <v>9606.0566807858777</v>
      </c>
      <c r="F8" s="21">
        <f>F5</f>
        <v>61375.955806707148</v>
      </c>
      <c r="G8" s="21"/>
      <c r="H8" s="21"/>
      <c r="I8" s="21"/>
      <c r="J8" s="21">
        <f>J5</f>
        <v>0</v>
      </c>
      <c r="K8" s="21"/>
      <c r="L8" s="21">
        <f>L5</f>
        <v>0</v>
      </c>
      <c r="M8" s="21">
        <f>M5</f>
        <v>0</v>
      </c>
      <c r="N8" s="21">
        <f>N5</f>
        <v>9045.2073713403006</v>
      </c>
      <c r="O8" s="21">
        <f>O5</f>
        <v>236.09102810705679</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0.20895967898141626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5772.3416190253656</v>
      </c>
      <c r="C12" s="23">
        <f ca="1">C10*C8</f>
        <v>0</v>
      </c>
      <c r="D12" s="23">
        <f>D8*D10</f>
        <v>6842.6670293080006</v>
      </c>
      <c r="E12" s="23">
        <f>E10*E8</f>
        <v>2180.5748665383944</v>
      </c>
      <c r="F12" s="23">
        <f>F10*F8</f>
        <v>16387.380200390809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430</v>
      </c>
      <c r="C18" s="166" t="s">
        <v>110</v>
      </c>
      <c r="D18" s="228"/>
      <c r="E18" s="15"/>
    </row>
    <row r="19" spans="1:7">
      <c r="A19" s="171" t="s">
        <v>71</v>
      </c>
      <c r="B19" s="37">
        <f>aantalw2001_ander</f>
        <v>3</v>
      </c>
      <c r="C19" s="166" t="s">
        <v>110</v>
      </c>
      <c r="D19" s="229"/>
      <c r="E19" s="15"/>
    </row>
    <row r="20" spans="1:7">
      <c r="A20" s="171" t="s">
        <v>72</v>
      </c>
      <c r="B20" s="37">
        <f>aantalw2001_propaan</f>
        <v>68</v>
      </c>
      <c r="C20" s="167">
        <f>IF(ISERROR(B20/SUM($B$20,$B$21,$B$22)*100),0,B20/SUM($B$20,$B$21,$B$22)*100)</f>
        <v>17.989417989417987</v>
      </c>
      <c r="D20" s="229"/>
      <c r="E20" s="15"/>
    </row>
    <row r="21" spans="1:7">
      <c r="A21" s="171" t="s">
        <v>73</v>
      </c>
      <c r="B21" s="37">
        <f>aantalw2001_elektriciteit</f>
        <v>273</v>
      </c>
      <c r="C21" s="167">
        <f>IF(ISERROR(B21/SUM($B$20,$B$21,$B$22)*100),0,B21/SUM($B$20,$B$21,$B$22)*100)</f>
        <v>72.222222222222214</v>
      </c>
      <c r="D21" s="229"/>
      <c r="E21" s="15"/>
    </row>
    <row r="22" spans="1:7">
      <c r="A22" s="171" t="s">
        <v>74</v>
      </c>
      <c r="B22" s="37">
        <f>aantalw2001_hout</f>
        <v>37</v>
      </c>
      <c r="C22" s="167">
        <f>IF(ISERROR(B22/SUM($B$20,$B$21,$B$22)*100),0,B22/SUM($B$20,$B$21,$B$22)*100)</f>
        <v>9.7883597883597879</v>
      </c>
      <c r="D22" s="229"/>
      <c r="E22" s="15"/>
    </row>
    <row r="23" spans="1:7">
      <c r="A23" s="171" t="s">
        <v>75</v>
      </c>
      <c r="B23" s="37">
        <f>aantalw2001_niet_gespec</f>
        <v>74</v>
      </c>
      <c r="C23" s="166" t="s">
        <v>110</v>
      </c>
      <c r="D23" s="228"/>
      <c r="E23" s="15"/>
    </row>
    <row r="24" spans="1:7">
      <c r="A24" s="171" t="s">
        <v>76</v>
      </c>
      <c r="B24" s="37">
        <f>aantalw2001_steenkool</f>
        <v>152</v>
      </c>
      <c r="C24" s="166" t="s">
        <v>110</v>
      </c>
      <c r="D24" s="229"/>
      <c r="E24" s="15"/>
    </row>
    <row r="25" spans="1:7">
      <c r="A25" s="171" t="s">
        <v>77</v>
      </c>
      <c r="B25" s="37">
        <f>aantalw2001_stookolie</f>
        <v>4697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6732</v>
      </c>
      <c r="C28" s="36"/>
      <c r="D28" s="228"/>
    </row>
    <row r="29" spans="1:7" s="15" customFormat="1">
      <c r="A29" s="230" t="s">
        <v>837</v>
      </c>
      <c r="B29" s="37">
        <f>SUM(HH_hh_gas_aantal,HH_rest_gas_aantal)</f>
        <v>2369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2369</v>
      </c>
      <c r="C32" s="167">
        <f>IF(ISERROR(B32/SUM($B$32,$B$34,$B$35,$B$36,$B$38,$B$39)*100),0,B32/SUM($B$32,$B$34,$B$35,$B$36,$B$38,$B$39)*100)</f>
        <v>35.442848593656493</v>
      </c>
      <c r="D32" s="233"/>
      <c r="G32" s="15"/>
    </row>
    <row r="33" spans="1:7">
      <c r="A33" s="171" t="s">
        <v>71</v>
      </c>
      <c r="B33" s="34" t="s">
        <v>110</v>
      </c>
      <c r="C33" s="167"/>
      <c r="D33" s="233"/>
      <c r="G33" s="15"/>
    </row>
    <row r="34" spans="1:7">
      <c r="A34" s="171" t="s">
        <v>72</v>
      </c>
      <c r="B34" s="33">
        <f>IF((($B$28-$B$32-$B$39-$B$77-$B$38)*C20/100)&lt;0,0,($B$28-$B$32-$B$39-$B$77-$B$38)*C20/100)</f>
        <v>245.21375661375663</v>
      </c>
      <c r="C34" s="167">
        <f>IF(ISERROR(B34/SUM($B$32,$B$34,$B$35,$B$36,$B$38,$B$39)*100),0,B34/SUM($B$32,$B$34,$B$35,$B$36,$B$38,$B$39)*100)</f>
        <v>3.6686678128928278</v>
      </c>
      <c r="D34" s="233"/>
      <c r="G34" s="15"/>
    </row>
    <row r="35" spans="1:7">
      <c r="A35" s="171" t="s">
        <v>73</v>
      </c>
      <c r="B35" s="33">
        <f>IF((($B$28-$B$32-$B$39-$B$77-$B$38)*C21/100)&lt;0,0,($B$28-$B$32-$B$39-$B$77-$B$38)*C21/100)</f>
        <v>984.46111111111122</v>
      </c>
      <c r="C35" s="167">
        <f>IF(ISERROR(B35/SUM($B$32,$B$34,$B$35,$B$36,$B$38,$B$39)*100),0,B35/SUM($B$32,$B$34,$B$35,$B$36,$B$38,$B$39)*100)</f>
        <v>14.728622248819736</v>
      </c>
      <c r="D35" s="233"/>
      <c r="G35" s="15"/>
    </row>
    <row r="36" spans="1:7">
      <c r="A36" s="171" t="s">
        <v>74</v>
      </c>
      <c r="B36" s="33">
        <f>IF((($B$28-$B$32-$B$39-$B$77-$B$38)*C22/100)&lt;0,0,($B$28-$B$32-$B$39-$B$77-$B$38)*C22/100)</f>
        <v>133.42513227513231</v>
      </c>
      <c r="C36" s="167">
        <f>IF(ISERROR(B36/SUM($B$32,$B$34,$B$35,$B$36,$B$38,$B$39)*100),0,B36/SUM($B$32,$B$34,$B$35,$B$36,$B$38,$B$39)*100)</f>
        <v>1.9961868981916864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2951.8999999999996</v>
      </c>
      <c r="C39" s="167">
        <f>IF(ISERROR(B39/SUM($B$32,$B$34,$B$35,$B$36,$B$38,$B$39)*100),0,B39/SUM($B$32,$B$34,$B$35,$B$36,$B$38,$B$39)*100)</f>
        <v>44.163674446439252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2369</v>
      </c>
      <c r="C44" s="34" t="s">
        <v>110</v>
      </c>
      <c r="D44" s="174"/>
    </row>
    <row r="45" spans="1:7">
      <c r="A45" s="171" t="s">
        <v>71</v>
      </c>
      <c r="B45" s="33" t="str">
        <f t="shared" si="0"/>
        <v>-</v>
      </c>
      <c r="C45" s="34" t="s">
        <v>110</v>
      </c>
      <c r="D45" s="174"/>
    </row>
    <row r="46" spans="1:7">
      <c r="A46" s="171" t="s">
        <v>72</v>
      </c>
      <c r="B46" s="33">
        <f t="shared" si="0"/>
        <v>245.21375661375663</v>
      </c>
      <c r="C46" s="34" t="s">
        <v>110</v>
      </c>
      <c r="D46" s="174"/>
    </row>
    <row r="47" spans="1:7">
      <c r="A47" s="171" t="s">
        <v>73</v>
      </c>
      <c r="B47" s="33">
        <f t="shared" si="0"/>
        <v>984.46111111111122</v>
      </c>
      <c r="C47" s="34" t="s">
        <v>110</v>
      </c>
      <c r="D47" s="174"/>
    </row>
    <row r="48" spans="1:7">
      <c r="A48" s="171" t="s">
        <v>74</v>
      </c>
      <c r="B48" s="33">
        <f t="shared" si="0"/>
        <v>133.42513227513231</v>
      </c>
      <c r="C48" s="33">
        <f>B48*10</f>
        <v>1334.2513227513232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2951.8999999999996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11996.380713</v>
      </c>
      <c r="C5" s="17">
        <f>IF(ISERROR('Eigen informatie GS &amp; warmtenet'!B60),0,'Eigen informatie GS &amp; warmtenet'!B60)</f>
        <v>0</v>
      </c>
      <c r="D5" s="30">
        <f>SUM(D6:D12)</f>
        <v>11861.427094506</v>
      </c>
      <c r="E5" s="17">
        <f>SUM(E6:E12)</f>
        <v>189.30080082046402</v>
      </c>
      <c r="F5" s="17">
        <f>SUM(F6:F12)</f>
        <v>1361.6320599790351</v>
      </c>
      <c r="G5" s="18"/>
      <c r="H5" s="17"/>
      <c r="I5" s="17"/>
      <c r="J5" s="17">
        <f>SUM(J6:J12)</f>
        <v>3.7593746382955019E-2</v>
      </c>
      <c r="K5" s="17"/>
      <c r="L5" s="17"/>
      <c r="M5" s="17"/>
      <c r="N5" s="17">
        <f>SUM(N6:N12)</f>
        <v>1473.2531181542981</v>
      </c>
      <c r="O5" s="17">
        <f>B38*B39*B40</f>
        <v>0</v>
      </c>
      <c r="P5" s="17">
        <f>B46*B47*B48/1000-B46*B47*B48/1000/B49</f>
        <v>52.539138306495019</v>
      </c>
      <c r="R5" s="32"/>
    </row>
    <row r="6" spans="1:18">
      <c r="A6" s="32" t="s">
        <v>53</v>
      </c>
      <c r="B6" s="37">
        <f>B26</f>
        <v>2492.1724679999998</v>
      </c>
      <c r="C6" s="33"/>
      <c r="D6" s="37">
        <f>IF(ISERROR(TER_kantoor_gas_kWh/1000),0,TER_kantoor_gas_kWh/1000)*0.902</f>
        <v>1719.8423176000001</v>
      </c>
      <c r="E6" s="33">
        <f>$C$26*'E Balans VL '!I12/100/3.6*1000000</f>
        <v>20.053712796551412</v>
      </c>
      <c r="F6" s="33">
        <f>$C$26*('E Balans VL '!L12+'E Balans VL '!N12)/100/3.6*1000000</f>
        <v>304.69430102801476</v>
      </c>
      <c r="G6" s="34"/>
      <c r="H6" s="33"/>
      <c r="I6" s="33"/>
      <c r="J6" s="33">
        <f>$C$26*('E Balans VL '!D12+'E Balans VL '!E12)/100/3.6*1000000</f>
        <v>0</v>
      </c>
      <c r="K6" s="33"/>
      <c r="L6" s="33"/>
      <c r="M6" s="33"/>
      <c r="N6" s="33">
        <f>$C$26*'E Balans VL '!Y12/100/3.6*1000000</f>
        <v>1.3394199753391607</v>
      </c>
      <c r="O6" s="33"/>
      <c r="P6" s="33"/>
      <c r="R6" s="32"/>
    </row>
    <row r="7" spans="1:18">
      <c r="A7" s="32" t="s">
        <v>52</v>
      </c>
      <c r="B7" s="37">
        <f t="shared" ref="B7:B12" si="0">B27</f>
        <v>975.10299999999995</v>
      </c>
      <c r="C7" s="33"/>
      <c r="D7" s="37">
        <f>IF(ISERROR(TER_horeca_gas_kWh/1000),0,TER_horeca_gas_kWh/1000)*0.902</f>
        <v>1420.4777180000001</v>
      </c>
      <c r="E7" s="33">
        <f>$C$27*'E Balans VL '!I9/100/3.6*1000000</f>
        <v>10.470211785646809</v>
      </c>
      <c r="F7" s="33">
        <f>$C$27*('E Balans VL '!L9+'E Balans VL '!N9)/100/3.6*1000000</f>
        <v>117.28124592699683</v>
      </c>
      <c r="G7" s="34"/>
      <c r="H7" s="33"/>
      <c r="I7" s="33"/>
      <c r="J7" s="33">
        <f>$C$27*('E Balans VL '!D9+'E Balans VL '!E9)/100/3.6*1000000</f>
        <v>0</v>
      </c>
      <c r="K7" s="33"/>
      <c r="L7" s="33"/>
      <c r="M7" s="33"/>
      <c r="N7" s="33">
        <f>$C$27*'E Balans VL '!Y9/100/3.6*1000000</f>
        <v>0.14618770274334963</v>
      </c>
      <c r="O7" s="33"/>
      <c r="P7" s="33"/>
      <c r="R7" s="32"/>
    </row>
    <row r="8" spans="1:18">
      <c r="A8" s="6" t="s">
        <v>51</v>
      </c>
      <c r="B8" s="37">
        <f t="shared" si="0"/>
        <v>5723.2051390000006</v>
      </c>
      <c r="C8" s="33"/>
      <c r="D8" s="37">
        <f>IF(ISERROR(TER_handel_gas_kWh/1000),0,TER_handel_gas_kWh/1000)*0.902</f>
        <v>6635.5152869060003</v>
      </c>
      <c r="E8" s="33">
        <f>$C$28*'E Balans VL '!I13/100/3.6*1000000</f>
        <v>153.59330450819868</v>
      </c>
      <c r="F8" s="33">
        <f>$C$28*('E Balans VL '!L13+'E Balans VL '!N13)/100/3.6*1000000</f>
        <v>546.17016399125293</v>
      </c>
      <c r="G8" s="34"/>
      <c r="H8" s="33"/>
      <c r="I8" s="33"/>
      <c r="J8" s="33">
        <f>$C$28*('E Balans VL '!D13+'E Balans VL '!E13)/100/3.6*1000000</f>
        <v>0</v>
      </c>
      <c r="K8" s="33"/>
      <c r="L8" s="33"/>
      <c r="M8" s="33"/>
      <c r="N8" s="33">
        <f>$C$28*'E Balans VL '!Y13/100/3.6*1000000</f>
        <v>2.2687435921482155</v>
      </c>
      <c r="O8" s="33"/>
      <c r="P8" s="33"/>
      <c r="R8" s="32"/>
    </row>
    <row r="9" spans="1:18">
      <c r="A9" s="32" t="s">
        <v>50</v>
      </c>
      <c r="B9" s="37">
        <f t="shared" si="0"/>
        <v>563.39599999999996</v>
      </c>
      <c r="C9" s="33"/>
      <c r="D9" s="37">
        <f>IF(ISERROR(TER_gezond_gas_kWh/1000),0,TER_gezond_gas_kWh/1000)*0.902</f>
        <v>1214.4275440000001</v>
      </c>
      <c r="E9" s="33">
        <f>$C$29*'E Balans VL '!I10/100/3.6*1000000</f>
        <v>1.0559875537036825</v>
      </c>
      <c r="F9" s="33">
        <f>$C$29*('E Balans VL '!L10+'E Balans VL '!N10)/100/3.6*1000000</f>
        <v>46.316291792400314</v>
      </c>
      <c r="G9" s="34"/>
      <c r="H9" s="33"/>
      <c r="I9" s="33"/>
      <c r="J9" s="33">
        <f>$C$29*('E Balans VL '!D10+'E Balans VL '!E10)/100/3.6*1000000</f>
        <v>0</v>
      </c>
      <c r="K9" s="33"/>
      <c r="L9" s="33"/>
      <c r="M9" s="33"/>
      <c r="N9" s="33">
        <f>$C$29*'E Balans VL '!Y10/100/3.6*1000000</f>
        <v>4.383641233815359</v>
      </c>
      <c r="O9" s="33"/>
      <c r="P9" s="33"/>
      <c r="R9" s="32"/>
    </row>
    <row r="10" spans="1:18">
      <c r="A10" s="32" t="s">
        <v>49</v>
      </c>
      <c r="B10" s="37">
        <f t="shared" si="0"/>
        <v>2214.516106</v>
      </c>
      <c r="C10" s="33"/>
      <c r="D10" s="37">
        <f>IF(ISERROR(TER_ander_gas_kWh/1000),0,TER_ander_gas_kWh/1000)*0.902</f>
        <v>850.94680000000005</v>
      </c>
      <c r="E10" s="33">
        <f>$C$30*'E Balans VL '!I14/100/3.6*1000000</f>
        <v>3.4136990167439856</v>
      </c>
      <c r="F10" s="33">
        <f>$C$30*('E Balans VL '!L14+'E Balans VL '!N14)/100/3.6*1000000</f>
        <v>343.80423680728239</v>
      </c>
      <c r="G10" s="34"/>
      <c r="H10" s="33"/>
      <c r="I10" s="33"/>
      <c r="J10" s="33">
        <f>$C$30*('E Balans VL '!D14+'E Balans VL '!E14)/100/3.6*1000000</f>
        <v>3.7593746382955019E-2</v>
      </c>
      <c r="K10" s="33"/>
      <c r="L10" s="33"/>
      <c r="M10" s="33"/>
      <c r="N10" s="33">
        <f>$C$30*'E Balans VL '!Y14/100/3.6*1000000</f>
        <v>1465.0528810211651</v>
      </c>
      <c r="O10" s="33"/>
      <c r="P10" s="33"/>
      <c r="R10" s="32"/>
    </row>
    <row r="11" spans="1:18">
      <c r="A11" s="32" t="s">
        <v>54</v>
      </c>
      <c r="B11" s="37">
        <f t="shared" si="0"/>
        <v>27.988</v>
      </c>
      <c r="C11" s="33"/>
      <c r="D11" s="37">
        <f>IF(ISERROR(TER_onderwijs_gas_kWh/1000),0,TER_onderwijs_gas_kWh/1000)*0.902</f>
        <v>0</v>
      </c>
      <c r="E11" s="33">
        <f>$C$31*'E Balans VL '!I11/100/3.6*1000000</f>
        <v>0.71388515961945642</v>
      </c>
      <c r="F11" s="33">
        <f>$C$31*('E Balans VL '!L11+'E Balans VL '!N11)/100/3.6*1000000</f>
        <v>3.3658204330878827</v>
      </c>
      <c r="G11" s="34"/>
      <c r="H11" s="33"/>
      <c r="I11" s="33"/>
      <c r="J11" s="33">
        <f>$C$31*('E Balans VL '!D11+'E Balans VL '!E11)/100/3.6*1000000</f>
        <v>0</v>
      </c>
      <c r="K11" s="33"/>
      <c r="L11" s="33"/>
      <c r="M11" s="33"/>
      <c r="N11" s="33">
        <f>$C$31*'E Balans VL '!Y11/100/3.6*1000000</f>
        <v>6.2244629086915547E-2</v>
      </c>
      <c r="O11" s="33"/>
      <c r="P11" s="33"/>
      <c r="R11" s="32"/>
    </row>
    <row r="12" spans="1:18">
      <c r="A12" s="32" t="s">
        <v>259</v>
      </c>
      <c r="B12" s="37">
        <f t="shared" si="0"/>
        <v>0</v>
      </c>
      <c r="C12" s="33"/>
      <c r="D12" s="37">
        <f>IF(ISERROR(TER_rest_gas_kWh/1000),0,TER_rest_gas_kWh/1000)*0.902</f>
        <v>20.217428000000002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12004.880713</v>
      </c>
      <c r="C16" s="21">
        <f t="shared" ca="1" si="1"/>
        <v>12.175675675675675</v>
      </c>
      <c r="D16" s="21">
        <f t="shared" ca="1" si="1"/>
        <v>11838.454121533026</v>
      </c>
      <c r="E16" s="21">
        <f t="shared" si="1"/>
        <v>189.30080082046402</v>
      </c>
      <c r="F16" s="21">
        <f t="shared" ca="1" si="1"/>
        <v>1361.6320599790351</v>
      </c>
      <c r="G16" s="21">
        <f t="shared" si="1"/>
        <v>0</v>
      </c>
      <c r="H16" s="21">
        <f t="shared" si="1"/>
        <v>0</v>
      </c>
      <c r="I16" s="21">
        <f t="shared" si="1"/>
        <v>0</v>
      </c>
      <c r="J16" s="21">
        <f t="shared" si="1"/>
        <v>3.7593746382955019E-2</v>
      </c>
      <c r="K16" s="21">
        <f t="shared" si="1"/>
        <v>0</v>
      </c>
      <c r="L16" s="21">
        <f t="shared" ca="1" si="1"/>
        <v>0</v>
      </c>
      <c r="M16" s="21">
        <f t="shared" si="1"/>
        <v>0</v>
      </c>
      <c r="N16" s="21">
        <f t="shared" ca="1" si="1"/>
        <v>1473.2531181542981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0.20895967898141626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2508.5360199986758</v>
      </c>
      <c r="C20" s="23">
        <f t="shared" ref="C20:P20" ca="1" si="2">C16*C18</f>
        <v>2.893138927875945</v>
      </c>
      <c r="D20" s="23">
        <f t="shared" ca="1" si="2"/>
        <v>2391.3677325496715</v>
      </c>
      <c r="E20" s="23">
        <f t="shared" si="2"/>
        <v>42.971281786245335</v>
      </c>
      <c r="F20" s="23">
        <f t="shared" ca="1" si="2"/>
        <v>363.55576001440238</v>
      </c>
      <c r="G20" s="23">
        <f t="shared" si="2"/>
        <v>0</v>
      </c>
      <c r="H20" s="23">
        <f t="shared" si="2"/>
        <v>0</v>
      </c>
      <c r="I20" s="23">
        <f t="shared" si="2"/>
        <v>0</v>
      </c>
      <c r="J20" s="23">
        <f t="shared" si="2"/>
        <v>1.3308186219566077E-2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2492.1724679999998</v>
      </c>
      <c r="C26" s="39">
        <f>IF(ISERROR(B26*3.6/1000000/'E Balans VL '!Z12*100),0,B26*3.6/1000000/'E Balans VL '!Z12*100)</f>
        <v>5.2869158832641261E-2</v>
      </c>
      <c r="D26" s="237" t="s">
        <v>716</v>
      </c>
      <c r="F26" s="6"/>
    </row>
    <row r="27" spans="1:18">
      <c r="A27" s="231" t="s">
        <v>52</v>
      </c>
      <c r="B27" s="33">
        <f>IF(ISERROR(TER_horeca_ele_kWh/1000),0,TER_horeca_ele_kWh/1000)</f>
        <v>975.10299999999995</v>
      </c>
      <c r="C27" s="39">
        <f>IF(ISERROR(B27*3.6/1000000/'E Balans VL '!Z9*100),0,B27*3.6/1000000/'E Balans VL '!Z9*100)</f>
        <v>7.3433893856319821E-2</v>
      </c>
      <c r="D27" s="237" t="s">
        <v>716</v>
      </c>
      <c r="F27" s="6"/>
    </row>
    <row r="28" spans="1:18">
      <c r="A28" s="171" t="s">
        <v>51</v>
      </c>
      <c r="B28" s="33">
        <f>IF(ISERROR(TER_handel_ele_kWh/1000),0,TER_handel_ele_kWh/1000)</f>
        <v>5723.2051390000006</v>
      </c>
      <c r="C28" s="39">
        <f>IF(ISERROR(B28*3.6/1000000/'E Balans VL '!Z13*100),0,B28*3.6/1000000/'E Balans VL '!Z13*100)</f>
        <v>0.16612436628716634</v>
      </c>
      <c r="D28" s="237" t="s">
        <v>716</v>
      </c>
      <c r="F28" s="6"/>
    </row>
    <row r="29" spans="1:18">
      <c r="A29" s="231" t="s">
        <v>50</v>
      </c>
      <c r="B29" s="33">
        <f>IF(ISERROR(TER_gezond_ele_kWh/1000),0,TER_gezond_ele_kWh/1000)</f>
        <v>563.39599999999996</v>
      </c>
      <c r="C29" s="39">
        <f>IF(ISERROR(B29*3.6/1000000/'E Balans VL '!Z10*100),0,B29*3.6/1000000/'E Balans VL '!Z10*100)</f>
        <v>5.6819158477094955E-2</v>
      </c>
      <c r="D29" s="237" t="s">
        <v>716</v>
      </c>
      <c r="F29" s="6"/>
    </row>
    <row r="30" spans="1:18">
      <c r="A30" s="231" t="s">
        <v>49</v>
      </c>
      <c r="B30" s="33">
        <f>IF(ISERROR(TER_ander_ele_kWh/1000),0,TER_ander_ele_kWh/1000)</f>
        <v>2214.516106</v>
      </c>
      <c r="C30" s="39">
        <f>IF(ISERROR(B30*3.6/1000000/'E Balans VL '!Z14*100),0,B30*3.6/1000000/'E Balans VL '!Z14*100)</f>
        <v>0.16069335502942514</v>
      </c>
      <c r="D30" s="237" t="s">
        <v>716</v>
      </c>
      <c r="F30" s="6"/>
    </row>
    <row r="31" spans="1:18">
      <c r="A31" s="231" t="s">
        <v>54</v>
      </c>
      <c r="B31" s="33">
        <f>IF(ISERROR(TER_onderwijs_ele_kWh/1000),0,TER_onderwijs_ele_kWh/1000)</f>
        <v>27.988</v>
      </c>
      <c r="C31" s="39">
        <f>IF(ISERROR(B31*3.6/1000000/'E Balans VL '!Z11*100),0,B31*3.6/1000000/'E Balans VL '!Z11*100)</f>
        <v>7.9777197244297014E-3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17218.187300000001</v>
      </c>
      <c r="C5" s="17">
        <f>IF(ISERROR('Eigen informatie GS &amp; warmtenet'!B61),0,'Eigen informatie GS &amp; warmtenet'!B61)</f>
        <v>0</v>
      </c>
      <c r="D5" s="30">
        <f>SUM(D6:D15)</f>
        <v>19758.597016399999</v>
      </c>
      <c r="E5" s="17">
        <f>SUM(E6:E15)</f>
        <v>429.24673743373506</v>
      </c>
      <c r="F5" s="17">
        <f>SUM(F6:F15)</f>
        <v>2419.4914842537532</v>
      </c>
      <c r="G5" s="18"/>
      <c r="H5" s="17"/>
      <c r="I5" s="17"/>
      <c r="J5" s="17">
        <f>SUM(J6:J15)</f>
        <v>31.16235324680634</v>
      </c>
      <c r="K5" s="17"/>
      <c r="L5" s="17"/>
      <c r="M5" s="17"/>
      <c r="N5" s="17">
        <f>SUM(N6:N15)</f>
        <v>314.43327049727333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14844.158828</v>
      </c>
      <c r="C8" s="33"/>
      <c r="D8" s="37">
        <f>IF( ISERROR(IND_metaal_Gas_kWH/1000),0,IND_metaal_Gas_kWH/1000)*0.902</f>
        <v>17330.063762000002</v>
      </c>
      <c r="E8" s="33">
        <f>C30*'E Balans VL '!I18/100/3.6*1000000</f>
        <v>107.0901873396363</v>
      </c>
      <c r="F8" s="33">
        <f>C30*'E Balans VL '!L18/100/3.6*1000000+C30*'E Balans VL '!N18/100/3.6*1000000</f>
        <v>1403.9837180132531</v>
      </c>
      <c r="G8" s="34"/>
      <c r="H8" s="33"/>
      <c r="I8" s="33"/>
      <c r="J8" s="40">
        <f>C30*'E Balans VL '!D18/100/3.6*1000000+C30*'E Balans VL '!E18/100/3.6*1000000</f>
        <v>14.93034121155023</v>
      </c>
      <c r="K8" s="33"/>
      <c r="L8" s="33"/>
      <c r="M8" s="33"/>
      <c r="N8" s="33">
        <f>C30*'E Balans VL '!Y18/100/3.6*1000000</f>
        <v>187.66944135281923</v>
      </c>
      <c r="O8" s="33"/>
      <c r="P8" s="33"/>
      <c r="R8" s="32"/>
    </row>
    <row r="9" spans="1:18">
      <c r="A9" s="6" t="s">
        <v>32</v>
      </c>
      <c r="B9" s="37">
        <f t="shared" si="0"/>
        <v>975.27525000000003</v>
      </c>
      <c r="C9" s="33"/>
      <c r="D9" s="37">
        <f>IF( ISERROR(IND_andere_gas_kWh/1000),0,IND_andere_gas_kWh/1000)*0.902</f>
        <v>416.88617959999999</v>
      </c>
      <c r="E9" s="33">
        <f>C31*'E Balans VL '!I19/100/3.6*1000000</f>
        <v>270.26181283890605</v>
      </c>
      <c r="F9" s="33">
        <f>C31*'E Balans VL '!L19/100/3.6*1000000+C31*'E Balans VL '!N19/100/3.6*1000000</f>
        <v>808.31023478605823</v>
      </c>
      <c r="G9" s="34"/>
      <c r="H9" s="33"/>
      <c r="I9" s="33"/>
      <c r="J9" s="40">
        <f>C31*'E Balans VL '!D19/100/3.6*1000000+C31*'E Balans VL '!E19/100/3.6*1000000</f>
        <v>0</v>
      </c>
      <c r="K9" s="33"/>
      <c r="L9" s="33"/>
      <c r="M9" s="33"/>
      <c r="N9" s="33">
        <f>C31*'E Balans VL '!Y19/100/3.6*1000000</f>
        <v>70.793054242289656</v>
      </c>
      <c r="O9" s="33"/>
      <c r="P9" s="33"/>
      <c r="R9" s="32"/>
    </row>
    <row r="10" spans="1:18">
      <c r="A10" s="6" t="s">
        <v>40</v>
      </c>
      <c r="B10" s="37">
        <f t="shared" si="0"/>
        <v>245.662172</v>
      </c>
      <c r="C10" s="33"/>
      <c r="D10" s="37">
        <f>IF( ISERROR(IND_voed_gas_kWh/1000),0,IND_voed_gas_kWh/1000)*0.902</f>
        <v>0</v>
      </c>
      <c r="E10" s="33">
        <f>C32*'E Balans VL '!I20/100/3.6*1000000</f>
        <v>0.43490525555255904</v>
      </c>
      <c r="F10" s="33">
        <f>C32*'E Balans VL '!L20/100/3.6*1000000+C32*'E Balans VL '!N20/100/3.6*1000000</f>
        <v>13.267934572299875</v>
      </c>
      <c r="G10" s="34"/>
      <c r="H10" s="33"/>
      <c r="I10" s="33"/>
      <c r="J10" s="40">
        <f>C32*'E Balans VL '!D20/100/3.6*1000000+C32*'E Balans VL '!E20/100/3.6*1000000</f>
        <v>0</v>
      </c>
      <c r="K10" s="33"/>
      <c r="L10" s="33"/>
      <c r="M10" s="33"/>
      <c r="N10" s="33">
        <f>C32*'E Balans VL '!Y20/100/3.6*1000000</f>
        <v>14.274848338586001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66.302050000000008</v>
      </c>
      <c r="C13" s="33"/>
      <c r="D13" s="37">
        <f>IF( ISERROR(IND_papier_gas_kWh/1000),0,IND_papier_gas_kWh/1000)*0.902</f>
        <v>32.1864268</v>
      </c>
      <c r="E13" s="33">
        <f>C35*'E Balans VL '!I23/100/3.6*1000000</f>
        <v>9.7553082359603777E-2</v>
      </c>
      <c r="F13" s="33">
        <f>C35*'E Balans VL '!L23/100/3.6*1000000+C35*'E Balans VL '!N23/100/3.6*1000000</f>
        <v>0.70991637275513109</v>
      </c>
      <c r="G13" s="34"/>
      <c r="H13" s="33"/>
      <c r="I13" s="33"/>
      <c r="J13" s="40">
        <f>C35*'E Balans VL '!D23/100/3.6*1000000+C35*'E Balans VL '!E23/100/3.6*1000000</f>
        <v>7.2538160724402925</v>
      </c>
      <c r="K13" s="33"/>
      <c r="L13" s="33"/>
      <c r="M13" s="33"/>
      <c r="N13" s="33">
        <f>C35*'E Balans VL '!Y23/100/3.6*1000000</f>
        <v>-0.60063976091613447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1086.789</v>
      </c>
      <c r="C15" s="33"/>
      <c r="D15" s="37">
        <f>IF( ISERROR(IND_rest_gas_kWh/1000),0,IND_rest_gas_kWh/1000)*0.902</f>
        <v>1979.460648</v>
      </c>
      <c r="E15" s="33">
        <f>C37*'E Balans VL '!I15/100/3.6*1000000</f>
        <v>51.362278917280527</v>
      </c>
      <c r="F15" s="33">
        <f>C37*'E Balans VL '!L15/100/3.6*1000000+C37*'E Balans VL '!N15/100/3.6*1000000</f>
        <v>193.21968050938671</v>
      </c>
      <c r="G15" s="34"/>
      <c r="H15" s="33"/>
      <c r="I15" s="33"/>
      <c r="J15" s="40">
        <f>C37*'E Balans VL '!D15/100/3.6*1000000+C37*'E Balans VL '!E15/100/3.6*1000000</f>
        <v>8.9781959628158194</v>
      </c>
      <c r="K15" s="33"/>
      <c r="L15" s="33"/>
      <c r="M15" s="33"/>
      <c r="N15" s="33">
        <f>C37*'E Balans VL '!Y15/100/3.6*1000000</f>
        <v>42.296566324494549</v>
      </c>
      <c r="O15" s="33"/>
      <c r="P15" s="33"/>
      <c r="R15" s="32"/>
    </row>
    <row r="16" spans="1:18">
      <c r="A16" s="16" t="s">
        <v>482</v>
      </c>
      <c r="B16" s="247">
        <f>'lokale energieproductie'!N90+'lokale energieproductie'!N59</f>
        <v>3645.0000000000005</v>
      </c>
      <c r="C16" s="247">
        <f>'lokale energieproductie'!O90+'lokale energieproductie'!O59</f>
        <v>5207.1428571428578</v>
      </c>
      <c r="D16" s="310">
        <f>('lokale energieproductie'!P59+'lokale energieproductie'!P90)*(-1)</f>
        <v>-10414.285714285716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20863.187300000001</v>
      </c>
      <c r="C18" s="21">
        <f>C5+C16</f>
        <v>5207.1428571428578</v>
      </c>
      <c r="D18" s="21">
        <f>MAX((D5+D16),0)</f>
        <v>9344.3113021142835</v>
      </c>
      <c r="E18" s="21">
        <f>MAX((E5+E16),0)</f>
        <v>429.24673743373506</v>
      </c>
      <c r="F18" s="21">
        <f>MAX((F5+F16),0)</f>
        <v>2419.4914842537532</v>
      </c>
      <c r="G18" s="21"/>
      <c r="H18" s="21"/>
      <c r="I18" s="21"/>
      <c r="J18" s="21">
        <f>MAX((J5+J16),0)</f>
        <v>31.16235324680634</v>
      </c>
      <c r="K18" s="21"/>
      <c r="L18" s="21">
        <f>MAX((L5+L16),0)</f>
        <v>0</v>
      </c>
      <c r="M18" s="21"/>
      <c r="N18" s="21">
        <f>MAX((N5+N16),0)</f>
        <v>314.43327049727333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0.20895967898141626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4359.5649207371607</v>
      </c>
      <c r="C22" s="23">
        <f ca="1">C18*C20</f>
        <v>1237.3019867068001</v>
      </c>
      <c r="D22" s="23">
        <f>D18*D20</f>
        <v>1887.5508830270853</v>
      </c>
      <c r="E22" s="23">
        <f>E18*E20</f>
        <v>97.439009397457866</v>
      </c>
      <c r="F22" s="23">
        <f>F18*F20</f>
        <v>646.00422629575212</v>
      </c>
      <c r="G22" s="23"/>
      <c r="H22" s="23"/>
      <c r="I22" s="23"/>
      <c r="J22" s="23">
        <f>J18*J20</f>
        <v>11.031473049369444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14844.158828</v>
      </c>
      <c r="C30" s="39">
        <f>IF(ISERROR(B30*3.6/1000000/'E Balans VL '!Z18*100),0,B30*3.6/1000000/'E Balans VL '!Z18*100)</f>
        <v>0.85693012709183225</v>
      </c>
      <c r="D30" s="237" t="s">
        <v>716</v>
      </c>
    </row>
    <row r="31" spans="1:18">
      <c r="A31" s="6" t="s">
        <v>32</v>
      </c>
      <c r="B31" s="37">
        <f>IF( ISERROR(IND_ander_ele_kWh/1000),0,IND_ander_ele_kWh/1000)</f>
        <v>975.27525000000003</v>
      </c>
      <c r="C31" s="39">
        <f>IF(ISERROR(B31*3.6/1000000/'E Balans VL '!Z19*100),0,B31*3.6/1000000/'E Balans VL '!Z19*100)</f>
        <v>4.9053183842683118E-2</v>
      </c>
      <c r="D31" s="237" t="s">
        <v>716</v>
      </c>
    </row>
    <row r="32" spans="1:18">
      <c r="A32" s="171" t="s">
        <v>40</v>
      </c>
      <c r="B32" s="37">
        <f>IF( ISERROR(IND_voed_ele_kWh/1000),0,IND_voed_ele_kWh/1000)</f>
        <v>245.662172</v>
      </c>
      <c r="C32" s="39">
        <f>IF(ISERROR(B32*3.6/1000000/'E Balans VL '!Z20*100),0,B32*3.6/1000000/'E Balans VL '!Z20*100)</f>
        <v>8.1820091305225256E-3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66.302050000000008</v>
      </c>
      <c r="C35" s="39">
        <f>IF(ISERROR(B35*3.6/1000000/'E Balans VL '!Z22*100),0,B35*3.6/1000000/'E Balans VL '!Z22*100)</f>
        <v>1.2367571766795036E-2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1086.789</v>
      </c>
      <c r="C37" s="39">
        <f>IF(ISERROR(B37*3.6/1000000/'E Balans VL '!Z15*100),0,B37*3.6/1000000/'E Balans VL '!Z15*100)</f>
        <v>8.4799261670997286E-3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1304.530448</v>
      </c>
      <c r="C5" s="17">
        <f>'Eigen informatie GS &amp; warmtenet'!B62</f>
        <v>0</v>
      </c>
      <c r="D5" s="30">
        <f>IF(ISERROR(SUM(LB_lb_gas_kWh,LB_rest_gas_kWh)/1000),0,SUM(LB_lb_gas_kWh,LB_rest_gas_kWh)/1000)*0.902</f>
        <v>240.86376600000003</v>
      </c>
      <c r="E5" s="17">
        <f>B17*'E Balans VL '!I25/3.6*1000000/100</f>
        <v>40.713965101008782</v>
      </c>
      <c r="F5" s="17">
        <f>B17*('E Balans VL '!L25/3.6*1000000+'E Balans VL '!N25/3.6*1000000)/100</f>
        <v>4610.3551152166747</v>
      </c>
      <c r="G5" s="18"/>
      <c r="H5" s="17"/>
      <c r="I5" s="17"/>
      <c r="J5" s="17">
        <f>('E Balans VL '!D25+'E Balans VL '!E25)/3.6*1000000*landbouw!B17/100</f>
        <v>359.40718526337099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1304.530448</v>
      </c>
      <c r="C8" s="21">
        <f>C5+C6</f>
        <v>0</v>
      </c>
      <c r="D8" s="21">
        <f>MAX((D5+D6),0)</f>
        <v>240.86376600000003</v>
      </c>
      <c r="E8" s="21">
        <f>MAX((E5+E6),0)</f>
        <v>40.713965101008782</v>
      </c>
      <c r="F8" s="21">
        <f>MAX((F5+F6),0)</f>
        <v>4610.3551152166747</v>
      </c>
      <c r="G8" s="21"/>
      <c r="H8" s="21"/>
      <c r="I8" s="21"/>
      <c r="J8" s="21">
        <f>MAX((J5+J6),0)</f>
        <v>359.40718526337099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0.20895967898141626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272.59426363556315</v>
      </c>
      <c r="C12" s="23">
        <f ca="1">C8*C10</f>
        <v>0</v>
      </c>
      <c r="D12" s="23">
        <f>D8*D10</f>
        <v>48.65448073200001</v>
      </c>
      <c r="E12" s="23">
        <f>E8*E10</f>
        <v>9.242070077928993</v>
      </c>
      <c r="F12" s="23">
        <f>F8*F10</f>
        <v>1230.9648157628521</v>
      </c>
      <c r="G12" s="23"/>
      <c r="H12" s="23"/>
      <c r="I12" s="23"/>
      <c r="J12" s="23">
        <f>J8*J10</f>
        <v>127.23014358323333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0.19392780285527034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78.932819438383092</v>
      </c>
      <c r="C26" s="247">
        <f>B26*'GWP N2O_CH4'!B5</f>
        <v>1657.589208206045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23.047793960409852</v>
      </c>
      <c r="C27" s="247">
        <f>B27*'GWP N2O_CH4'!B5</f>
        <v>484.00367316860689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1.063032330978646</v>
      </c>
      <c r="C28" s="247">
        <f>B28*'GWP N2O_CH4'!B4</f>
        <v>329.54002260338029</v>
      </c>
      <c r="D28" s="50"/>
    </row>
    <row r="29" spans="1:4">
      <c r="A29" s="41" t="s">
        <v>276</v>
      </c>
      <c r="B29" s="247">
        <f>B34*'ha_N2O bodem landbouw'!B4</f>
        <v>27.129103013614497</v>
      </c>
      <c r="C29" s="247">
        <f>B29*'GWP N2O_CH4'!B4</f>
        <v>8410.0219342204946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5.9489238423685743E-3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2.02062377825E-4</v>
      </c>
      <c r="C5" s="463" t="s">
        <v>210</v>
      </c>
      <c r="D5" s="448">
        <f>SUM(D6:D11)</f>
        <v>8.4110894005865995E-4</v>
      </c>
      <c r="E5" s="448">
        <f>SUM(E6:E11)</f>
        <v>7.036289774908749E-4</v>
      </c>
      <c r="F5" s="461" t="s">
        <v>210</v>
      </c>
      <c r="G5" s="448">
        <f>SUM(G6:G11)</f>
        <v>0.25407176218747357</v>
      </c>
      <c r="H5" s="448">
        <f>SUM(H6:H11)</f>
        <v>6.3522116937345566E-2</v>
      </c>
      <c r="I5" s="463" t="s">
        <v>210</v>
      </c>
      <c r="J5" s="463" t="s">
        <v>210</v>
      </c>
      <c r="K5" s="463" t="s">
        <v>210</v>
      </c>
      <c r="L5" s="463" t="s">
        <v>210</v>
      </c>
      <c r="M5" s="448">
        <f>SUM(M6:M11)</f>
        <v>1.8825178608428198E-2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7.2919967280000005E-5</v>
      </c>
      <c r="C6" s="449"/>
      <c r="D6" s="917">
        <f>vkm_2011_GW_PW*SUMIFS(TableVerdeelsleutelVkm[CNG],TableVerdeelsleutelVkm[Voertuigtype],"Lichte voertuigen")*SUMIFS(TableECFTransport[EnergieConsumptieFactor (PJ per km)],TableECFTransport[Index],CONCATENATE($A6,"_CNG_CNG"))</f>
        <v>2.5355514687148799E-4</v>
      </c>
      <c r="E6" s="917">
        <f>vkm_2011_GW_PW*SUMIFS(TableVerdeelsleutelVkm[LPG],TableVerdeelsleutelVkm[Voertuigtype],"Lichte voertuigen")*SUMIFS(TableECFTransport[EnergieConsumptieFactor (PJ per km)],TableECFTransport[Index],CONCATENATE($A6,"_LPG_LPG"))</f>
        <v>1.997596812096E-4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5.4376907919116931E-2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1.9028306142346119E-2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4.3864229174955423E-3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1.953170707277288E-2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4.9206664181183391E-6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1.1262592511183738E-3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4.6971467329999996E-5</v>
      </c>
      <c r="C8" s="449"/>
      <c r="D8" s="451">
        <f>vkm_2011_NGW_PW*SUMIFS(TableVerdeelsleutelVkm[CNG],TableVerdeelsleutelVkm[Voertuigtype],"Lichte voertuigen")*SUMIFS(TableECFTransport[EnergieConsumptieFactor (PJ per km)],TableECFTransport[Index],CONCATENATE($A8,"_CNG_CNG"))</f>
        <v>2.8904823441648002E-4</v>
      </c>
      <c r="E8" s="451">
        <f>vkm_2011_NGW_PW*SUMIFS(TableVerdeelsleutelVkm[LPG],TableVerdeelsleutelVkm[Voertuigtype],"Lichte voertuigen")*SUMIFS(TableECFTransport[EnergieConsumptieFactor (PJ per km)],TableECFTransport[Index],CONCATENATE($A8,"_LPG_LPG"))</f>
        <v>2.1111271932235001E-4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5.3327937031983685E-2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2.1136779631088565E-2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4.4646598036319728E-3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5.383117106617279E-3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1.2796306690681688E-6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3.1040231453623748E-4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8.2170943214999995E-5</v>
      </c>
      <c r="C10" s="449"/>
      <c r="D10" s="451">
        <f>vkm_2011_SW_PW*SUMIFS(TableVerdeelsleutelVkm[CNG],TableVerdeelsleutelVkm[Voertuigtype],"Lichte voertuigen")*SUMIFS(TableECFTransport[EnergieConsumptieFactor (PJ per km)],TableECFTransport[Index],CONCATENATE($A10,"_CNG_CNG"))</f>
        <v>2.98505558770692E-4</v>
      </c>
      <c r="E10" s="451">
        <f>vkm_2011_SW_PW*SUMIFS(TableVerdeelsleutelVkm[LPG],TableVerdeelsleutelVkm[Voertuigtype],"Lichte voertuigen")*SUMIFS(TableECFTransport[EnergieConsumptieFactor (PJ per km)],TableECFTransport[Index],CONCATENATE($A10,"_LPG_LPG"))</f>
        <v>2.9275657695892495E-4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7.0790102802125859E-2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2.3337007102315958E-2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5.6160359273403713E-3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5.0661990254856952E-2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1.3823764507743344E-5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2.9213983943057026E-3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56.128438284722222</v>
      </c>
      <c r="C14" s="21"/>
      <c r="D14" s="21">
        <f t="shared" ref="D14:M14" si="0">((D5)*10^9/3600)+D12</f>
        <v>233.64137223851665</v>
      </c>
      <c r="E14" s="21">
        <f t="shared" si="0"/>
        <v>195.45249374746527</v>
      </c>
      <c r="F14" s="21"/>
      <c r="G14" s="21">
        <f t="shared" si="0"/>
        <v>70575.489496520429</v>
      </c>
      <c r="H14" s="21">
        <f t="shared" si="0"/>
        <v>17645.032482595991</v>
      </c>
      <c r="I14" s="21"/>
      <c r="J14" s="21"/>
      <c r="K14" s="21"/>
      <c r="L14" s="21"/>
      <c r="M14" s="21">
        <f t="shared" si="0"/>
        <v>5229.2162801189443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0.20895967898141626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11.728580445703789</v>
      </c>
      <c r="C18" s="23"/>
      <c r="D18" s="23">
        <f t="shared" ref="D18:M18" si="1">D14*D16</f>
        <v>47.195557192180367</v>
      </c>
      <c r="E18" s="23">
        <f t="shared" si="1"/>
        <v>44.367716080674619</v>
      </c>
      <c r="F18" s="23"/>
      <c r="G18" s="23">
        <f t="shared" si="1"/>
        <v>18843.655695570957</v>
      </c>
      <c r="H18" s="23">
        <f t="shared" si="1"/>
        <v>4393.6130881664012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3.6455363031312723E-3</v>
      </c>
      <c r="H50" s="321">
        <f t="shared" si="2"/>
        <v>0</v>
      </c>
      <c r="I50" s="321">
        <f t="shared" si="2"/>
        <v>0</v>
      </c>
      <c r="J50" s="321">
        <f t="shared" si="2"/>
        <v>0</v>
      </c>
      <c r="K50" s="321">
        <f t="shared" si="2"/>
        <v>0</v>
      </c>
      <c r="L50" s="321">
        <f t="shared" si="2"/>
        <v>0</v>
      </c>
      <c r="M50" s="321">
        <f t="shared" si="2"/>
        <v>2.0261931108446965E-4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3.6455363031312723E-3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2.0261931108446965E-4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1012.64897309202</v>
      </c>
      <c r="H54" s="21">
        <f t="shared" si="3"/>
        <v>0</v>
      </c>
      <c r="I54" s="21">
        <f t="shared" si="3"/>
        <v>0</v>
      </c>
      <c r="J54" s="21">
        <f t="shared" si="3"/>
        <v>0</v>
      </c>
      <c r="K54" s="21">
        <f t="shared" si="3"/>
        <v>0</v>
      </c>
      <c r="L54" s="21">
        <f t="shared" si="3"/>
        <v>0</v>
      </c>
      <c r="M54" s="21">
        <f t="shared" si="3"/>
        <v>56.283141967908229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0.20895967898141626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270.37727581556936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3742.0960986103528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3653.5000000000005</v>
      </c>
      <c r="C8" s="574">
        <f>B101</f>
        <v>4297.6788573840549</v>
      </c>
      <c r="D8" s="575"/>
      <c r="E8" s="575">
        <f>E101</f>
        <v>0</v>
      </c>
      <c r="F8" s="576"/>
      <c r="G8" s="577"/>
      <c r="H8" s="575">
        <f>I101</f>
        <v>0</v>
      </c>
      <c r="I8" s="575">
        <f>G101+F101</f>
        <v>0</v>
      </c>
      <c r="J8" s="575">
        <f>H101+D101+C101</f>
        <v>0</v>
      </c>
      <c r="K8" s="575"/>
      <c r="L8" s="575"/>
      <c r="M8" s="575"/>
      <c r="N8" s="578"/>
      <c r="O8" s="579">
        <f>C8*$C$12+D8*$D$12+E8*$E$12+F8*$F$12+G8*$G$12+H8*$H$12+I8*$I$12+J8*$J$12</f>
        <v>868.13112919157913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7395.5960986103528</v>
      </c>
      <c r="C10" s="589">
        <f t="shared" ref="C10:L10" si="0">SUM(C8:C9)</f>
        <v>4297.6788573840549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868.13112919157913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5219.3185328185336</v>
      </c>
      <c r="C17" s="605">
        <f>B102</f>
        <v>6139.579829874634</v>
      </c>
      <c r="D17" s="606"/>
      <c r="E17" s="606">
        <f>E102</f>
        <v>0</v>
      </c>
      <c r="F17" s="607"/>
      <c r="G17" s="608"/>
      <c r="H17" s="605">
        <f>I102</f>
        <v>0</v>
      </c>
      <c r="I17" s="606">
        <f>G102+F102</f>
        <v>0</v>
      </c>
      <c r="J17" s="606">
        <f>H102+D102+C102</f>
        <v>0</v>
      </c>
      <c r="K17" s="606"/>
      <c r="L17" s="606"/>
      <c r="M17" s="606"/>
      <c r="N17" s="1005"/>
      <c r="O17" s="609">
        <f>C17*$C$22+E17*$E$22+H17*$H$22+I17*$I$22+J17*$J$22+D17*$D$22+F17*$F$22+G17*$G$22+K17*$K$22+L17*$L$22</f>
        <v>1240.1951256346761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5219.3185328185336</v>
      </c>
      <c r="C20" s="588">
        <f>SUM(C17:C19)</f>
        <v>6139.579829874634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1240.1951256346761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24059</v>
      </c>
      <c r="C28" s="817">
        <v>3400</v>
      </c>
      <c r="D28" s="666" t="s">
        <v>886</v>
      </c>
      <c r="E28" s="665" t="s">
        <v>887</v>
      </c>
      <c r="F28" s="665" t="s">
        <v>888</v>
      </c>
      <c r="G28" s="665" t="s">
        <v>889</v>
      </c>
      <c r="H28" s="665" t="s">
        <v>890</v>
      </c>
      <c r="I28" s="665" t="s">
        <v>887</v>
      </c>
      <c r="J28" s="816">
        <v>41906</v>
      </c>
      <c r="K28" s="816">
        <v>41906</v>
      </c>
      <c r="L28" s="665" t="s">
        <v>891</v>
      </c>
      <c r="M28" s="665">
        <v>810</v>
      </c>
      <c r="N28" s="665">
        <v>3645.0000000000005</v>
      </c>
      <c r="O28" s="665">
        <v>5207.1428571428578</v>
      </c>
      <c r="P28" s="665">
        <v>10414.285714285716</v>
      </c>
      <c r="Q28" s="665">
        <v>0</v>
      </c>
      <c r="R28" s="665">
        <v>0</v>
      </c>
      <c r="S28" s="665">
        <v>0</v>
      </c>
      <c r="T28" s="665">
        <v>0</v>
      </c>
      <c r="U28" s="665">
        <v>0</v>
      </c>
      <c r="V28" s="665">
        <v>0</v>
      </c>
      <c r="W28" s="665">
        <v>0</v>
      </c>
      <c r="X28" s="665">
        <v>800</v>
      </c>
      <c r="Y28" s="665" t="s">
        <v>35</v>
      </c>
      <c r="Z28" s="667" t="s">
        <v>388</v>
      </c>
    </row>
    <row r="29" spans="1:26" s="619" customFormat="1" ht="63.75">
      <c r="A29" s="618"/>
      <c r="B29" s="817">
        <v>24059</v>
      </c>
      <c r="C29" s="817">
        <v>3400</v>
      </c>
      <c r="D29" s="666"/>
      <c r="E29" s="665"/>
      <c r="F29" s="665" t="s">
        <v>892</v>
      </c>
      <c r="G29" s="665" t="s">
        <v>893</v>
      </c>
      <c r="H29" s="665" t="s">
        <v>893</v>
      </c>
      <c r="I29" s="665" t="s">
        <v>894</v>
      </c>
      <c r="J29" s="816">
        <v>42311</v>
      </c>
      <c r="K29" s="816">
        <v>42311</v>
      </c>
      <c r="L29" s="665" t="s">
        <v>891</v>
      </c>
      <c r="M29" s="665">
        <v>1.7</v>
      </c>
      <c r="N29" s="665">
        <v>8.5</v>
      </c>
      <c r="O29" s="665">
        <v>12.175675675675675</v>
      </c>
      <c r="P29" s="665">
        <v>22.972972972972972</v>
      </c>
      <c r="Q29" s="665">
        <v>0</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811.7</v>
      </c>
      <c r="N58" s="623">
        <f>SUM(N28:N57)</f>
        <v>3653.5000000000005</v>
      </c>
      <c r="O58" s="623">
        <f t="shared" ref="O58:W58" si="2">SUM(O28:O57)</f>
        <v>5219.3185328185336</v>
      </c>
      <c r="P58" s="623">
        <f t="shared" si="2"/>
        <v>10437.258687258689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810</v>
      </c>
      <c r="N59" s="623">
        <f t="shared" si="3"/>
        <v>3645.0000000000005</v>
      </c>
      <c r="O59" s="623">
        <f t="shared" si="3"/>
        <v>5207.1428571428578</v>
      </c>
      <c r="P59" s="623">
        <f t="shared" si="3"/>
        <v>10414.285714285716</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8.5</v>
      </c>
      <c r="O60" s="623">
        <f ca="1">SUMIF($Z$28:AE57,"tertiair",O28:O57)</f>
        <v>12.175675675675675</v>
      </c>
      <c r="P60" s="623">
        <f ca="1">SUMIF($Z$28:AF57,"tertiair",P28:P57)</f>
        <v>22.972972972972972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0.58823681714141496</v>
      </c>
      <c r="C98" s="648">
        <f>IF(ISERROR(N58/(O58+N58)),0,N58/(N58+O58))</f>
        <v>0.4117631828585851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4297.6788573840549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6139.579829874634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2019-08-12T08:39:17Z</dcterms:modified>
</cp:coreProperties>
</file>