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I15" i="48" l="1"/>
  <c r="O20" i="59"/>
  <c r="J30" i="48"/>
  <c r="J32"/>
  <c r="N20" i="59"/>
  <c r="F16" i="16"/>
  <c r="F30" i="48"/>
  <c r="F32"/>
  <c r="N30"/>
  <c r="N32"/>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K15" i="48"/>
  <c r="J27" i="14"/>
  <c r="G78"/>
  <c r="G9" i="59"/>
  <c r="G10" s="1"/>
  <c r="H90" i="14"/>
  <c r="H18" i="59"/>
  <c r="H20" s="1"/>
  <c r="H78" i="14"/>
  <c r="H9" i="59"/>
  <c r="H10" s="1"/>
  <c r="N78" i="14"/>
  <c r="N9" i="59"/>
  <c r="N10" s="1"/>
  <c r="K33" i="48"/>
  <c r="E78" i="14"/>
  <c r="E9" i="59"/>
  <c r="E10" s="1"/>
  <c r="M24" i="48"/>
  <c r="M32"/>
  <c r="I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E13" i="14" l="1"/>
  <c r="F78"/>
  <c r="F8" i="59"/>
  <c r="F10" s="1"/>
  <c r="F90" i="14"/>
  <c r="F17" i="59"/>
  <c r="F20" s="1"/>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E16" i="14"/>
  <c r="E27" s="1"/>
  <c r="D90"/>
  <c r="D17" i="59"/>
  <c r="D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5" i="48"/>
  <c r="Q90" i="14"/>
  <c r="B17" i="6" s="1"/>
  <c r="B22" s="1"/>
  <c r="P17" i="59"/>
  <c r="P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7" i="19"/>
  <c r="C19" s="1"/>
  <c r="D39" i="14" s="1"/>
  <c r="C56" i="22"/>
  <c r="C58" s="1"/>
  <c r="D49" i="14" s="1"/>
  <c r="D52" s="1"/>
  <c r="C10" i="17"/>
  <c r="C12" s="1"/>
  <c r="D54" i="14" s="1"/>
  <c r="D56" s="1"/>
  <c r="C20" i="16"/>
  <c r="C22" s="1"/>
  <c r="D43" i="14" s="1"/>
  <c r="C16" i="22"/>
  <c r="C90" i="14"/>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l="1"/>
  <c r="B20" s="1"/>
  <c r="C40" i="14" s="1"/>
  <c r="R40" s="1"/>
  <c r="B20" i="16"/>
  <c r="B22" s="1"/>
  <c r="C43" i="14" s="1"/>
  <c r="R43"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<sst xmlns="http://schemas.openxmlformats.org/spreadsheetml/2006/main" count="2393" uniqueCount="893">
  <si>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</si>
  <si>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</si>
  <si>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</si>
  <si>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</si>
  <si>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</si>
  <si>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</si>
  <si>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</si>
  <si>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</si>
  <si>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</si>
  <si>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</si>
  <si>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</si>
  <si>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</si>
  <si>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</si>
  <si>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</si>
  <si>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</si>
  <si>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</si>
  <si>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</si>
  <si>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</si>
  <si>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</si>
  <si>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</si>
  <si>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</si>
  <si>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</si>
  <si>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</si>
  <si>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</si>
  <si>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</si>
  <si>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</si>
  <si>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</si>
  <si>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</si>
  <si>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</si>
  <si>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</si>
  <si>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</si>
  <si>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</si>
  <si>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</si>
  <si>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</si>
  <si>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</si>
  <si>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</si>
  <si>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</si>
  <si>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</si>
  <si>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</si>
  <si>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</si>
  <si>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</si>
  <si>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</si>
  <si>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</si>
  <si>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</si>
  <si>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</si>
  <si>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</si>
  <si>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</si>
  <si>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</si>
  <si>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</si>
  <si>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</si>
  <si>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</si>
  <si>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</si>
  <si>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</si>
  <si>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</si>
  <si>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</si>
  <si>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</si>
  <si>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</si>
  <si>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</si>
  <si>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</si>
  <si>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</si>
  <si>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</si>
  <si>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</si>
  <si>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</si>
  <si>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</si>
  <si>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</si>
  <si>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</si>
  <si>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</si>
  <si>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</si>
  <si>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</si>
  <si>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</si>
  <si>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</si>
  <si>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</si>
  <si>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</si>
  <si>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</si>
  <si>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</si>
  <si>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</si>
  <si>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</si>
  <si>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</si>
  <si>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</si>
  <si>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</si>
  <si>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</si>
  <si>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</si>
  <si>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</si>
  <si>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</si>
  <si>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</si>
  <si>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</si>
  <si>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</si>
  <si>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</si>
  <si>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</si>
  <si>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</si>
  <si>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</si>
  <si>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</si>
  <si>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</si>
  <si>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</si>
  <si>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</si>
  <si>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</si>
  <si>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</si>
  <si>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</si>
  <si>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</si>
  <si>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</si>
  <si>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</si>
  <si>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</si>
  <si>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</si>
  <si>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</si>
  <si>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</si>
  <si>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</si>
  <si>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</si>
  <si>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</si>
  <si>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</si>
  <si>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</si>
  <si>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</si>
  <si>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</si>
  <si>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</si>
  <si>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</si>
  <si>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</si>
  <si>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</si>
  <si>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</si>
  <si>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</si>
  <si>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</si>
  <si>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</si>
  <si>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</si>
  <si>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</si>
  <si>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</si>
  <si>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</si>
  <si>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</si>
  <si>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</si>
  <si>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</si>
  <si>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</si>
  <si>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</si>
  <si>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</si>
  <si>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</si>
  <si>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</si>
  <si>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</si>
  <si>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</si>
  <si>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</si>
  <si>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</si>
  <si>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</si>
  <si>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</si>
  <si>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</si>
  <si>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</si>
  <si>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</si>
  <si>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</si>
  <si>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</si>
  <si>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</si>
  <si>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</si>
  <si>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</si>
  <si>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</si>
  <si>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</si>
  <si>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</si>
  <si>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</si>
  <si>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</si>
  <si>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</si>
  <si>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</si>
  <si>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</si>
  <si>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</si>
  <si>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</si>
  <si>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</si>
  <si>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</si>
  <si>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</si>
  <si>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</si>
  <si>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</si>
  <si>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</si>
  <si>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</si>
  <si>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</si>
  <si>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</si>
  <si>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</si>
  <si>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</si>
  <si>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</si>
  <si>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</si>
  <si>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</si>
  <si>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</si>
  <si>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</si>
  <si>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</si>
  <si>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</si>
  <si>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</si>
  <si>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</si>
  <si>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</si>
  <si>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</si>
  <si>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</si>
  <si>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</si>
  <si>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</si>
  <si>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</si>
  <si>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</si>
  <si>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</si>
  <si>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</si>
  <si>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</si>
  <si>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</si>
  <si>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</si>
  <si>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</si>
  <si>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</si>
  <si>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</si>
  <si>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</si>
  <si>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</si>
  <si>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</si>
  <si>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</si>
  <si>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</si>
  <si>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</si>
  <si>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</si>
  <si>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</si>
  <si>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</si>
  <si>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</si>
  <si>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</si>
  <si>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</si>
  <si>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</si>
  <si>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</si>
  <si>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</si>
  <si>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</si>
  <si>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</si>
  <si>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</si>
  <si>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</si>
  <si>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</si>
  <si>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</si>
  <si>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</si>
  <si>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</si>
  <si>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</si>
  <si>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</si>
  <si>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</si>
  <si>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</si>
  <si>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</si>
  <si>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</si>
  <si>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</si>
  <si>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</si>
  <si>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</si>
  <si>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</si>
  <si>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</si>
  <si>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</si>
  <si>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</si>
  <si>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</si>
  <si>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</si>
  <si>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</si>
  <si>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</si>
  <si>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</si>
  <si>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</si>
  <si>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</si>
  <si>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</si>
  <si>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</si>
  <si>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</si>
  <si>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</si>
  <si>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</si>
  <si>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</si>
  <si>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</si>
  <si>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</si>
  <si>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</si>
  <si>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</si>
  <si>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</si>
  <si>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</si>
  <si>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</si>
  <si>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</si>
  <si>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</si>
  <si>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</si>
  <si>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</si>
  <si>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</si>
  <si>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</si>
  <si>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</si>
  <si>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</si>
  <si>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</si>
  <si>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</si>
  <si>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</si>
  <si>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</si>
  <si>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</si>
  <si>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</si>
  <si>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</si>
  <si>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</si>
  <si>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</si>
  <si>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</si>
  <si>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</si>
  <si>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</si>
  <si>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</si>
  <si>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</si>
  <si>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</si>
  <si>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</si>
  <si>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</si>
  <si>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</si>
  <si>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</si>
  <si>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</si>
  <si>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</si>
  <si>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</si>
  <si>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</si>
  <si>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</si>
  <si>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</si>
  <si>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</si>
  <si>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</si>
  <si>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</si>
  <si>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</si>
  <si>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</si>
  <si>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</si>
  <si>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</si>
  <si>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</si>
  <si>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</si>
  <si>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</si>
  <si>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</si>
  <si>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</si>
  <si>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</si>
  <si>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</si>
  <si>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</si>
  <si>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</si>
  <si>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</si>
  <si>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</si>
  <si>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</si>
  <si>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</si>
  <si>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</si>
  <si>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</si>
  <si>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</si>
  <si>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</si>
  <si>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</si>
  <si>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</si>
  <si>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</si>
  <si>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</si>
  <si>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</si>
  <si>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</si>
  <si>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</si>
  <si>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</si>
  <si>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</si>
  <si>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</si>
  <si>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</si>
  <si>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</si>
  <si>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</si>
  <si>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</si>
  <si>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</si>
  <si>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</si>
  <si>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</si>
  <si>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</si>
  <si>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</si>
  <si>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</si>
  <si>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</si>
  <si>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</si>
  <si>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</si>
  <si>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</si>
  <si>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</si>
  <si>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</si>
  <si>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</si>
  <si>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</si>
  <si>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</si>
  <si>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</si>
  <si>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</si>
  <si>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</si>
  <si>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</si>
  <si>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</si>
  <si>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</si>
  <si>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</si>
  <si>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</si>
  <si>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</si>
  <si>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</si>
  <si>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</si>
  <si>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</si>
  <si>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</si>
  <si>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</si>
  <si>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</si>
  <si>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</si>
  <si>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</si>
  <si>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</si>
  <si>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</si>
  <si>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</si>
  <si>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</si>
  <si>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</si>
  <si>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</si>
  <si>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</si>
  <si>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</si>
  <si>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</si>
  <si>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</si>
  <si>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</si>
  <si>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</si>
  <si>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</si>
  <si>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</si>
  <si>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</si>
  <si>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</si>
  <si>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</si>
  <si>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</si>
  <si>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</si>
  <si>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</si>
  <si>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</si>
  <si>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</si>
  <si>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</si>
  <si>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</si>
  <si>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</si>
  <si>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</si>
  <si>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</si>
  <si>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</si>
  <si>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</si>
  <si>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</si>
  <si>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</si>
  <si>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</si>
  <si>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</si>
  <si>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</si>
  <si>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</si>
  <si>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</si>
  <si>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</si>
  <si>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</si>
  <si>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</si>
  <si>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</si>
  <si>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</si>
  <si>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</si>
  <si>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</si>
  <si>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</si>
  <si>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</si>
  <si>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</si>
  <si>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</si>
  <si>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</si>
  <si>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</si>
  <si>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</si>
  <si>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</si>
  <si>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</si>
  <si>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</si>
  <si>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</si>
  <si>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</si>
  <si>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</si>
  <si>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</si>
  <si>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</si>
  <si>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</si>
  <si>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</si>
  <si>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</si>
  <si>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</si>
  <si>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</si>
  <si>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</si>
  <si>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</si>
  <si>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</si>
  <si>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</si>
  <si>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</si>
  <si>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</si>
  <si>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</si>
  <si>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</si>
  <si>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</si>
  <si>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</si>
  <si>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</si>
  <si>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</si>
  <si>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</si>
  <si>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</si>
  <si>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</si>
  <si>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</si>
  <si>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</si>
  <si>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</si>
  <si>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</si>
  <si>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</si>
  <si>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</si>
  <si>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</si>
  <si>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</si>
  <si>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</si>
  <si>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</si>
  <si>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</si>
  <si>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</si>
  <si>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</si>
  <si>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</si>
  <si>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</si>
  <si>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</si>
  <si>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</si>
  <si>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</si>
  <si>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</si>
  <si>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</si>
  <si>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</si>
  <si>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</si>
  <si>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</si>
  <si>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</si>
  <si>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</si>
  <si>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</si>
  <si>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</si>
  <si>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</si>
  <si>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</si>
  <si>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</si>
  <si>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</si>
  <si>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</si>
  <si>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</si>
  <si>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</si>
  <si>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</si>
  <si>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</si>
  <si>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</si>
  <si>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</si>
  <si>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</si>
  <si>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</si>
  <si>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</si>
  <si>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</si>
  <si>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</si>
  <si>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</si>
  <si>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</si>
  <si>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</si>
  <si>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</si>
  <si>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</si>
  <si>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</si>
  <si>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</si>
  <si>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</si>
  <si>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</si>
  <si>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</si>
  <si>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</si>
  <si>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</si>
  <si>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</si>
  <si>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</si>
  <si>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</si>
  <si>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</si>
  <si>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</si>
  <si>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</si>
  <si>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</si>
  <si>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</si>
  <si>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</si>
  <si>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</si>
  <si>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</si>
  <si>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</si>
  <si>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</si>
  <si>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</si>
  <si>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</si>
  <si>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</si>
  <si>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</si>
  <si>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</si>
  <si>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</si>
  <si>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</si>
  <si>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</si>
  <si>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</si>
  <si>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</si>
  <si>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</si>
  <si>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</si>
  <si>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</si>
  <si>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</si>
  <si>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</si>
  <si>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</si>
  <si>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</si>
  <si>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</si>
  <si>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</si>
  <si>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</si>
  <si>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</si>
  <si>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</si>
  <si>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</si>
  <si>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</si>
  <si>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</si>
  <si>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</si>
  <si>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</si>
  <si>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</si>
  <si>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</si>
  <si>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</si>
  <si>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</si>
  <si>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</si>
  <si>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</si>
  <si>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</si>
  <si>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</si>
  <si>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</si>
  <si>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</si>
  <si>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</si>
  <si>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</si>
  <si>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</si>
  <si>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</si>
  <si>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</si>
  <si>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</si>
  <si>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</si>
  <si>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</si>
  <si>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</si>
  <si>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</si>
  <si>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</si>
  <si>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</si>
  <si>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</si>
  <si>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</si>
  <si>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</si>
  <si>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</si>
  <si>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</si>
  <si>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</si>
  <si>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</si>
  <si>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</si>
  <si>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</si>
  <si>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</si>
  <si>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</si>
  <si>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</si>
  <si>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</si>
  <si>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</si>
  <si>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</si>
  <si>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</si>
  <si>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</si>
  <si>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</si>
  <si>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</si>
  <si>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</si>
  <si>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</si>
  <si>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</si>
  <si>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</si>
  <si>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</si>
  <si>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</si>
  <si>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</si>
  <si>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</si>
  <si>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</si>
  <si>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</si>
  <si>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</si>
  <si>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</si>
  <si>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</si>
  <si>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</si>
  <si>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</si>
  <si>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</si>
  <si>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</si>
  <si>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</si>
  <si>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</si>
  <si>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</si>
  <si>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</si>
  <si>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</si>
  <si>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</si>
  <si>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</si>
  <si>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</si>
  <si>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</si>
  <si>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</si>
  <si>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</si>
  <si>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</si>
  <si>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</si>
  <si>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</si>
  <si>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</si>
  <si>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</si>
  <si>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</si>
  <si>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</si>
  <si>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</si>
  <si>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</si>
  <si>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</si>
  <si>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</si>
  <si>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</si>
  <si>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</si>
  <si>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</si>
  <si>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</si>
  <si>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</si>
  <si>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</si>
  <si>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</si>
  <si>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</si>
  <si>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</si>
  <si>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</si>
  <si>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</si>
  <si>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</si>
  <si>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</si>
  <si>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</si>
  <si>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</si>
  <si>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</si>
  <si>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</si>
  <si>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</si>
  <si>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</si>
  <si>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</si>
  <si>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</si>
  <si>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</si>
  <si>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</si>
  <si>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</si>
  <si>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</si>
  <si>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</si>
  <si>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</si>
  <si>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</si>
  <si>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</si>
  <si>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</si>
  <si>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</si>
  <si>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</si>
  <si>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</si>
  <si>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</si>
  <si>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</si>
  <si>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</si>
  <si>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</si>
  <si>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</si>
  <si>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</si>
  <si>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</si>
  <si>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</si>
  <si>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</si>
  <si>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</si>
  <si>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</si>
  <si>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</si>
  <si>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</si>
  <si>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</si>
  <si>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</si>
  <si>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</si>
  <si>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</si>
  <si>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</si>
  <si>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</si>
  <si>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</si>
  <si>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</si>
  <si>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</si>
  <si>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</si>
  <si>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</si>
  <si>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</si>
  <si>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</si>
  <si>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</si>
  <si>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</si>
  <si>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</si>
  <si>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</si>
  <si>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</si>
  <si>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</si>
  <si>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</si>
  <si>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</si>
  <si>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</si>
  <si>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</si>
  <si>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</si>
  <si>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</si>
  <si>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</si>
  <si>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</si>
  <si>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</si>
  <si>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</si>
  <si>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</si>
  <si>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</si>
  <si>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</si>
  <si>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</si>
  <si>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</si>
  <si>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</si>
  <si>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</si>
  <si>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</si>
  <si>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</si>
  <si>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</si>
  <si>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</si>
  <si>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</si>
  <si>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</si>
  <si>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</si>
  <si>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</si>
  <si>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</si>
  <si>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</si>
  <si>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</si>
  <si>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</si>
  <si>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</si>
  <si>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</si>
  <si>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</si>
  <si>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</si>
  <si>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</si>
  <si>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</si>
  <si>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</si>
  <si>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</si>
  <si>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</si>
  <si>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</si>
  <si>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</si>
  <si>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</si>
  <si>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</si>
  <si>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</si>
  <si>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</si>
  <si>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</si>
  <si>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</si>
  <si>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</si>
  <si>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</si>
  <si>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</si>
  <si>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</si>
  <si>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</si>
  <si>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</si>
  <si>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</si>
  <si>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</si>
  <si>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</si>
  <si>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</si>
  <si>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</si>
  <si>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</si>
  <si>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</si>
  <si>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</si>
  <si>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</si>
  <si>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</si>
  <si>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</si>
  <si>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</si>
  <si>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</si>
  <si>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</si>
  <si>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</si>
  <si>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</si>
  <si>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</si>
  <si>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</si>
  <si>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</si>
  <si>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</si>
  <si>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</si>
  <si>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</si>
  <si>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</si>
  <si>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</si>
  <si>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</si>
  <si>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</si>
  <si>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</si>
  <si>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</si>
  <si>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</si>
  <si>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</si>
  <si>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</si>
  <si>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</si>
  <si>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</si>
  <si>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</si>
  <si>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</si>
  <si>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</si>
  <si>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</si>
  <si>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</si>
  <si>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</si>
  <si>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</si>
  <si>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</si>
  <si>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</si>
  <si>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</si>
  <si>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</si>
  <si>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</si>
  <si>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</si>
  <si>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</si>
  <si>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</si>
  <si>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</si>
  <si>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</si>
  <si>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</si>
  <si>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</si>
  <si>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</si>
  <si>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</si>
  <si>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</si>
  <si>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</si>
  <si>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</si>
  <si>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</si>
  <si>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</si>
  <si>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</si>
  <si>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</si>
  <si>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</si>
  <si>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</si>
  <si>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</si>
  <si>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</si>
  <si>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</si>
  <si>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</si>
  <si>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</si>
  <si>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</si>
  <si>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</si>
  <si>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</si>
  <si>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</si>
  <si>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</si>
  <si>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</si>
  <si>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</si>
  <si>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</si>
  <si>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</si>
  <si>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</si>
  <si>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</si>
  <si>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</si>
  <si>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</si>
  <si>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</si>
  <si>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</si>
  <si>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</si>
  <si>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</si>
  <si>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</si>
  <si>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</si>
  <si>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</si>
  <si>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</si>
  <si>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</si>
  <si>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</si>
  <si>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</si>
  <si>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</si>
  <si>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</si>
  <si>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</si>
  <si>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</si>
  <si>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</si>
  <si>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</si>
  <si>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</si>
  <si>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</si>
  <si>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</si>
  <si>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</si>
  <si>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</si>
  <si>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</si>
  <si>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</si>
  <si>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</si>
  <si>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</si>
  <si>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</si>
  <si>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</si>
  <si>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</si>
  <si>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</si>
  <si>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</si>
  <si>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</si>
  <si>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</si>
  <si>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</si>
  <si>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</si>
  <si>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</si>
  <si>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</si>
  <si>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</si>
  <si>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</si>
  <si>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</si>
  <si>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</si>
  <si>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</si>
  <si>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</si>
  <si>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</si>
  <si>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</si>
  <si>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</si>
  <si>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</si>
  <si>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</si>
  <si>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</si>
  <si>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</si>
  <si>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</si>
  <si>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</si>
  <si>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</si>
  <si>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</si>
  <si>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</si>
  <si>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</si>
  <si>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</si>
  <si>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</si>
  <si>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</si>
  <si>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</si>
  <si>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</si>
  <si>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</si>
  <si>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</si>
  <si>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</si>
  <si>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</si>
  <si>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</si>
  <si>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</si>
  <si>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</si>
  <si>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</si>
  <si>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</si>
  <si>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</si>
  <si>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</si>
  <si>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</si>
  <si>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</si>
  <si>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</si>
  <si>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</si>
  <si>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</si>
  <si>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24055</t>
  </si>
  <si>
    <t>KORTENBERG</t>
  </si>
  <si>
    <t>Mestbank (maart 2019)</t>
  </si>
  <si>
    <t>Fluvius (februari 2019)</t>
  </si>
  <si>
    <t>referentietaak LNE (2017); Jaarverslag De Lijn (2018)</t>
  </si>
  <si>
    <t>VEA (30 april 2019)</t>
  </si>
  <si>
    <t>VEA (mei 2018)</t>
  </si>
  <si>
    <t>VEA (mei 2019)</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</si>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</sst>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150428.18759656671</c:v>
                </c:pt>
                <c:pt idx="1">
                  <c:v>77301.314196842606</c:v>
                </c:pt>
                <c:pt idx="2">
                  <c:v>1376.451</c:v>
                </c:pt>
                <c:pt idx="3">
                  <c:v>1677.9873596726502</c:v>
                </c:pt>
                <c:pt idx="4">
                  <c:v>5137.0750397667061</c:v>
                </c:pt>
                <c:pt idx="5">
                  <c:v>241214.13759100088</c:v>
                </c:pt>
                <c:pt idx="6">
                  <c:v>4061.5878418561761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150428.18759656671</c:v>
                </c:pt>
                <c:pt idx="1">
                  <c:v>77301.314196842606</c:v>
                </c:pt>
                <c:pt idx="2">
                  <c:v>1376.451</c:v>
                </c:pt>
                <c:pt idx="3">
                  <c:v>1677.9873596726502</c:v>
                </c:pt>
                <c:pt idx="4">
                  <c:v>5137.0750397667061</c:v>
                </c:pt>
                <c:pt idx="5">
                  <c:v>241214.13759100088</c:v>
                </c:pt>
                <c:pt idx="6">
                  <c:v>4061.5878418561761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28928.700274658346</c:v>
                </c:pt>
                <c:pt idx="1">
                  <c:v>15773.963289286543</c:v>
                </c:pt>
                <c:pt idx="2">
                  <c:v>283.74459375202497</c:v>
                </c:pt>
                <c:pt idx="3">
                  <c:v>417.33597756025927</c:v>
                </c:pt>
                <c:pt idx="4">
                  <c:v>1089.4647166158506</c:v>
                </c:pt>
                <c:pt idx="5">
                  <c:v>59925.995699241161</c:v>
                </c:pt>
                <c:pt idx="6">
                  <c:v>1027.3440573961459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7392"/>
        <c:axId val="182588928"/>
      </c:barChart>
      <c:catAx>
        <c:axId val="182587392"/>
        <c:scaling>
          <c:orientation val="minMax"/>
        </c:scaling>
        <c:axPos val="b"/>
        <c:numFmt formatCode="General" sourceLinked="0"/>
        <c:tickLblPos val="nextTo"/>
        <c:crossAx val="182588928"/>
        <c:crosses val="autoZero"/>
        <c:auto val="1"/>
        <c:lblAlgn val="ctr"/>
        <c:lblOffset val="100"/>
      </c:catAx>
      <c:valAx>
        <c:axId val="182588928"/>
        <c:scaling>
          <c:orientation val="minMax"/>
        </c:scaling>
        <c:axPos val="l"/>
        <c:majorGridlines/>
        <c:numFmt formatCode="#,##0" sourceLinked="1"/>
        <c:tickLblPos val="nextTo"/>
        <c:crossAx val="182587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28928.700274658346</c:v>
                </c:pt>
                <c:pt idx="1">
                  <c:v>15773.963289286543</c:v>
                </c:pt>
                <c:pt idx="2">
                  <c:v>283.74459375202497</c:v>
                </c:pt>
                <c:pt idx="3">
                  <c:v>417.33597756025927</c:v>
                </c:pt>
                <c:pt idx="4">
                  <c:v>1089.4647166158506</c:v>
                </c:pt>
                <c:pt idx="5">
                  <c:v>59925.995699241161</c:v>
                </c:pt>
                <c:pt idx="6">
                  <c:v>1027.3440573961459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24055</v>
      </c>
      <c r="B6" s="415"/>
      <c r="C6" s="416"/>
    </row>
    <row r="7" spans="1:7" s="413" customFormat="1" ht="15.75" customHeight="1">
      <c r="A7" s="417" t="str">
        <f>txtMunicipality</f>
        <v>KORTENBERG</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0.20614216833873852</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0.20614216833873852</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8092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1491.11</v>
      </c>
    </row>
    <row r="15" spans="1:6">
      <c r="A15" s="348" t="s">
        <v>183</v>
      </c>
      <c r="B15" s="334">
        <v>1</v>
      </c>
    </row>
    <row r="16" spans="1:6">
      <c r="A16" s="348" t="s">
        <v>6</v>
      </c>
      <c r="B16" s="334">
        <v>0</v>
      </c>
    </row>
    <row r="17" spans="1:6">
      <c r="A17" s="348" t="s">
        <v>7</v>
      </c>
      <c r="B17" s="334">
        <v>201</v>
      </c>
    </row>
    <row r="18" spans="1:6">
      <c r="A18" s="348" t="s">
        <v>8</v>
      </c>
      <c r="B18" s="334">
        <v>202</v>
      </c>
    </row>
    <row r="19" spans="1:6">
      <c r="A19" s="348" t="s">
        <v>9</v>
      </c>
      <c r="B19" s="334">
        <v>154</v>
      </c>
    </row>
    <row r="20" spans="1:6">
      <c r="A20" s="348" t="s">
        <v>10</v>
      </c>
      <c r="B20" s="334">
        <v>99</v>
      </c>
    </row>
    <row r="21" spans="1:6">
      <c r="A21" s="348" t="s">
        <v>11</v>
      </c>
      <c r="B21" s="334">
        <v>0</v>
      </c>
    </row>
    <row r="22" spans="1:6">
      <c r="A22" s="348" t="s">
        <v>12</v>
      </c>
      <c r="B22" s="334">
        <v>4</v>
      </c>
    </row>
    <row r="23" spans="1:6">
      <c r="A23" s="348" t="s">
        <v>13</v>
      </c>
      <c r="B23" s="334">
        <v>0</v>
      </c>
    </row>
    <row r="24" spans="1:6">
      <c r="A24" s="348" t="s">
        <v>14</v>
      </c>
      <c r="B24" s="334">
        <v>1</v>
      </c>
    </row>
    <row r="25" spans="1:6">
      <c r="A25" s="348" t="s">
        <v>15</v>
      </c>
      <c r="B25" s="334">
        <v>0</v>
      </c>
    </row>
    <row r="26" spans="1:6">
      <c r="A26" s="348" t="s">
        <v>16</v>
      </c>
      <c r="B26" s="334">
        <v>195</v>
      </c>
    </row>
    <row r="27" spans="1:6">
      <c r="A27" s="348" t="s">
        <v>17</v>
      </c>
      <c r="B27" s="334">
        <v>30</v>
      </c>
    </row>
    <row r="28" spans="1:6" s="356" customFormat="1">
      <c r="A28" s="355" t="s">
        <v>18</v>
      </c>
      <c r="B28" s="355">
        <v>39</v>
      </c>
    </row>
    <row r="29" spans="1:6">
      <c r="A29" s="355" t="s">
        <v>713</v>
      </c>
      <c r="B29" s="355">
        <v>128</v>
      </c>
      <c r="C29" s="356"/>
      <c r="D29" s="356"/>
      <c r="E29" s="356"/>
      <c r="F29" s="356"/>
    </row>
    <row r="30" spans="1:6">
      <c r="A30" s="341" t="s">
        <v>714</v>
      </c>
      <c r="B30" s="341">
        <v>42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7629.1760000000004</v>
      </c>
    </row>
    <row r="39" spans="1:6">
      <c r="A39" s="348" t="s">
        <v>29</v>
      </c>
      <c r="B39" s="348" t="s">
        <v>30</v>
      </c>
      <c r="C39" s="334">
        <v>5799</v>
      </c>
      <c r="D39" s="334">
        <v>98835332.579999998</v>
      </c>
      <c r="E39" s="334">
        <v>8057</v>
      </c>
      <c r="F39" s="334">
        <v>29934466.059999999</v>
      </c>
    </row>
    <row r="40" spans="1:6">
      <c r="A40" s="348" t="s">
        <v>29</v>
      </c>
      <c r="B40" s="348" t="s">
        <v>28</v>
      </c>
      <c r="C40" s="334">
        <v>0</v>
      </c>
      <c r="D40" s="334">
        <v>0</v>
      </c>
      <c r="E40" s="334">
        <v>0</v>
      </c>
      <c r="F40" s="334">
        <v>0</v>
      </c>
    </row>
    <row r="41" spans="1:6">
      <c r="A41" s="348" t="s">
        <v>31</v>
      </c>
      <c r="B41" s="348" t="s">
        <v>32</v>
      </c>
      <c r="C41" s="334">
        <v>32</v>
      </c>
      <c r="D41" s="334">
        <v>689310.04200000002</v>
      </c>
      <c r="E41" s="334">
        <v>78</v>
      </c>
      <c r="F41" s="334">
        <v>894758.79200000002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54938.012999999999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37</v>
      </c>
      <c r="D48" s="334">
        <v>995461.30500000005</v>
      </c>
      <c r="E48" s="334">
        <v>54</v>
      </c>
      <c r="F48" s="334">
        <v>753238.42</v>
      </c>
    </row>
    <row r="49" spans="1:6">
      <c r="A49" s="348" t="s">
        <v>31</v>
      </c>
      <c r="B49" s="348" t="s">
        <v>39</v>
      </c>
      <c r="C49" s="334">
        <v>0</v>
      </c>
      <c r="D49" s="334">
        <v>0</v>
      </c>
      <c r="E49" s="334">
        <v>0</v>
      </c>
      <c r="F49" s="334">
        <v>0</v>
      </c>
    </row>
    <row r="50" spans="1:6">
      <c r="A50" s="348" t="s">
        <v>31</v>
      </c>
      <c r="B50" s="348" t="s">
        <v>40</v>
      </c>
      <c r="C50" s="334">
        <v>3</v>
      </c>
      <c r="D50" s="334">
        <v>292877.42099999997</v>
      </c>
      <c r="E50" s="334">
        <v>8</v>
      </c>
      <c r="F50" s="334">
        <v>345122.98800000001</v>
      </c>
    </row>
    <row r="51" spans="1:6">
      <c r="A51" s="348" t="s">
        <v>41</v>
      </c>
      <c r="B51" s="348" t="s">
        <v>42</v>
      </c>
      <c r="C51" s="334">
        <v>0</v>
      </c>
      <c r="D51" s="334">
        <v>0</v>
      </c>
      <c r="E51" s="334">
        <v>20</v>
      </c>
      <c r="F51" s="334">
        <v>144998.946</v>
      </c>
    </row>
    <row r="52" spans="1:6">
      <c r="A52" s="348" t="s">
        <v>41</v>
      </c>
      <c r="B52" s="348" t="s">
        <v>28</v>
      </c>
      <c r="C52" s="334">
        <v>13</v>
      </c>
      <c r="D52" s="334">
        <v>339009.837</v>
      </c>
      <c r="E52" s="334">
        <v>15</v>
      </c>
      <c r="F52" s="334">
        <v>138465.09400000001</v>
      </c>
    </row>
    <row r="53" spans="1:6">
      <c r="A53" s="348" t="s">
        <v>43</v>
      </c>
      <c r="B53" s="348" t="s">
        <v>44</v>
      </c>
      <c r="C53" s="334">
        <v>138</v>
      </c>
      <c r="D53" s="334">
        <v>2457425.7930000001</v>
      </c>
      <c r="E53" s="334">
        <v>293</v>
      </c>
      <c r="F53" s="334">
        <v>837296.81499999994</v>
      </c>
    </row>
    <row r="54" spans="1:6">
      <c r="A54" s="348" t="s">
        <v>45</v>
      </c>
      <c r="B54" s="348" t="s">
        <v>46</v>
      </c>
      <c r="C54" s="334">
        <v>0</v>
      </c>
      <c r="D54" s="334">
        <v>0</v>
      </c>
      <c r="E54" s="334">
        <v>1</v>
      </c>
      <c r="F54" s="334">
        <v>1376451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28</v>
      </c>
      <c r="D57" s="334">
        <v>655550.60100000002</v>
      </c>
      <c r="E57" s="334">
        <v>42</v>
      </c>
      <c r="F57" s="334">
        <v>399620.67800000001</v>
      </c>
    </row>
    <row r="58" spans="1:6">
      <c r="A58" s="348" t="s">
        <v>48</v>
      </c>
      <c r="B58" s="348" t="s">
        <v>50</v>
      </c>
      <c r="C58" s="334">
        <v>27</v>
      </c>
      <c r="D58" s="334">
        <v>1001136.959</v>
      </c>
      <c r="E58" s="334">
        <v>35</v>
      </c>
      <c r="F58" s="334">
        <v>247029.96799999999</v>
      </c>
    </row>
    <row r="59" spans="1:6">
      <c r="A59" s="348" t="s">
        <v>48</v>
      </c>
      <c r="B59" s="348" t="s">
        <v>51</v>
      </c>
      <c r="C59" s="334">
        <v>53</v>
      </c>
      <c r="D59" s="334">
        <v>2581715.3760000002</v>
      </c>
      <c r="E59" s="334">
        <v>105</v>
      </c>
      <c r="F59" s="334">
        <v>3682319.7119999998</v>
      </c>
    </row>
    <row r="60" spans="1:6">
      <c r="A60" s="348" t="s">
        <v>48</v>
      </c>
      <c r="B60" s="348" t="s">
        <v>52</v>
      </c>
      <c r="C60" s="334">
        <v>31</v>
      </c>
      <c r="D60" s="334">
        <v>1284875.33</v>
      </c>
      <c r="E60" s="334">
        <v>36</v>
      </c>
      <c r="F60" s="334">
        <v>810972.86</v>
      </c>
    </row>
    <row r="61" spans="1:6">
      <c r="A61" s="348" t="s">
        <v>48</v>
      </c>
      <c r="B61" s="348" t="s">
        <v>53</v>
      </c>
      <c r="C61" s="334">
        <v>152</v>
      </c>
      <c r="D61" s="334">
        <v>17250646.32</v>
      </c>
      <c r="E61" s="334">
        <v>353</v>
      </c>
      <c r="F61" s="334">
        <v>6816099.3490000004</v>
      </c>
    </row>
    <row r="62" spans="1:6">
      <c r="A62" s="348" t="s">
        <v>48</v>
      </c>
      <c r="B62" s="348" t="s">
        <v>54</v>
      </c>
      <c r="C62" s="334">
        <v>0</v>
      </c>
      <c r="D62" s="334">
        <v>0</v>
      </c>
      <c r="E62" s="334">
        <v>0</v>
      </c>
      <c r="F62" s="334">
        <v>0</v>
      </c>
    </row>
    <row r="63" spans="1:6">
      <c r="A63" s="348" t="s">
        <v>48</v>
      </c>
      <c r="B63" s="348" t="s">
        <v>28</v>
      </c>
      <c r="C63" s="334">
        <v>192</v>
      </c>
      <c r="D63" s="334">
        <v>30430098.16</v>
      </c>
      <c r="E63" s="334">
        <v>211</v>
      </c>
      <c r="F63" s="334">
        <v>13716253.949999999</v>
      </c>
    </row>
    <row r="64" spans="1:6">
      <c r="A64" s="348" t="s">
        <v>55</v>
      </c>
      <c r="B64" s="348" t="s">
        <v>56</v>
      </c>
      <c r="C64" s="334">
        <v>0</v>
      </c>
      <c r="D64" s="334">
        <v>0</v>
      </c>
      <c r="E64" s="334">
        <v>0</v>
      </c>
      <c r="F64" s="334">
        <v>0</v>
      </c>
    </row>
    <row r="65" spans="1:6">
      <c r="A65" s="348" t="s">
        <v>55</v>
      </c>
      <c r="B65" s="348" t="s">
        <v>28</v>
      </c>
      <c r="C65" s="334">
        <v>7</v>
      </c>
      <c r="D65" s="334">
        <v>954975.84499999997</v>
      </c>
      <c r="E65" s="334">
        <v>7</v>
      </c>
      <c r="F65" s="334">
        <v>428841.266</v>
      </c>
    </row>
    <row r="66" spans="1:6">
      <c r="A66" s="348" t="s">
        <v>55</v>
      </c>
      <c r="B66" s="348" t="s">
        <v>57</v>
      </c>
      <c r="C66" s="334">
        <v>0</v>
      </c>
      <c r="D66" s="334">
        <v>0</v>
      </c>
      <c r="E66" s="334">
        <v>8</v>
      </c>
      <c r="F66" s="334">
        <v>263162.08100000001</v>
      </c>
    </row>
    <row r="67" spans="1:6">
      <c r="A67" s="355" t="s">
        <v>55</v>
      </c>
      <c r="B67" s="355" t="s">
        <v>58</v>
      </c>
      <c r="C67" s="334">
        <v>0</v>
      </c>
      <c r="D67" s="334">
        <v>0</v>
      </c>
      <c r="E67" s="334">
        <v>0</v>
      </c>
      <c r="F67" s="334">
        <v>0</v>
      </c>
    </row>
    <row r="68" spans="1:6">
      <c r="A68" s="341" t="s">
        <v>55</v>
      </c>
      <c r="B68" s="341" t="s">
        <v>59</v>
      </c>
      <c r="C68" s="334">
        <v>0</v>
      </c>
      <c r="D68" s="334">
        <v>0</v>
      </c>
      <c r="E68" s="334">
        <v>7</v>
      </c>
      <c r="F68" s="334">
        <v>364582.87699999998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31036109</v>
      </c>
      <c r="E73" s="476"/>
    </row>
    <row r="74" spans="1:6">
      <c r="A74" s="348" t="s">
        <v>63</v>
      </c>
      <c r="B74" s="348" t="s">
        <v>651</v>
      </c>
      <c r="C74" s="1307" t="s">
        <v>653</v>
      </c>
      <c r="D74" s="476">
        <v>822947.5</v>
      </c>
      <c r="E74" s="476"/>
    </row>
    <row r="75" spans="1:6">
      <c r="A75" s="348" t="s">
        <v>64</v>
      </c>
      <c r="B75" s="348" t="s">
        <v>650</v>
      </c>
      <c r="C75" s="1307" t="s">
        <v>654</v>
      </c>
      <c r="D75" s="476">
        <v>52715480</v>
      </c>
      <c r="E75" s="476"/>
    </row>
    <row r="76" spans="1:6">
      <c r="A76" s="348" t="s">
        <v>64</v>
      </c>
      <c r="B76" s="348" t="s">
        <v>651</v>
      </c>
      <c r="C76" s="1307" t="s">
        <v>655</v>
      </c>
      <c r="D76" s="476">
        <v>1109018.5</v>
      </c>
      <c r="E76" s="476"/>
    </row>
    <row r="77" spans="1:6">
      <c r="A77" s="348" t="s">
        <v>65</v>
      </c>
      <c r="B77" s="348" t="s">
        <v>650</v>
      </c>
      <c r="C77" s="1307" t="s">
        <v>656</v>
      </c>
      <c r="D77" s="476">
        <v>184467921</v>
      </c>
      <c r="E77" s="476"/>
    </row>
    <row r="78" spans="1:6">
      <c r="A78" s="341" t="s">
        <v>65</v>
      </c>
      <c r="B78" s="341" t="s">
        <v>651</v>
      </c>
      <c r="C78" s="341" t="s">
        <v>657</v>
      </c>
      <c r="D78" s="1308">
        <v>17421233</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1128361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3890.5284064348352</v>
      </c>
    </row>
    <row r="92" spans="1:6">
      <c r="A92" s="341" t="s">
        <v>68</v>
      </c>
      <c r="B92" s="342">
        <v>762.27625642306612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3438</v>
      </c>
    </row>
    <row r="98" spans="1:6">
      <c r="A98" s="348" t="s">
        <v>71</v>
      </c>
      <c r="B98" s="334">
        <v>1</v>
      </c>
    </row>
    <row r="99" spans="1:6">
      <c r="A99" s="348" t="s">
        <v>72</v>
      </c>
      <c r="B99" s="334">
        <v>75</v>
      </c>
    </row>
    <row r="100" spans="1:6">
      <c r="A100" s="348" t="s">
        <v>73</v>
      </c>
      <c r="B100" s="334">
        <v>477</v>
      </c>
    </row>
    <row r="101" spans="1:6">
      <c r="A101" s="348" t="s">
        <v>74</v>
      </c>
      <c r="B101" s="334">
        <v>48</v>
      </c>
    </row>
    <row r="102" spans="1:6">
      <c r="A102" s="348" t="s">
        <v>75</v>
      </c>
      <c r="B102" s="334">
        <v>87</v>
      </c>
    </row>
    <row r="103" spans="1:6">
      <c r="A103" s="348" t="s">
        <v>76</v>
      </c>
      <c r="B103" s="334">
        <v>105</v>
      </c>
    </row>
    <row r="104" spans="1:6">
      <c r="A104" s="348" t="s">
        <v>77</v>
      </c>
      <c r="B104" s="334">
        <v>2454</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36</v>
      </c>
      <c r="C123" s="334">
        <v>51</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116</v>
      </c>
    </row>
    <row r="130" spans="1:6">
      <c r="A130" s="348" t="s">
        <v>294</v>
      </c>
      <c r="B130" s="334">
        <v>2</v>
      </c>
    </row>
    <row r="131" spans="1:6">
      <c r="A131" s="348" t="s">
        <v>295</v>
      </c>
      <c r="B131" s="334">
        <v>1</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66555.219146448726</v>
      </c>
      <c r="C3" s="43" t="s">
        <v>169</v>
      </c>
      <c r="D3" s="43"/>
      <c r="E3" s="154"/>
      <c r="F3" s="43"/>
      <c r="G3" s="43"/>
      <c r="H3" s="43"/>
      <c r="I3" s="43"/>
      <c r="J3" s="43"/>
      <c r="K3" s="96"/>
    </row>
    <row r="4" spans="1:11">
      <c r="A4" s="383" t="s">
        <v>170</v>
      </c>
      <c r="B4" s="49">
        <f>IF(ISERROR('SEAP template'!B78+'SEAP template'!C78),0,'SEAP template'!B78+'SEAP template'!C78)</f>
        <v>7019.8046628579013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562.51058823529411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0.20614216833873852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803.5865546218489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3381.4285714285716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1376.451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1376.451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0.20614216833873852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283.74459375202497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29934.466059999999</v>
      </c>
      <c r="C5" s="17">
        <f>IF(ISERROR('Eigen informatie GS &amp; warmtenet'!B59),0,'Eigen informatie GS &amp; warmtenet'!B59)</f>
        <v>0</v>
      </c>
      <c r="D5" s="30">
        <f>(SUM(HH_hh_gas_kWh,HH_rest_gas_kWh)/1000)*0.902</f>
        <v>89149.469987160002</v>
      </c>
      <c r="E5" s="17">
        <f>B46*B57</f>
        <v>9342.5608509698104</v>
      </c>
      <c r="F5" s="17">
        <f>B51*B62</f>
        <v>6842.6528866111048</v>
      </c>
      <c r="G5" s="18"/>
      <c r="H5" s="17"/>
      <c r="I5" s="17"/>
      <c r="J5" s="17">
        <f>B50*B61+C50*C61</f>
        <v>0</v>
      </c>
      <c r="K5" s="17"/>
      <c r="L5" s="17"/>
      <c r="M5" s="17"/>
      <c r="N5" s="17">
        <f>B48*B59+C48*C59</f>
        <v>10347.286661522958</v>
      </c>
      <c r="O5" s="17">
        <f>B69*B70*B71</f>
        <v>331.32102263763431</v>
      </c>
      <c r="P5" s="17">
        <f>B77*B78*B79/1000-B77*B78*B79/1000/B80</f>
        <v>589.90172123036132</v>
      </c>
    </row>
    <row r="6" spans="1:16">
      <c r="A6" s="16" t="s">
        <v>615</v>
      </c>
      <c r="B6" s="809">
        <f>kWh_PV_kleiner_dan_10kW</f>
        <v>3890.5284064348352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33824.994466434837</v>
      </c>
      <c r="C8" s="21">
        <f>C5</f>
        <v>0</v>
      </c>
      <c r="D8" s="21">
        <f>D5</f>
        <v>89149.469987160002</v>
      </c>
      <c r="E8" s="21">
        <f>E5</f>
        <v>9342.5608509698104</v>
      </c>
      <c r="F8" s="21">
        <f>F5</f>
        <v>6842.6528866111048</v>
      </c>
      <c r="G8" s="21"/>
      <c r="H8" s="21"/>
      <c r="I8" s="21"/>
      <c r="J8" s="21">
        <f>J5</f>
        <v>0</v>
      </c>
      <c r="K8" s="21"/>
      <c r="L8" s="21">
        <f>L5</f>
        <v>0</v>
      </c>
      <c r="M8" s="21">
        <f>M5</f>
        <v>0</v>
      </c>
      <c r="N8" s="21">
        <f>N5</f>
        <v>10347.286661522958</v>
      </c>
      <c r="O8" s="21">
        <f>O5</f>
        <v>331.32102263763431</v>
      </c>
      <c r="P8" s="21">
        <f>P5</f>
        <v>589.90172123036132</v>
      </c>
    </row>
    <row r="9" spans="1:16">
      <c r="B9" s="19"/>
      <c r="C9" s="19"/>
      <c r="D9" s="258"/>
      <c r="E9" s="19"/>
      <c r="F9" s="19"/>
      <c r="G9" s="19"/>
      <c r="H9" s="19"/>
      <c r="I9" s="19"/>
      <c r="J9" s="19"/>
      <c r="K9" s="19"/>
      <c r="L9" s="19"/>
      <c r="M9" s="19"/>
      <c r="N9" s="19"/>
      <c r="O9" s="19"/>
      <c r="P9" s="19"/>
    </row>
    <row r="10" spans="1:16">
      <c r="A10" s="24" t="s">
        <v>213</v>
      </c>
      <c r="B10" s="25">
        <f ca="1">'EF ele_warmte'!B12</f>
        <v>0.20614216833873852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6972.7577033567095</v>
      </c>
      <c r="C12" s="23">
        <f ca="1">C10*C8</f>
        <v>0</v>
      </c>
      <c r="D12" s="23">
        <f>D8*D10</f>
        <v>18008.192937406322</v>
      </c>
      <c r="E12" s="23">
        <f>E10*E8</f>
        <v>2120.7613131701469</v>
      </c>
      <c r="F12" s="23">
        <f>F10*F8</f>
        <v>1826.9883207251651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3438</v>
      </c>
      <c r="C18" s="166" t="s">
        <v>110</v>
      </c>
      <c r="D18" s="228"/>
      <c r="E18" s="15"/>
    </row>
    <row r="19" spans="1:7">
      <c r="A19" s="171" t="s">
        <v>71</v>
      </c>
      <c r="B19" s="37">
        <f>aantalw2001_ander</f>
        <v>1</v>
      </c>
      <c r="C19" s="166" t="s">
        <v>110</v>
      </c>
      <c r="D19" s="229"/>
      <c r="E19" s="15"/>
    </row>
    <row r="20" spans="1:7">
      <c r="A20" s="171" t="s">
        <v>72</v>
      </c>
      <c r="B20" s="37">
        <f>aantalw2001_propaan</f>
        <v>75</v>
      </c>
      <c r="C20" s="167">
        <f>IF(ISERROR(B20/SUM($B$20,$B$21,$B$22)*100),0,B20/SUM($B$20,$B$21,$B$22)*100)</f>
        <v>12.5</v>
      </c>
      <c r="D20" s="229"/>
      <c r="E20" s="15"/>
    </row>
    <row r="21" spans="1:7">
      <c r="A21" s="171" t="s">
        <v>73</v>
      </c>
      <c r="B21" s="37">
        <f>aantalw2001_elektriciteit</f>
        <v>477</v>
      </c>
      <c r="C21" s="167">
        <f>IF(ISERROR(B21/SUM($B$20,$B$21,$B$22)*100),0,B21/SUM($B$20,$B$21,$B$22)*100)</f>
        <v>79.5</v>
      </c>
      <c r="D21" s="229"/>
      <c r="E21" s="15"/>
    </row>
    <row r="22" spans="1:7">
      <c r="A22" s="171" t="s">
        <v>74</v>
      </c>
      <c r="B22" s="37">
        <f>aantalw2001_hout</f>
        <v>48</v>
      </c>
      <c r="C22" s="167">
        <f>IF(ISERROR(B22/SUM($B$20,$B$21,$B$22)*100),0,B22/SUM($B$20,$B$21,$B$22)*100)</f>
        <v>8</v>
      </c>
      <c r="D22" s="229"/>
      <c r="E22" s="15"/>
    </row>
    <row r="23" spans="1:7">
      <c r="A23" s="171" t="s">
        <v>75</v>
      </c>
      <c r="B23" s="37">
        <f>aantalw2001_niet_gespec</f>
        <v>87</v>
      </c>
      <c r="C23" s="166" t="s">
        <v>110</v>
      </c>
      <c r="D23" s="228"/>
      <c r="E23" s="15"/>
    </row>
    <row r="24" spans="1:7">
      <c r="A24" s="171" t="s">
        <v>76</v>
      </c>
      <c r="B24" s="37">
        <f>aantalw2001_steenkool</f>
        <v>105</v>
      </c>
      <c r="C24" s="166" t="s">
        <v>110</v>
      </c>
      <c r="D24" s="229"/>
      <c r="E24" s="15"/>
    </row>
    <row r="25" spans="1:7">
      <c r="A25" s="171" t="s">
        <v>77</v>
      </c>
      <c r="B25" s="37">
        <f>aantalw2001_stookolie</f>
        <v>2454</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8092</v>
      </c>
      <c r="C28" s="36"/>
      <c r="D28" s="228"/>
    </row>
    <row r="29" spans="1:7" s="15" customFormat="1">
      <c r="A29" s="230" t="s">
        <v>837</v>
      </c>
      <c r="B29" s="37">
        <f>SUM(HH_hh_gas_aantal,HH_rest_gas_aantal)</f>
        <v>5799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5799</v>
      </c>
      <c r="C32" s="167">
        <f>IF(ISERROR(B32/SUM($B$32,$B$34,$B$35,$B$36,$B$38,$B$39)*100),0,B32/SUM($B$32,$B$34,$B$35,$B$36,$B$38,$B$39)*100)</f>
        <v>72.162767546042801</v>
      </c>
      <c r="D32" s="233"/>
      <c r="G32" s="15"/>
    </row>
    <row r="33" spans="1:7">
      <c r="A33" s="171" t="s">
        <v>71</v>
      </c>
      <c r="B33" s="34" t="s">
        <v>110</v>
      </c>
      <c r="C33" s="167"/>
      <c r="D33" s="233"/>
      <c r="G33" s="15"/>
    </row>
    <row r="34" spans="1:7">
      <c r="A34" s="171" t="s">
        <v>72</v>
      </c>
      <c r="B34" s="33">
        <f>IF((($B$28-$B$32-$B$39-$B$77-$B$38)*C20/100)&lt;0,0,($B$28-$B$32-$B$39-$B$77-$B$38)*C20/100)</f>
        <v>238.48750000000001</v>
      </c>
      <c r="C34" s="167">
        <f>IF(ISERROR(B34/SUM($B$32,$B$34,$B$35,$B$36,$B$38,$B$39)*100),0,B34/SUM($B$32,$B$34,$B$35,$B$36,$B$38,$B$39)*100)</f>
        <v>2.967738924838228</v>
      </c>
      <c r="D34" s="233"/>
      <c r="G34" s="15"/>
    </row>
    <row r="35" spans="1:7">
      <c r="A35" s="171" t="s">
        <v>73</v>
      </c>
      <c r="B35" s="33">
        <f>IF((($B$28-$B$32-$B$39-$B$77-$B$38)*C21/100)&lt;0,0,($B$28-$B$32-$B$39-$B$77-$B$38)*C21/100)</f>
        <v>1516.7805000000001</v>
      </c>
      <c r="C35" s="167">
        <f>IF(ISERROR(B35/SUM($B$32,$B$34,$B$35,$B$36,$B$38,$B$39)*100),0,B35/SUM($B$32,$B$34,$B$35,$B$36,$B$38,$B$39)*100)</f>
        <v>18.874819561971133</v>
      </c>
      <c r="D35" s="233"/>
      <c r="G35" s="15"/>
    </row>
    <row r="36" spans="1:7">
      <c r="A36" s="171" t="s">
        <v>74</v>
      </c>
      <c r="B36" s="33">
        <f>IF((($B$28-$B$32-$B$39-$B$77-$B$38)*C22/100)&lt;0,0,($B$28-$B$32-$B$39-$B$77-$B$38)*C22/100)</f>
        <v>152.63200000000001</v>
      </c>
      <c r="C36" s="167">
        <f>IF(ISERROR(B36/SUM($B$32,$B$34,$B$35,$B$36,$B$38,$B$39)*100),0,B36/SUM($B$32,$B$34,$B$35,$B$36,$B$38,$B$39)*100)</f>
        <v>1.899352911896466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329.09999999999991</v>
      </c>
      <c r="C39" s="167">
        <f>IF(ISERROR(B39/SUM($B$32,$B$34,$B$35,$B$36,$B$38,$B$39)*100),0,B39/SUM($B$32,$B$34,$B$35,$B$36,$B$38,$B$39)*100)</f>
        <v>4.0953210552513681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5799</v>
      </c>
      <c r="C44" s="34" t="s">
        <v>110</v>
      </c>
      <c r="D44" s="174"/>
    </row>
    <row r="45" spans="1:7">
      <c r="A45" s="171" t="s">
        <v>71</v>
      </c>
      <c r="B45" s="33" t="str">
        <f t="shared" si="0"/>
        <v>-</v>
      </c>
      <c r="C45" s="34" t="s">
        <v>110</v>
      </c>
      <c r="D45" s="174"/>
    </row>
    <row r="46" spans="1:7">
      <c r="A46" s="171" t="s">
        <v>72</v>
      </c>
      <c r="B46" s="33">
        <f t="shared" si="0"/>
        <v>238.48750000000001</v>
      </c>
      <c r="C46" s="34" t="s">
        <v>110</v>
      </c>
      <c r="D46" s="174"/>
    </row>
    <row r="47" spans="1:7">
      <c r="A47" s="171" t="s">
        <v>73</v>
      </c>
      <c r="B47" s="33">
        <f t="shared" si="0"/>
        <v>1516.7805000000001</v>
      </c>
      <c r="C47" s="34" t="s">
        <v>110</v>
      </c>
      <c r="D47" s="174"/>
    </row>
    <row r="48" spans="1:7">
      <c r="A48" s="171" t="s">
        <v>74</v>
      </c>
      <c r="B48" s="33">
        <f t="shared" si="0"/>
        <v>152.63200000000001</v>
      </c>
      <c r="C48" s="33">
        <f>B48*10</f>
        <v>1526.3200000000002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329.09999999999991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25672.296516999999</v>
      </c>
      <c r="C5" s="17">
        <f>IF(ISERROR('Eigen informatie GS &amp; warmtenet'!B60),0,'Eigen informatie GS &amp; warmtenet'!B60)</f>
        <v>0</v>
      </c>
      <c r="D5" s="30">
        <f>SUM(D6:D12)</f>
        <v>47990.028516892002</v>
      </c>
      <c r="E5" s="17">
        <f>SUM(E6:E12)</f>
        <v>340.51076972930082</v>
      </c>
      <c r="F5" s="17">
        <f>SUM(F6:F12)</f>
        <v>2940.4460027413643</v>
      </c>
      <c r="G5" s="18"/>
      <c r="H5" s="17"/>
      <c r="I5" s="17"/>
      <c r="J5" s="17">
        <f>SUM(J6:J12)</f>
        <v>3.3070457448706229E-2</v>
      </c>
      <c r="K5" s="17"/>
      <c r="L5" s="17"/>
      <c r="M5" s="17"/>
      <c r="N5" s="17">
        <f>SUM(N6:N12)</f>
        <v>1310.0942316128935</v>
      </c>
      <c r="O5" s="17">
        <f>B38*B39*B40</f>
        <v>9.7945215316823084</v>
      </c>
      <c r="P5" s="17">
        <f>B46*B47*B48/1000-B46*B47*B48/1000/B49</f>
        <v>52.539138306495019</v>
      </c>
      <c r="R5" s="32"/>
    </row>
    <row r="6" spans="1:18">
      <c r="A6" s="32" t="s">
        <v>53</v>
      </c>
      <c r="B6" s="37">
        <f>B26</f>
        <v>6816.0993490000001</v>
      </c>
      <c r="C6" s="33"/>
      <c r="D6" s="37">
        <f>IF(ISERROR(TER_kantoor_gas_kWh/1000),0,TER_kantoor_gas_kWh/1000)*0.902</f>
        <v>15560.08298064</v>
      </c>
      <c r="E6" s="33">
        <f>$C$26*'E Balans VL '!I12/100/3.6*1000000</f>
        <v>54.846966047779603</v>
      </c>
      <c r="F6" s="33">
        <f>$C$26*('E Balans VL '!L12+'E Balans VL '!N12)/100/3.6*1000000</f>
        <v>833.33984848478076</v>
      </c>
      <c r="G6" s="34"/>
      <c r="H6" s="33"/>
      <c r="I6" s="33"/>
      <c r="J6" s="33">
        <f>$C$26*('E Balans VL '!D12+'E Balans VL '!E12)/100/3.6*1000000</f>
        <v>0</v>
      </c>
      <c r="K6" s="33"/>
      <c r="L6" s="33"/>
      <c r="M6" s="33"/>
      <c r="N6" s="33">
        <f>$C$26*'E Balans VL '!Y12/100/3.6*1000000</f>
        <v>3.6633177435241824</v>
      </c>
      <c r="O6" s="33"/>
      <c r="P6" s="33"/>
      <c r="R6" s="32"/>
    </row>
    <row r="7" spans="1:18">
      <c r="A7" s="32" t="s">
        <v>52</v>
      </c>
      <c r="B7" s="37">
        <f t="shared" ref="B7:B12" si="0">B27</f>
        <v>810.97285999999997</v>
      </c>
      <c r="C7" s="33"/>
      <c r="D7" s="37">
        <f>IF(ISERROR(TER_horeca_gas_kWh/1000),0,TER_horeca_gas_kWh/1000)*0.902</f>
        <v>1158.95754766</v>
      </c>
      <c r="E7" s="33">
        <f>$C$27*'E Balans VL '!I9/100/3.6*1000000</f>
        <v>8.7078571152090607</v>
      </c>
      <c r="F7" s="33">
        <f>$C$27*('E Balans VL '!L9+'E Balans VL '!N9)/100/3.6*1000000</f>
        <v>97.540370026325405</v>
      </c>
      <c r="G7" s="34"/>
      <c r="H7" s="33"/>
      <c r="I7" s="33"/>
      <c r="J7" s="33">
        <f>$C$27*('E Balans VL '!D9+'E Balans VL '!E9)/100/3.6*1000000</f>
        <v>0</v>
      </c>
      <c r="K7" s="33"/>
      <c r="L7" s="33"/>
      <c r="M7" s="33"/>
      <c r="N7" s="33">
        <f>$C$27*'E Balans VL '!Y9/100/3.6*1000000</f>
        <v>0.12158126822561728</v>
      </c>
      <c r="O7" s="33"/>
      <c r="P7" s="33"/>
      <c r="R7" s="32"/>
    </row>
    <row r="8" spans="1:18">
      <c r="A8" s="6" t="s">
        <v>51</v>
      </c>
      <c r="B8" s="37">
        <f t="shared" si="0"/>
        <v>3682.319712</v>
      </c>
      <c r="C8" s="33"/>
      <c r="D8" s="37">
        <f>IF(ISERROR(TER_handel_gas_kWh/1000),0,TER_handel_gas_kWh/1000)*0.902</f>
        <v>2328.7072691520002</v>
      </c>
      <c r="E8" s="33">
        <f>$C$28*'E Balans VL '!I13/100/3.6*1000000</f>
        <v>98.822187757641785</v>
      </c>
      <c r="F8" s="33">
        <f>$C$28*('E Balans VL '!L13+'E Balans VL '!N13)/100/3.6*1000000</f>
        <v>351.40679254468773</v>
      </c>
      <c r="G8" s="34"/>
      <c r="H8" s="33"/>
      <c r="I8" s="33"/>
      <c r="J8" s="33">
        <f>$C$28*('E Balans VL '!D13+'E Balans VL '!E13)/100/3.6*1000000</f>
        <v>0</v>
      </c>
      <c r="K8" s="33"/>
      <c r="L8" s="33"/>
      <c r="M8" s="33"/>
      <c r="N8" s="33">
        <f>$C$28*'E Balans VL '!Y13/100/3.6*1000000</f>
        <v>1.4597134032313885</v>
      </c>
      <c r="O8" s="33"/>
      <c r="P8" s="33"/>
      <c r="R8" s="32"/>
    </row>
    <row r="9" spans="1:18">
      <c r="A9" s="32" t="s">
        <v>50</v>
      </c>
      <c r="B9" s="37">
        <f t="shared" si="0"/>
        <v>247.029968</v>
      </c>
      <c r="C9" s="33"/>
      <c r="D9" s="37">
        <f>IF(ISERROR(TER_gezond_gas_kWh/1000),0,TER_gezond_gas_kWh/1000)*0.902</f>
        <v>903.02553701800002</v>
      </c>
      <c r="E9" s="33">
        <f>$C$29*'E Balans VL '!I10/100/3.6*1000000</f>
        <v>0.46301459648243687</v>
      </c>
      <c r="F9" s="33">
        <f>$C$29*('E Balans VL '!L10+'E Balans VL '!N10)/100/3.6*1000000</f>
        <v>20.308117344381774</v>
      </c>
      <c r="G9" s="34"/>
      <c r="H9" s="33"/>
      <c r="I9" s="33"/>
      <c r="J9" s="33">
        <f>$C$29*('E Balans VL '!D10+'E Balans VL '!E10)/100/3.6*1000000</f>
        <v>0</v>
      </c>
      <c r="K9" s="33"/>
      <c r="L9" s="33"/>
      <c r="M9" s="33"/>
      <c r="N9" s="33">
        <f>$C$29*'E Balans VL '!Y10/100/3.6*1000000</f>
        <v>1.9220774618791907</v>
      </c>
      <c r="O9" s="33"/>
      <c r="P9" s="33"/>
      <c r="R9" s="32"/>
    </row>
    <row r="10" spans="1:18">
      <c r="A10" s="32" t="s">
        <v>49</v>
      </c>
      <c r="B10" s="37">
        <f t="shared" si="0"/>
        <v>399.620678</v>
      </c>
      <c r="C10" s="33"/>
      <c r="D10" s="37">
        <f>IF(ISERROR(TER_ander_gas_kWh/1000),0,TER_ander_gas_kWh/1000)*0.902</f>
        <v>591.30664210200007</v>
      </c>
      <c r="E10" s="33">
        <f>$C$30*'E Balans VL '!I14/100/3.6*1000000</f>
        <v>0.61601932443076335</v>
      </c>
      <c r="F10" s="33">
        <f>$C$30*('E Balans VL '!L14+'E Balans VL '!N14)/100/3.6*1000000</f>
        <v>62.041220580853491</v>
      </c>
      <c r="G10" s="34"/>
      <c r="H10" s="33"/>
      <c r="I10" s="33"/>
      <c r="J10" s="33">
        <f>$C$30*('E Balans VL '!D14+'E Balans VL '!E14)/100/3.6*1000000</f>
        <v>6.7839824589275444E-3</v>
      </c>
      <c r="K10" s="33"/>
      <c r="L10" s="33"/>
      <c r="M10" s="33"/>
      <c r="N10" s="33">
        <f>$C$30*'E Balans VL '!Y14/100/3.6*1000000</f>
        <v>264.37623281820976</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13716.253949999998</v>
      </c>
      <c r="C12" s="33"/>
      <c r="D12" s="37">
        <f>IF(ISERROR(TER_rest_gas_kWh/1000),0,TER_rest_gas_kWh/1000)*0.902</f>
        <v>27447.948540320001</v>
      </c>
      <c r="E12" s="33">
        <f>$C$32*'E Balans VL '!I8/100/3.6*1000000</f>
        <v>177.0547248877572</v>
      </c>
      <c r="F12" s="33">
        <f>$C$32*('E Balans VL '!L8+'E Balans VL '!N8)/100/3.6*1000000</f>
        <v>1575.8096537603351</v>
      </c>
      <c r="G12" s="34"/>
      <c r="H12" s="33"/>
      <c r="I12" s="33"/>
      <c r="J12" s="33">
        <f>$C$32*('E Balans VL '!D8+'E Balans VL '!E8)/100/3.6*1000000</f>
        <v>2.6286474989778683E-2</v>
      </c>
      <c r="K12" s="33"/>
      <c r="L12" s="33"/>
      <c r="M12" s="33"/>
      <c r="N12" s="33">
        <f>$C$32*'E Balans VL '!Y8/100/3.6*1000000</f>
        <v>1038.5513089178235</v>
      </c>
      <c r="O12" s="33"/>
      <c r="P12" s="33"/>
      <c r="R12" s="32"/>
    </row>
    <row r="13" spans="1:18">
      <c r="A13" s="16" t="s">
        <v>482</v>
      </c>
      <c r="B13" s="247">
        <f ca="1">'lokale energieproductie'!N91+'lokale energieproductie'!N60</f>
        <v>2367</v>
      </c>
      <c r="C13" s="247">
        <f ca="1">'lokale energieproductie'!O91+'lokale energieproductie'!O60</f>
        <v>3381.4285714285716</v>
      </c>
      <c r="D13" s="310">
        <f ca="1">('lokale energieproductie'!P60+'lokale energieproductie'!P91)*(-1)</f>
        <v>-6762.8571428571431</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28039.296516999999</v>
      </c>
      <c r="C16" s="21">
        <f t="shared" ca="1" si="1"/>
        <v>3381.4285714285716</v>
      </c>
      <c r="D16" s="21">
        <f t="shared" ca="1" si="1"/>
        <v>41227.171374034857</v>
      </c>
      <c r="E16" s="21">
        <f t="shared" si="1"/>
        <v>340.51076972930082</v>
      </c>
      <c r="F16" s="21">
        <f t="shared" ca="1" si="1"/>
        <v>2940.4460027413643</v>
      </c>
      <c r="G16" s="21">
        <f t="shared" si="1"/>
        <v>0</v>
      </c>
      <c r="H16" s="21">
        <f t="shared" si="1"/>
        <v>0</v>
      </c>
      <c r="I16" s="21">
        <f t="shared" si="1"/>
        <v>0</v>
      </c>
      <c r="J16" s="21">
        <f t="shared" si="1"/>
        <v>3.3070457448706229E-2</v>
      </c>
      <c r="K16" s="21">
        <f t="shared" si="1"/>
        <v>0</v>
      </c>
      <c r="L16" s="21">
        <f t="shared" ca="1" si="1"/>
        <v>0</v>
      </c>
      <c r="M16" s="21">
        <f t="shared" si="1"/>
        <v>0</v>
      </c>
      <c r="N16" s="21">
        <f t="shared" ca="1" si="1"/>
        <v>1310.0942316128935</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0.20614216833873852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5780.0813827072188</v>
      </c>
      <c r="C20" s="23">
        <f t="shared" ref="C20:P20" ca="1" si="2">C16*C18</f>
        <v>803.5865546218489</v>
      </c>
      <c r="D20" s="23">
        <f t="shared" ca="1" si="2"/>
        <v>8327.8886175550415</v>
      </c>
      <c r="E20" s="23">
        <f t="shared" si="2"/>
        <v>77.295944728551291</v>
      </c>
      <c r="F20" s="23">
        <f t="shared" ca="1" si="2"/>
        <v>785.09908273194435</v>
      </c>
      <c r="G20" s="23">
        <f t="shared" si="2"/>
        <v>0</v>
      </c>
      <c r="H20" s="23">
        <f t="shared" si="2"/>
        <v>0</v>
      </c>
      <c r="I20" s="23">
        <f t="shared" si="2"/>
        <v>0</v>
      </c>
      <c r="J20" s="23">
        <f t="shared" si="2"/>
        <v>1.1706941936842005E-2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6816.0993490000001</v>
      </c>
      <c r="C26" s="39">
        <f>IF(ISERROR(B26*3.6/1000000/'E Balans VL '!Z12*100),0,B26*3.6/1000000/'E Balans VL '!Z12*100)</f>
        <v>0.14459731167423515</v>
      </c>
      <c r="D26" s="237" t="s">
        <v>716</v>
      </c>
      <c r="F26" s="6"/>
    </row>
    <row r="27" spans="1:18">
      <c r="A27" s="231" t="s">
        <v>52</v>
      </c>
      <c r="B27" s="33">
        <f>IF(ISERROR(TER_horeca_ele_kWh/1000),0,TER_horeca_ele_kWh/1000)</f>
        <v>810.97285999999997</v>
      </c>
      <c r="C27" s="39">
        <f>IF(ISERROR(B27*3.6/1000000/'E Balans VL '!Z9*100),0,B27*3.6/1000000/'E Balans VL '!Z9*100)</f>
        <v>6.1073440366398335E-2</v>
      </c>
      <c r="D27" s="237" t="s">
        <v>716</v>
      </c>
      <c r="F27" s="6"/>
    </row>
    <row r="28" spans="1:18">
      <c r="A28" s="171" t="s">
        <v>51</v>
      </c>
      <c r="B28" s="33">
        <f>IF(ISERROR(TER_handel_ele_kWh/1000),0,TER_handel_ele_kWh/1000)</f>
        <v>3682.319712</v>
      </c>
      <c r="C28" s="39">
        <f>IF(ISERROR(B28*3.6/1000000/'E Balans VL '!Z13*100),0,B28*3.6/1000000/'E Balans VL '!Z13*100)</f>
        <v>0.10688469376263274</v>
      </c>
      <c r="D28" s="237" t="s">
        <v>716</v>
      </c>
      <c r="F28" s="6"/>
    </row>
    <row r="29" spans="1:18">
      <c r="A29" s="231" t="s">
        <v>50</v>
      </c>
      <c r="B29" s="33">
        <f>IF(ISERROR(TER_gezond_ele_kWh/1000),0,TER_gezond_ele_kWh/1000)</f>
        <v>247.029968</v>
      </c>
      <c r="C29" s="39">
        <f>IF(ISERROR(B29*3.6/1000000/'E Balans VL '!Z10*100),0,B29*3.6/1000000/'E Balans VL '!Z10*100)</f>
        <v>2.4913266868035442E-2</v>
      </c>
      <c r="D29" s="237" t="s">
        <v>716</v>
      </c>
      <c r="F29" s="6"/>
    </row>
    <row r="30" spans="1:18">
      <c r="A30" s="231" t="s">
        <v>49</v>
      </c>
      <c r="B30" s="33">
        <f>IF(ISERROR(TER_ander_ele_kWh/1000),0,TER_ander_ele_kWh/1000)</f>
        <v>399.620678</v>
      </c>
      <c r="C30" s="39">
        <f>IF(ISERROR(B30*3.6/1000000/'E Balans VL '!Z14*100),0,B30*3.6/1000000/'E Balans VL '!Z14*100)</f>
        <v>2.8997932014567872E-2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13716.253949999998</v>
      </c>
      <c r="C32" s="39">
        <f>IF(ISERROR(B32*3.6/1000000/'E Balans VL '!Z8*100),0,B32*3.6/1000000/'E Balans VL '!Z8*100)</f>
        <v>0.11236075848827339</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2048.0582129999998</v>
      </c>
      <c r="C5" s="17">
        <f>IF(ISERROR('Eigen informatie GS &amp; warmtenet'!B61),0,'Eigen informatie GS &amp; warmtenet'!B61)</f>
        <v>0</v>
      </c>
      <c r="D5" s="30">
        <f>SUM(D6:D15)</f>
        <v>1783.8391887360001</v>
      </c>
      <c r="E5" s="17">
        <f>SUM(E6:E15)</f>
        <v>284.55543439348958</v>
      </c>
      <c r="F5" s="17">
        <f>SUM(F6:F15)</f>
        <v>899.33173092746415</v>
      </c>
      <c r="G5" s="18"/>
      <c r="H5" s="17"/>
      <c r="I5" s="17"/>
      <c r="J5" s="17">
        <f>SUM(J6:J15)</f>
        <v>6.2779203797785978</v>
      </c>
      <c r="K5" s="17"/>
      <c r="L5" s="17"/>
      <c r="M5" s="17"/>
      <c r="N5" s="17">
        <f>SUM(N6:N15)</f>
        <v>115.01255232997454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54.938012999999998</v>
      </c>
      <c r="C8" s="33"/>
      <c r="D8" s="37">
        <f>IF( ISERROR(IND_metaal_Gas_kWH/1000),0,IND_metaal_Gas_kWH/1000)*0.902</f>
        <v>0</v>
      </c>
      <c r="E8" s="33">
        <f>C30*'E Balans VL '!I18/100/3.6*1000000</f>
        <v>0.39633920469375983</v>
      </c>
      <c r="F8" s="33">
        <f>C30*'E Balans VL '!L18/100/3.6*1000000+C30*'E Balans VL '!N18/100/3.6*1000000</f>
        <v>5.1961230438001635</v>
      </c>
      <c r="G8" s="34"/>
      <c r="H8" s="33"/>
      <c r="I8" s="33"/>
      <c r="J8" s="40">
        <f>C30*'E Balans VL '!D18/100/3.6*1000000+C30*'E Balans VL '!E18/100/3.6*1000000</f>
        <v>5.52569727310777E-2</v>
      </c>
      <c r="K8" s="33"/>
      <c r="L8" s="33"/>
      <c r="M8" s="33"/>
      <c r="N8" s="33">
        <f>C30*'E Balans VL '!Y18/100/3.6*1000000</f>
        <v>0.694561835952347</v>
      </c>
      <c r="O8" s="33"/>
      <c r="P8" s="33"/>
      <c r="R8" s="32"/>
    </row>
    <row r="9" spans="1:18">
      <c r="A9" s="6" t="s">
        <v>32</v>
      </c>
      <c r="B9" s="37">
        <f t="shared" si="0"/>
        <v>894.75879199999997</v>
      </c>
      <c r="C9" s="33"/>
      <c r="D9" s="37">
        <f>IF( ISERROR(IND_andere_gas_kWh/1000),0,IND_andere_gas_kWh/1000)*0.902</f>
        <v>621.75765788400008</v>
      </c>
      <c r="E9" s="33">
        <f>C31*'E Balans VL '!I19/100/3.6*1000000</f>
        <v>247.9496256871787</v>
      </c>
      <c r="F9" s="33">
        <f>C31*'E Balans VL '!L19/100/3.6*1000000+C31*'E Balans VL '!N19/100/3.6*1000000</f>
        <v>741.5780203982514</v>
      </c>
      <c r="G9" s="34"/>
      <c r="H9" s="33"/>
      <c r="I9" s="33"/>
      <c r="J9" s="40">
        <f>C31*'E Balans VL '!D19/100/3.6*1000000+C31*'E Balans VL '!E19/100/3.6*1000000</f>
        <v>0</v>
      </c>
      <c r="K9" s="33"/>
      <c r="L9" s="33"/>
      <c r="M9" s="33"/>
      <c r="N9" s="33">
        <f>C31*'E Balans VL '!Y19/100/3.6*1000000</f>
        <v>64.948544214386217</v>
      </c>
      <c r="O9" s="33"/>
      <c r="P9" s="33"/>
      <c r="R9" s="32"/>
    </row>
    <row r="10" spans="1:18">
      <c r="A10" s="6" t="s">
        <v>40</v>
      </c>
      <c r="B10" s="37">
        <f t="shared" si="0"/>
        <v>345.12298800000002</v>
      </c>
      <c r="C10" s="33"/>
      <c r="D10" s="37">
        <f>IF( ISERROR(IND_voed_gas_kWh/1000),0,IND_voed_gas_kWh/1000)*0.902</f>
        <v>264.175433742</v>
      </c>
      <c r="E10" s="33">
        <f>C32*'E Balans VL '!I20/100/3.6*1000000</f>
        <v>0.61098458941087108</v>
      </c>
      <c r="F10" s="33">
        <f>C32*'E Balans VL '!L20/100/3.6*1000000+C32*'E Balans VL '!N20/100/3.6*1000000</f>
        <v>18.639700149604781</v>
      </c>
      <c r="G10" s="34"/>
      <c r="H10" s="33"/>
      <c r="I10" s="33"/>
      <c r="J10" s="40">
        <f>C32*'E Balans VL '!D20/100/3.6*1000000+C32*'E Balans VL '!E20/100/3.6*1000000</f>
        <v>0</v>
      </c>
      <c r="K10" s="33"/>
      <c r="L10" s="33"/>
      <c r="M10" s="33"/>
      <c r="N10" s="33">
        <f>C32*'E Balans VL '!Y20/100/3.6*1000000</f>
        <v>20.054281339902985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753.23842000000002</v>
      </c>
      <c r="C15" s="33"/>
      <c r="D15" s="37">
        <f>IF( ISERROR(IND_rest_gas_kWh/1000),0,IND_rest_gas_kWh/1000)*0.902</f>
        <v>897.90609711000002</v>
      </c>
      <c r="E15" s="33">
        <f>C37*'E Balans VL '!I15/100/3.6*1000000</f>
        <v>35.598484912206231</v>
      </c>
      <c r="F15" s="33">
        <f>C37*'E Balans VL '!L15/100/3.6*1000000+C37*'E Balans VL '!N15/100/3.6*1000000</f>
        <v>133.91788733580779</v>
      </c>
      <c r="G15" s="34"/>
      <c r="H15" s="33"/>
      <c r="I15" s="33"/>
      <c r="J15" s="40">
        <f>C37*'E Balans VL '!D15/100/3.6*1000000+C37*'E Balans VL '!E15/100/3.6*1000000</f>
        <v>6.22266340704752</v>
      </c>
      <c r="K15" s="33"/>
      <c r="L15" s="33"/>
      <c r="M15" s="33"/>
      <c r="N15" s="33">
        <f>C37*'E Balans VL '!Y15/100/3.6*1000000</f>
        <v>29.315164939733002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2048.0582129999998</v>
      </c>
      <c r="C18" s="21">
        <f>C5+C16</f>
        <v>0</v>
      </c>
      <c r="D18" s="21">
        <f>MAX((D5+D16),0)</f>
        <v>1783.8391887360001</v>
      </c>
      <c r="E18" s="21">
        <f>MAX((E5+E16),0)</f>
        <v>284.55543439348958</v>
      </c>
      <c r="F18" s="21">
        <f>MAX((F5+F16),0)</f>
        <v>899.33173092746415</v>
      </c>
      <c r="G18" s="21"/>
      <c r="H18" s="21"/>
      <c r="I18" s="21"/>
      <c r="J18" s="21">
        <f>MAX((J5+J16),0)</f>
        <v>6.2779203797785978</v>
      </c>
      <c r="K18" s="21"/>
      <c r="L18" s="21">
        <f>MAX((L5+L16),0)</f>
        <v>0</v>
      </c>
      <c r="M18" s="21"/>
      <c r="N18" s="21">
        <f>MAX((N5+N16),0)</f>
        <v>115.01255232997454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0.20614216833873852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422.19116091178194</v>
      </c>
      <c r="C22" s="23">
        <f ca="1">C18*C20</f>
        <v>0</v>
      </c>
      <c r="D22" s="23">
        <f>D18*D20</f>
        <v>360.33551612467204</v>
      </c>
      <c r="E22" s="23">
        <f>E18*E20</f>
        <v>64.594083607322133</v>
      </c>
      <c r="F22" s="23">
        <f>F18*F20</f>
        <v>240.12157215763295</v>
      </c>
      <c r="G22" s="23"/>
      <c r="H22" s="23"/>
      <c r="I22" s="23"/>
      <c r="J22" s="23">
        <f>J18*J20</f>
        <v>2.2223838144416237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54.938012999999998</v>
      </c>
      <c r="C30" s="39">
        <f>IF(ISERROR(B30*3.6/1000000/'E Balans VL '!Z18*100),0,B30*3.6/1000000/'E Balans VL '!Z18*100)</f>
        <v>3.1714857680895416E-3</v>
      </c>
      <c r="D30" s="237" t="s">
        <v>716</v>
      </c>
    </row>
    <row r="31" spans="1:18">
      <c r="A31" s="6" t="s">
        <v>32</v>
      </c>
      <c r="B31" s="37">
        <f>IF( ISERROR(IND_ander_ele_kWh/1000),0,IND_ander_ele_kWh/1000)</f>
        <v>894.75879199999997</v>
      </c>
      <c r="C31" s="39">
        <f>IF(ISERROR(B31*3.6/1000000/'E Balans VL '!Z19*100),0,B31*3.6/1000000/'E Balans VL '!Z19*100)</f>
        <v>4.5003466989276167E-2</v>
      </c>
      <c r="D31" s="237" t="s">
        <v>716</v>
      </c>
    </row>
    <row r="32" spans="1:18">
      <c r="A32" s="171" t="s">
        <v>40</v>
      </c>
      <c r="B32" s="37">
        <f>IF( ISERROR(IND_voed_ele_kWh/1000),0,IND_voed_ele_kWh/1000)</f>
        <v>345.12298800000002</v>
      </c>
      <c r="C32" s="39">
        <f>IF(ISERROR(B32*3.6/1000000/'E Balans VL '!Z20*100),0,B32*3.6/1000000/'E Balans VL '!Z20*100)</f>
        <v>1.1494644926322708E-2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753.23842000000002</v>
      </c>
      <c r="C37" s="39">
        <f>IF(ISERROR(B37*3.6/1000000/'E Balans VL '!Z15*100),0,B37*3.6/1000000/'E Balans VL '!Z15*100)</f>
        <v>5.8773195052791811E-3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283.46404000000001</v>
      </c>
      <c r="C5" s="17">
        <f>'Eigen informatie GS &amp; warmtenet'!B62</f>
        <v>0</v>
      </c>
      <c r="D5" s="30">
        <f>IF(ISERROR(SUM(LB_lb_gas_kWh,LB_rest_gas_kWh)/1000),0,SUM(LB_lb_gas_kWh,LB_rest_gas_kWh)/1000)*0.902</f>
        <v>305.786872974</v>
      </c>
      <c r="E5" s="17">
        <f>B17*'E Balans VL '!I25/3.6*1000000/100</f>
        <v>8.8468192134914094</v>
      </c>
      <c r="F5" s="17">
        <f>B17*('E Balans VL '!L25/3.6*1000000+'E Balans VL '!N25/3.6*1000000)/100</f>
        <v>1001.7933186592699</v>
      </c>
      <c r="G5" s="18"/>
      <c r="H5" s="17"/>
      <c r="I5" s="17"/>
      <c r="J5" s="17">
        <f>('E Balans VL '!D25+'E Balans VL '!E25)/3.6*1000000*landbouw!B17/100</f>
        <v>78.096308825889196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283.46404000000001</v>
      </c>
      <c r="C8" s="21">
        <f>C5+C6</f>
        <v>0</v>
      </c>
      <c r="D8" s="21">
        <f>MAX((D5+D6),0)</f>
        <v>305.786872974</v>
      </c>
      <c r="E8" s="21">
        <f>MAX((E5+E6),0)</f>
        <v>8.8468192134914094</v>
      </c>
      <c r="F8" s="21">
        <f>MAX((F5+F6),0)</f>
        <v>1001.7933186592699</v>
      </c>
      <c r="G8" s="21"/>
      <c r="H8" s="21"/>
      <c r="I8" s="21"/>
      <c r="J8" s="21">
        <f>MAX((J5+J6),0)</f>
        <v>78.096308825889196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0.20614216833873852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58.433891851658913</v>
      </c>
      <c r="C12" s="23">
        <f ca="1">C8*C10</f>
        <v>0</v>
      </c>
      <c r="D12" s="23">
        <f>D8*D10</f>
        <v>61.768948340748004</v>
      </c>
      <c r="E12" s="23">
        <f>E8*E10</f>
        <v>2.0082279614625502</v>
      </c>
      <c r="F12" s="23">
        <f>F8*F10</f>
        <v>267.47881608202505</v>
      </c>
      <c r="G12" s="23"/>
      <c r="H12" s="23"/>
      <c r="I12" s="23"/>
      <c r="J12" s="23">
        <f>J8*J10</f>
        <v>27.646093324364774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4.2138961608720125E-2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41.901826181014229</v>
      </c>
      <c r="C26" s="247">
        <f>B26*'GWP N2O_CH4'!B5</f>
        <v>879.93834980129884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2.2399818127480926</v>
      </c>
      <c r="C27" s="247">
        <f>B27*'GWP N2O_CH4'!B5</f>
        <v>47.039618067709945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0.60486586425085886</v>
      </c>
      <c r="C28" s="247">
        <f>B28*'GWP N2O_CH4'!B4</f>
        <v>187.50841791776625</v>
      </c>
      <c r="D28" s="50"/>
    </row>
    <row r="29" spans="1:4">
      <c r="A29" s="41" t="s">
        <v>276</v>
      </c>
      <c r="B29" s="247">
        <f>B34*'ha_N2O bodem landbouw'!B4</f>
        <v>10.067763922188218</v>
      </c>
      <c r="C29" s="247">
        <f>B29*'GWP N2O_CH4'!B4</f>
        <v>3121.0068158783479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2.2076793621221905E-3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5.2436914205000002E-4</v>
      </c>
      <c r="C5" s="463" t="s">
        <v>210</v>
      </c>
      <c r="D5" s="448">
        <f>SUM(D6:D11)</f>
        <v>2.1552638128596959E-3</v>
      </c>
      <c r="E5" s="448">
        <f>SUM(E6:E11)</f>
        <v>1.914273986410625E-3</v>
      </c>
      <c r="F5" s="461" t="s">
        <v>210</v>
      </c>
      <c r="G5" s="448">
        <f>SUM(G6:G11)</f>
        <v>0.65075104056954747</v>
      </c>
      <c r="H5" s="448">
        <f>SUM(H6:H11)</f>
        <v>0.16467895023347007</v>
      </c>
      <c r="I5" s="463" t="s">
        <v>210</v>
      </c>
      <c r="J5" s="463" t="s">
        <v>210</v>
      </c>
      <c r="K5" s="463" t="s">
        <v>210</v>
      </c>
      <c r="L5" s="463" t="s">
        <v>210</v>
      </c>
      <c r="M5" s="448">
        <f>SUM(M6:M11)</f>
        <v>4.8346997583265397E-2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6.067559309499999E-5</v>
      </c>
      <c r="C6" s="449"/>
      <c r="D6" s="917">
        <f>vkm_2011_GW_PW*SUMIFS(TableVerdeelsleutelVkm[CNG],TableVerdeelsleutelVkm[Voertuigtype],"Lichte voertuigen")*SUMIFS(TableECFTransport[EnergieConsumptieFactor (PJ per km)],TableECFTransport[Index],CONCATENATE($A6,"_CNG_CNG"))</f>
        <v>2.1097937221561201E-4</v>
      </c>
      <c r="E6" s="917">
        <f>vkm_2011_GW_PW*SUMIFS(TableVerdeelsleutelVkm[LPG],TableVerdeelsleutelVkm[Voertuigtype],"Lichte voertuigen")*SUMIFS(TableECFTransport[EnergieConsumptieFactor (PJ per km)],TableECFTransport[Index],CONCATENATE($A6,"_LPG_LPG"))</f>
        <v>1.662169853604E-4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4.5246196093255052E-2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1.5833163450921429E-2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3.6498756378013329E-3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7.7852077122170134E-3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1.9613446999204658E-6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4.4891939936910608E-4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1.030587634E-4</v>
      </c>
      <c r="C8" s="449"/>
      <c r="D8" s="451">
        <f>vkm_2011_NGW_PW*SUMIFS(TableVerdeelsleutelVkm[CNG],TableVerdeelsleutelVkm[Voertuigtype],"Lichte voertuigen")*SUMIFS(TableECFTransport[EnergieConsumptieFactor (PJ per km)],TableECFTransport[Index],CONCATENATE($A8,"_CNG_CNG"))</f>
        <v>6.3419252783040005E-4</v>
      </c>
      <c r="E8" s="451">
        <f>vkm_2011_NGW_PW*SUMIFS(TableVerdeelsleutelVkm[LPG],TableVerdeelsleutelVkm[Voertuigtype],"Lichte voertuigen")*SUMIFS(TableECFTransport[EnergieConsumptieFactor (PJ per km)],TableECFTransport[Index],CONCATENATE($A8,"_LPG_LPG"))</f>
        <v>4.6319642600300005E-4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0.11700531317400735</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4.6375608318436061E-2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9.7957833663442836E-3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1.3422117035712718E-2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3.1905961290731102E-6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7.7394864561650665E-4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3.6063478555499999E-4</v>
      </c>
      <c r="C10" s="449"/>
      <c r="D10" s="451">
        <f>vkm_2011_SW_PW*SUMIFS(TableVerdeelsleutelVkm[CNG],TableVerdeelsleutelVkm[Voertuigtype],"Lichte voertuigen")*SUMIFS(TableECFTransport[EnergieConsumptieFactor (PJ per km)],TableECFTransport[Index],CONCATENATE($A10,"_CNG_CNG"))</f>
        <v>1.310091912813684E-3</v>
      </c>
      <c r="E10" s="451">
        <f>vkm_2011_SW_PW*SUMIFS(TableVerdeelsleutelVkm[LPG],TableVerdeelsleutelVkm[Voertuigtype],"Lichte voertuigen")*SUMIFS(TableECFTransport[EnergieConsumptieFactor (PJ per km)],TableECFTransport[Index],CONCATENATE($A10,"_LPG_LPG"))</f>
        <v>1.284860575047225E-3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0.31068614457380073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0.10242229457946507</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2.4647860096071676E-2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0.1566060619805546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4.2731943818505983E-5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9.0306104380624939E-3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145.6580950138889</v>
      </c>
      <c r="C14" s="21"/>
      <c r="D14" s="21">
        <f t="shared" ref="D14:M14" si="0">((D5)*10^9/3600)+D12</f>
        <v>598.68439246102662</v>
      </c>
      <c r="E14" s="21">
        <f t="shared" si="0"/>
        <v>531.74277400295136</v>
      </c>
      <c r="F14" s="21"/>
      <c r="G14" s="21">
        <f t="shared" si="0"/>
        <v>180764.17793598538</v>
      </c>
      <c r="H14" s="21">
        <f t="shared" si="0"/>
        <v>45744.152842630567</v>
      </c>
      <c r="I14" s="21"/>
      <c r="J14" s="21"/>
      <c r="K14" s="21"/>
      <c r="L14" s="21"/>
      <c r="M14" s="21">
        <f t="shared" si="0"/>
        <v>13429.721550907054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0.20614216833873852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30.026275542253057</v>
      </c>
      <c r="C18" s="23"/>
      <c r="D18" s="23">
        <f t="shared" ref="D18:M18" si="1">D14*D16</f>
        <v>120.93424727712738</v>
      </c>
      <c r="E18" s="23">
        <f t="shared" si="1"/>
        <v>120.70560969866996</v>
      </c>
      <c r="F18" s="23"/>
      <c r="G18" s="23">
        <f t="shared" si="1"/>
        <v>48264.035508908099</v>
      </c>
      <c r="H18" s="23">
        <f t="shared" si="1"/>
        <v>11390.294057815012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1.3851829987363763E-2</v>
      </c>
      <c r="H50" s="321">
        <f t="shared" si="2"/>
        <v>0</v>
      </c>
      <c r="I50" s="321">
        <f t="shared" si="2"/>
        <v>0</v>
      </c>
      <c r="J50" s="321">
        <f t="shared" si="2"/>
        <v>0</v>
      </c>
      <c r="K50" s="321">
        <f t="shared" si="2"/>
        <v>0</v>
      </c>
      <c r="L50" s="321">
        <f t="shared" si="2"/>
        <v>0</v>
      </c>
      <c r="M50" s="321">
        <f t="shared" si="2"/>
        <v>7.698862433184715E-4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1.3851829987363763E-2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7.698862433184715E-4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3847.7305520454897</v>
      </c>
      <c r="H54" s="21">
        <f t="shared" si="3"/>
        <v>0</v>
      </c>
      <c r="I54" s="21">
        <f t="shared" si="3"/>
        <v>0</v>
      </c>
      <c r="J54" s="21">
        <f t="shared" si="3"/>
        <v>0</v>
      </c>
      <c r="K54" s="21">
        <f t="shared" si="3"/>
        <v>0</v>
      </c>
      <c r="L54" s="21">
        <f t="shared" si="3"/>
        <v>0</v>
      </c>
      <c r="M54" s="21">
        <f t="shared" si="3"/>
        <v>213.85728981068652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0.20614216833873852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1027.3440573961459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29415.747517</v>
      </c>
      <c r="D10" s="712">
        <f ca="1">tertiair!C16</f>
        <v>3381.4285714285716</v>
      </c>
      <c r="E10" s="712">
        <f ca="1">tertiair!D16</f>
        <v>41227.171374034857</v>
      </c>
      <c r="F10" s="712">
        <f>tertiair!E16</f>
        <v>340.51076972930082</v>
      </c>
      <c r="G10" s="712">
        <f ca="1">tertiair!F16</f>
        <v>2940.4460027413643</v>
      </c>
      <c r="H10" s="712">
        <f>tertiair!G16</f>
        <v>0</v>
      </c>
      <c r="I10" s="712">
        <f>tertiair!H16</f>
        <v>0</v>
      </c>
      <c r="J10" s="712">
        <f>tertiair!I16</f>
        <v>0</v>
      </c>
      <c r="K10" s="712">
        <f>tertiair!J16</f>
        <v>3.3070457448706229E-2</v>
      </c>
      <c r="L10" s="712">
        <f>tertiair!K16</f>
        <v>0</v>
      </c>
      <c r="M10" s="712">
        <f ca="1">tertiair!L16</f>
        <v>0</v>
      </c>
      <c r="N10" s="712">
        <f>tertiair!M16</f>
        <v>0</v>
      </c>
      <c r="O10" s="712">
        <f ca="1">tertiair!N16</f>
        <v>1310.0942316128935</v>
      </c>
      <c r="P10" s="712">
        <f>tertiair!O16</f>
        <v>9.7945215316823084</v>
      </c>
      <c r="Q10" s="713">
        <f>tertiair!P16</f>
        <v>52.539138306495019</v>
      </c>
      <c r="R10" s="715">
        <f ca="1">SUM(C10:Q10)</f>
        <v>78677.765196842607</v>
      </c>
      <c r="S10" s="67"/>
    </row>
    <row r="11" spans="1:19" s="474" customFormat="1">
      <c r="A11" s="834" t="s">
        <v>224</v>
      </c>
      <c r="B11" s="839"/>
      <c r="C11" s="712">
        <f>huishoudens!B8</f>
        <v>33824.994466434837</v>
      </c>
      <c r="D11" s="712">
        <f>huishoudens!C8</f>
        <v>0</v>
      </c>
      <c r="E11" s="712">
        <f>huishoudens!D8</f>
        <v>89149.469987160002</v>
      </c>
      <c r="F11" s="712">
        <f>huishoudens!E8</f>
        <v>9342.5608509698104</v>
      </c>
      <c r="G11" s="712">
        <f>huishoudens!F8</f>
        <v>6842.6528866111048</v>
      </c>
      <c r="H11" s="712">
        <f>huishoudens!G8</f>
        <v>0</v>
      </c>
      <c r="I11" s="712">
        <f>huishoudens!H8</f>
        <v>0</v>
      </c>
      <c r="J11" s="712">
        <f>huishoudens!I8</f>
        <v>0</v>
      </c>
      <c r="K11" s="712">
        <f>huishoudens!J8</f>
        <v>0</v>
      </c>
      <c r="L11" s="712">
        <f>huishoudens!K8</f>
        <v>0</v>
      </c>
      <c r="M11" s="712">
        <f>huishoudens!L8</f>
        <v>0</v>
      </c>
      <c r="N11" s="712">
        <f>huishoudens!M8</f>
        <v>0</v>
      </c>
      <c r="O11" s="712">
        <f>huishoudens!N8</f>
        <v>10347.286661522958</v>
      </c>
      <c r="P11" s="712">
        <f>huishoudens!O8</f>
        <v>331.32102263763431</v>
      </c>
      <c r="Q11" s="713">
        <f>huishoudens!P8</f>
        <v>589.90172123036132</v>
      </c>
      <c r="R11" s="715">
        <f>SUM(C11:Q11)</f>
        <v>150428.18759656671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2048.0582129999998</v>
      </c>
      <c r="D13" s="712">
        <f>industrie!C18</f>
        <v>0</v>
      </c>
      <c r="E13" s="712">
        <f>industrie!D18</f>
        <v>1783.8391887360001</v>
      </c>
      <c r="F13" s="712">
        <f>industrie!E18</f>
        <v>284.55543439348958</v>
      </c>
      <c r="G13" s="712">
        <f>industrie!F18</f>
        <v>899.33173092746415</v>
      </c>
      <c r="H13" s="712">
        <f>industrie!G18</f>
        <v>0</v>
      </c>
      <c r="I13" s="712">
        <f>industrie!H18</f>
        <v>0</v>
      </c>
      <c r="J13" s="712">
        <f>industrie!I18</f>
        <v>0</v>
      </c>
      <c r="K13" s="712">
        <f>industrie!J18</f>
        <v>6.2779203797785978</v>
      </c>
      <c r="L13" s="712">
        <f>industrie!K18</f>
        <v>0</v>
      </c>
      <c r="M13" s="712">
        <f>industrie!L18</f>
        <v>0</v>
      </c>
      <c r="N13" s="712">
        <f>industrie!M18</f>
        <v>0</v>
      </c>
      <c r="O13" s="712">
        <f>industrie!N18</f>
        <v>115.01255232997454</v>
      </c>
      <c r="P13" s="712">
        <f>industrie!O18</f>
        <v>0</v>
      </c>
      <c r="Q13" s="713">
        <f>industrie!P18</f>
        <v>0</v>
      </c>
      <c r="R13" s="715">
        <f>SUM(C13:Q13)</f>
        <v>5137.0750397667061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65288.800196434837</v>
      </c>
      <c r="D16" s="748">
        <f t="shared" ref="D16:R16" ca="1" si="0">SUM(D9:D15)</f>
        <v>3381.4285714285716</v>
      </c>
      <c r="E16" s="748">
        <f t="shared" ca="1" si="0"/>
        <v>132160.48054993086</v>
      </c>
      <c r="F16" s="748">
        <f t="shared" si="0"/>
        <v>9967.6270550926001</v>
      </c>
      <c r="G16" s="748">
        <f t="shared" ca="1" si="0"/>
        <v>10682.430620279934</v>
      </c>
      <c r="H16" s="748">
        <f t="shared" si="0"/>
        <v>0</v>
      </c>
      <c r="I16" s="748">
        <f t="shared" si="0"/>
        <v>0</v>
      </c>
      <c r="J16" s="748">
        <f t="shared" si="0"/>
        <v>0</v>
      </c>
      <c r="K16" s="748">
        <f t="shared" si="0"/>
        <v>6.3109908372273038</v>
      </c>
      <c r="L16" s="748">
        <f t="shared" si="0"/>
        <v>0</v>
      </c>
      <c r="M16" s="748">
        <f t="shared" ca="1" si="0"/>
        <v>0</v>
      </c>
      <c r="N16" s="748">
        <f t="shared" si="0"/>
        <v>0</v>
      </c>
      <c r="O16" s="748">
        <f t="shared" ca="1" si="0"/>
        <v>11772.393445465825</v>
      </c>
      <c r="P16" s="748">
        <f t="shared" si="0"/>
        <v>341.11554416931665</v>
      </c>
      <c r="Q16" s="748">
        <f t="shared" si="0"/>
        <v>642.44085953685635</v>
      </c>
      <c r="R16" s="748">
        <f t="shared" ca="1" si="0"/>
        <v>234243.02783317602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3847.7305520454897</v>
      </c>
      <c r="I19" s="712">
        <f>transport!H54</f>
        <v>0</v>
      </c>
      <c r="J19" s="712">
        <f>transport!I54</f>
        <v>0</v>
      </c>
      <c r="K19" s="712">
        <f>transport!J54</f>
        <v>0</v>
      </c>
      <c r="L19" s="712">
        <f>transport!K54</f>
        <v>0</v>
      </c>
      <c r="M19" s="712">
        <f>transport!L54</f>
        <v>0</v>
      </c>
      <c r="N19" s="712">
        <f>transport!M54</f>
        <v>213.85728981068652</v>
      </c>
      <c r="O19" s="712">
        <f>transport!N54</f>
        <v>0</v>
      </c>
      <c r="P19" s="712">
        <f>transport!O54</f>
        <v>0</v>
      </c>
      <c r="Q19" s="713">
        <f>transport!P54</f>
        <v>0</v>
      </c>
      <c r="R19" s="715">
        <f>SUM(C19:Q19)</f>
        <v>4061.5878418561761</v>
      </c>
      <c r="S19" s="67"/>
    </row>
    <row r="20" spans="1:19" s="474" customFormat="1">
      <c r="A20" s="834" t="s">
        <v>306</v>
      </c>
      <c r="B20" s="839"/>
      <c r="C20" s="712">
        <f>transport!B14</f>
        <v>145.6580950138889</v>
      </c>
      <c r="D20" s="712">
        <f>transport!C14</f>
        <v>0</v>
      </c>
      <c r="E20" s="712">
        <f>transport!D14</f>
        <v>598.68439246102662</v>
      </c>
      <c r="F20" s="712">
        <f>transport!E14</f>
        <v>531.74277400295136</v>
      </c>
      <c r="G20" s="712">
        <f>transport!F14</f>
        <v>0</v>
      </c>
      <c r="H20" s="712">
        <f>transport!G14</f>
        <v>180764.17793598538</v>
      </c>
      <c r="I20" s="712">
        <f>transport!H14</f>
        <v>45744.152842630567</v>
      </c>
      <c r="J20" s="712">
        <f>transport!I14</f>
        <v>0</v>
      </c>
      <c r="K20" s="712">
        <f>transport!J14</f>
        <v>0</v>
      </c>
      <c r="L20" s="712">
        <f>transport!K14</f>
        <v>0</v>
      </c>
      <c r="M20" s="712">
        <f>transport!L14</f>
        <v>0</v>
      </c>
      <c r="N20" s="712">
        <f>transport!M14</f>
        <v>13429.721550907054</v>
      </c>
      <c r="O20" s="712">
        <f>transport!N14</f>
        <v>0</v>
      </c>
      <c r="P20" s="712">
        <f>transport!O14</f>
        <v>0</v>
      </c>
      <c r="Q20" s="713">
        <f>transport!P14</f>
        <v>0</v>
      </c>
      <c r="R20" s="715">
        <f>SUM(C20:Q20)</f>
        <v>241214.13759100088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145.6580950138889</v>
      </c>
      <c r="D22" s="837">
        <f t="shared" ref="D22:R22" si="1">SUM(D18:D21)</f>
        <v>0</v>
      </c>
      <c r="E22" s="837">
        <f t="shared" si="1"/>
        <v>598.68439246102662</v>
      </c>
      <c r="F22" s="837">
        <f t="shared" si="1"/>
        <v>531.74277400295136</v>
      </c>
      <c r="G22" s="837">
        <f t="shared" si="1"/>
        <v>0</v>
      </c>
      <c r="H22" s="837">
        <f t="shared" si="1"/>
        <v>184611.90848803087</v>
      </c>
      <c r="I22" s="837">
        <f t="shared" si="1"/>
        <v>45744.152842630567</v>
      </c>
      <c r="J22" s="837">
        <f t="shared" si="1"/>
        <v>0</v>
      </c>
      <c r="K22" s="837">
        <f t="shared" si="1"/>
        <v>0</v>
      </c>
      <c r="L22" s="837">
        <f t="shared" si="1"/>
        <v>0</v>
      </c>
      <c r="M22" s="837">
        <f t="shared" si="1"/>
        <v>0</v>
      </c>
      <c r="N22" s="837">
        <f t="shared" si="1"/>
        <v>13643.578840717741</v>
      </c>
      <c r="O22" s="837">
        <f t="shared" si="1"/>
        <v>0</v>
      </c>
      <c r="P22" s="837">
        <f t="shared" si="1"/>
        <v>0</v>
      </c>
      <c r="Q22" s="837">
        <f t="shared" si="1"/>
        <v>0</v>
      </c>
      <c r="R22" s="837">
        <f t="shared" si="1"/>
        <v>245275.72543285706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283.46404000000001</v>
      </c>
      <c r="D24" s="712">
        <f>+landbouw!C8</f>
        <v>0</v>
      </c>
      <c r="E24" s="712">
        <f>+landbouw!D8</f>
        <v>305.786872974</v>
      </c>
      <c r="F24" s="712">
        <f>+landbouw!E8</f>
        <v>8.8468192134914094</v>
      </c>
      <c r="G24" s="712">
        <f>+landbouw!F8</f>
        <v>1001.7933186592699</v>
      </c>
      <c r="H24" s="712">
        <f>+landbouw!G8</f>
        <v>0</v>
      </c>
      <c r="I24" s="712">
        <f>+landbouw!H8</f>
        <v>0</v>
      </c>
      <c r="J24" s="712">
        <f>+landbouw!I8</f>
        <v>0</v>
      </c>
      <c r="K24" s="712">
        <f>+landbouw!J8</f>
        <v>78.096308825889196</v>
      </c>
      <c r="L24" s="712">
        <f>+landbouw!K8</f>
        <v>0</v>
      </c>
      <c r="M24" s="712">
        <f>+landbouw!L8</f>
        <v>0</v>
      </c>
      <c r="N24" s="712">
        <f>+landbouw!M8</f>
        <v>0</v>
      </c>
      <c r="O24" s="712">
        <f>+landbouw!N8</f>
        <v>0</v>
      </c>
      <c r="P24" s="712">
        <f>+landbouw!O8</f>
        <v>0</v>
      </c>
      <c r="Q24" s="713">
        <f>+landbouw!P8</f>
        <v>0</v>
      </c>
      <c r="R24" s="715">
        <f>SUM(C24:Q24)</f>
        <v>1677.9873596726502</v>
      </c>
      <c r="S24" s="67"/>
    </row>
    <row r="25" spans="1:19" s="474" customFormat="1" ht="15" thickBot="1">
      <c r="A25" s="856" t="s">
        <v>734</v>
      </c>
      <c r="B25" s="982"/>
      <c r="C25" s="983">
        <f>IF(Onbekend_ele_kWh="---",0,Onbekend_ele_kWh)/1000+IF(REST_rest_ele_kWh="---",0,REST_rest_ele_kWh)/1000</f>
        <v>837.29681499999992</v>
      </c>
      <c r="D25" s="983"/>
      <c r="E25" s="983">
        <f>IF(onbekend_gas_kWh="---",0,onbekend_gas_kWh)/1000+IF(REST_rest_gas_kWh="---",0,REST_rest_gas_kWh)/1000</f>
        <v>2457.4257929999999</v>
      </c>
      <c r="F25" s="983"/>
      <c r="G25" s="983"/>
      <c r="H25" s="983"/>
      <c r="I25" s="983"/>
      <c r="J25" s="983"/>
      <c r="K25" s="983"/>
      <c r="L25" s="983"/>
      <c r="M25" s="983"/>
      <c r="N25" s="983"/>
      <c r="O25" s="983"/>
      <c r="P25" s="983"/>
      <c r="Q25" s="984"/>
      <c r="R25" s="715">
        <f>SUM(C25:Q25)</f>
        <v>3294.722608</v>
      </c>
      <c r="S25" s="67"/>
    </row>
    <row r="26" spans="1:19" s="474" customFormat="1" ht="15.75" thickBot="1">
      <c r="A26" s="720" t="s">
        <v>735</v>
      </c>
      <c r="B26" s="842"/>
      <c r="C26" s="837">
        <f>SUM(C24:C25)</f>
        <v>1120.760855</v>
      </c>
      <c r="D26" s="837">
        <f t="shared" ref="D26:R26" si="2">SUM(D24:D25)</f>
        <v>0</v>
      </c>
      <c r="E26" s="837">
        <f t="shared" si="2"/>
        <v>2763.2126659739997</v>
      </c>
      <c r="F26" s="837">
        <f t="shared" si="2"/>
        <v>8.8468192134914094</v>
      </c>
      <c r="G26" s="837">
        <f t="shared" si="2"/>
        <v>1001.7933186592699</v>
      </c>
      <c r="H26" s="837">
        <f t="shared" si="2"/>
        <v>0</v>
      </c>
      <c r="I26" s="837">
        <f t="shared" si="2"/>
        <v>0</v>
      </c>
      <c r="J26" s="837">
        <f t="shared" si="2"/>
        <v>0</v>
      </c>
      <c r="K26" s="837">
        <f t="shared" si="2"/>
        <v>78.096308825889196</v>
      </c>
      <c r="L26" s="837">
        <f t="shared" si="2"/>
        <v>0</v>
      </c>
      <c r="M26" s="837">
        <f t="shared" si="2"/>
        <v>0</v>
      </c>
      <c r="N26" s="837">
        <f t="shared" si="2"/>
        <v>0</v>
      </c>
      <c r="O26" s="837">
        <f t="shared" si="2"/>
        <v>0</v>
      </c>
      <c r="P26" s="837">
        <f t="shared" si="2"/>
        <v>0</v>
      </c>
      <c r="Q26" s="837">
        <f t="shared" si="2"/>
        <v>0</v>
      </c>
      <c r="R26" s="837">
        <f t="shared" si="2"/>
        <v>4972.7099676726502</v>
      </c>
      <c r="S26" s="67"/>
    </row>
    <row r="27" spans="1:19" s="474" customFormat="1" ht="17.25" thickTop="1" thickBot="1">
      <c r="A27" s="721" t="s">
        <v>115</v>
      </c>
      <c r="B27" s="829"/>
      <c r="C27" s="722">
        <f ca="1">C22+C16+C26</f>
        <v>66555.219146448726</v>
      </c>
      <c r="D27" s="722">
        <f t="shared" ref="D27:R27" ca="1" si="3">D22+D16+D26</f>
        <v>3381.4285714285716</v>
      </c>
      <c r="E27" s="722">
        <f t="shared" ca="1" si="3"/>
        <v>135522.37760836587</v>
      </c>
      <c r="F27" s="722">
        <f t="shared" si="3"/>
        <v>10508.216648309042</v>
      </c>
      <c r="G27" s="722">
        <f t="shared" ca="1" si="3"/>
        <v>11684.223938939203</v>
      </c>
      <c r="H27" s="722">
        <f t="shared" si="3"/>
        <v>184611.90848803087</v>
      </c>
      <c r="I27" s="722">
        <f t="shared" si="3"/>
        <v>45744.152842630567</v>
      </c>
      <c r="J27" s="722">
        <f t="shared" si="3"/>
        <v>0</v>
      </c>
      <c r="K27" s="722">
        <f t="shared" si="3"/>
        <v>84.407299663116504</v>
      </c>
      <c r="L27" s="722">
        <f t="shared" si="3"/>
        <v>0</v>
      </c>
      <c r="M27" s="722">
        <f t="shared" ca="1" si="3"/>
        <v>0</v>
      </c>
      <c r="N27" s="722">
        <f t="shared" si="3"/>
        <v>13643.578840717741</v>
      </c>
      <c r="O27" s="722">
        <f t="shared" ca="1" si="3"/>
        <v>11772.393445465825</v>
      </c>
      <c r="P27" s="722">
        <f t="shared" si="3"/>
        <v>341.11554416931665</v>
      </c>
      <c r="Q27" s="722">
        <f t="shared" si="3"/>
        <v>642.44085953685635</v>
      </c>
      <c r="R27" s="722">
        <f t="shared" ca="1" si="3"/>
        <v>484491.46323370573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6063.825976459244</v>
      </c>
      <c r="D40" s="712">
        <f ca="1">tertiair!C20</f>
        <v>803.5865546218489</v>
      </c>
      <c r="E40" s="712">
        <f ca="1">tertiair!D20</f>
        <v>8327.8886175550415</v>
      </c>
      <c r="F40" s="712">
        <f>tertiair!E20</f>
        <v>77.295944728551291</v>
      </c>
      <c r="G40" s="712">
        <f ca="1">tertiair!F20</f>
        <v>785.09908273194435</v>
      </c>
      <c r="H40" s="712">
        <f>tertiair!G20</f>
        <v>0</v>
      </c>
      <c r="I40" s="712">
        <f>tertiair!H20</f>
        <v>0</v>
      </c>
      <c r="J40" s="712">
        <f>tertiair!I20</f>
        <v>0</v>
      </c>
      <c r="K40" s="712">
        <f>tertiair!J20</f>
        <v>1.1706941936842005E-2</v>
      </c>
      <c r="L40" s="712">
        <f>tertiair!K20</f>
        <v>0</v>
      </c>
      <c r="M40" s="712">
        <f ca="1">tertiair!L20</f>
        <v>0</v>
      </c>
      <c r="N40" s="712">
        <f>tertiair!M20</f>
        <v>0</v>
      </c>
      <c r="O40" s="712">
        <f ca="1">tertiair!N20</f>
        <v>0</v>
      </c>
      <c r="P40" s="712">
        <f>tertiair!O20</f>
        <v>0</v>
      </c>
      <c r="Q40" s="795">
        <f>tertiair!P20</f>
        <v>0</v>
      </c>
      <c r="R40" s="875">
        <f t="shared" ca="1" si="4"/>
        <v>16057.707883038569</v>
      </c>
    </row>
    <row r="41" spans="1:18">
      <c r="A41" s="847" t="s">
        <v>224</v>
      </c>
      <c r="B41" s="854"/>
      <c r="C41" s="712">
        <f ca="1">huishoudens!B12</f>
        <v>6972.7577033567095</v>
      </c>
      <c r="D41" s="712">
        <f ca="1">huishoudens!C12</f>
        <v>0</v>
      </c>
      <c r="E41" s="712">
        <f>huishoudens!D12</f>
        <v>18008.192937406322</v>
      </c>
      <c r="F41" s="712">
        <f>huishoudens!E12</f>
        <v>2120.7613131701469</v>
      </c>
      <c r="G41" s="712">
        <f>huishoudens!F12</f>
        <v>1826.9883207251651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28928.700274658346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422.19116091178194</v>
      </c>
      <c r="D43" s="712">
        <f ca="1">industrie!C22</f>
        <v>0</v>
      </c>
      <c r="E43" s="712">
        <f>industrie!D22</f>
        <v>360.33551612467204</v>
      </c>
      <c r="F43" s="712">
        <f>industrie!E22</f>
        <v>64.594083607322133</v>
      </c>
      <c r="G43" s="712">
        <f>industrie!F22</f>
        <v>240.12157215763295</v>
      </c>
      <c r="H43" s="712">
        <f>industrie!G22</f>
        <v>0</v>
      </c>
      <c r="I43" s="712">
        <f>industrie!H22</f>
        <v>0</v>
      </c>
      <c r="J43" s="712">
        <f>industrie!I22</f>
        <v>0</v>
      </c>
      <c r="K43" s="712">
        <f>industrie!J22</f>
        <v>2.2223838144416237</v>
      </c>
      <c r="L43" s="712">
        <f>industrie!K22</f>
        <v>0</v>
      </c>
      <c r="M43" s="712">
        <f>industrie!L22</f>
        <v>0</v>
      </c>
      <c r="N43" s="712">
        <f>industrie!M22</f>
        <v>0</v>
      </c>
      <c r="O43" s="712">
        <f>industrie!N22</f>
        <v>0</v>
      </c>
      <c r="P43" s="712">
        <f>industrie!O22</f>
        <v>0</v>
      </c>
      <c r="Q43" s="795">
        <f>industrie!P22</f>
        <v>0</v>
      </c>
      <c r="R43" s="874">
        <f t="shared" ca="1" si="4"/>
        <v>1089.4647166158506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13458.774840727736</v>
      </c>
      <c r="D46" s="748">
        <f t="shared" ref="D46:Q46" ca="1" si="5">SUM(D39:D45)</f>
        <v>803.5865546218489</v>
      </c>
      <c r="E46" s="748">
        <f t="shared" ca="1" si="5"/>
        <v>26696.417071086034</v>
      </c>
      <c r="F46" s="748">
        <f t="shared" si="5"/>
        <v>2262.6513415060203</v>
      </c>
      <c r="G46" s="748">
        <f t="shared" ca="1" si="5"/>
        <v>2852.2089756147425</v>
      </c>
      <c r="H46" s="748">
        <f t="shared" si="5"/>
        <v>0</v>
      </c>
      <c r="I46" s="748">
        <f t="shared" si="5"/>
        <v>0</v>
      </c>
      <c r="J46" s="748">
        <f t="shared" si="5"/>
        <v>0</v>
      </c>
      <c r="K46" s="748">
        <f t="shared" si="5"/>
        <v>2.2340907563784658</v>
      </c>
      <c r="L46" s="748">
        <f t="shared" si="5"/>
        <v>0</v>
      </c>
      <c r="M46" s="748">
        <f t="shared" ca="1" si="5"/>
        <v>0</v>
      </c>
      <c r="N46" s="748">
        <f t="shared" si="5"/>
        <v>0</v>
      </c>
      <c r="O46" s="748">
        <f t="shared" ca="1" si="5"/>
        <v>0</v>
      </c>
      <c r="P46" s="748">
        <f t="shared" si="5"/>
        <v>0</v>
      </c>
      <c r="Q46" s="748">
        <f t="shared" si="5"/>
        <v>0</v>
      </c>
      <c r="R46" s="748">
        <f ca="1">SUM(R39:R45)</f>
        <v>46075.872874312772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1027.3440573961459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1027.3440573961459</v>
      </c>
    </row>
    <row r="50" spans="1:18">
      <c r="A50" s="850" t="s">
        <v>306</v>
      </c>
      <c r="B50" s="860"/>
      <c r="C50" s="718">
        <f ca="1">transport!B18</f>
        <v>30.026275542253057</v>
      </c>
      <c r="D50" s="718">
        <f>transport!C18</f>
        <v>0</v>
      </c>
      <c r="E50" s="718">
        <f>transport!D18</f>
        <v>120.93424727712738</v>
      </c>
      <c r="F50" s="718">
        <f>transport!E18</f>
        <v>120.70560969866996</v>
      </c>
      <c r="G50" s="718">
        <f>transport!F18</f>
        <v>0</v>
      </c>
      <c r="H50" s="718">
        <f>transport!G18</f>
        <v>48264.035508908099</v>
      </c>
      <c r="I50" s="718">
        <f>transport!H18</f>
        <v>11390.294057815012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59925.995699241161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30.026275542253057</v>
      </c>
      <c r="D52" s="748">
        <f t="shared" ref="D52:Q52" ca="1" si="6">SUM(D48:D51)</f>
        <v>0</v>
      </c>
      <c r="E52" s="748">
        <f t="shared" si="6"/>
        <v>120.93424727712738</v>
      </c>
      <c r="F52" s="748">
        <f t="shared" si="6"/>
        <v>120.70560969866996</v>
      </c>
      <c r="G52" s="748">
        <f t="shared" si="6"/>
        <v>0</v>
      </c>
      <c r="H52" s="748">
        <f t="shared" si="6"/>
        <v>49291.379566304247</v>
      </c>
      <c r="I52" s="748">
        <f t="shared" si="6"/>
        <v>11390.294057815012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60953.33975663731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58.433891851658913</v>
      </c>
      <c r="D54" s="718">
        <f ca="1">+landbouw!C12</f>
        <v>0</v>
      </c>
      <c r="E54" s="718">
        <f>+landbouw!D12</f>
        <v>61.768948340748004</v>
      </c>
      <c r="F54" s="718">
        <f>+landbouw!E12</f>
        <v>2.0082279614625502</v>
      </c>
      <c r="G54" s="718">
        <f>+landbouw!F12</f>
        <v>267.47881608202505</v>
      </c>
      <c r="H54" s="718">
        <f>+landbouw!G12</f>
        <v>0</v>
      </c>
      <c r="I54" s="718">
        <f>+landbouw!H12</f>
        <v>0</v>
      </c>
      <c r="J54" s="718">
        <f>+landbouw!I12</f>
        <v>0</v>
      </c>
      <c r="K54" s="718">
        <f>+landbouw!J12</f>
        <v>27.646093324364774</v>
      </c>
      <c r="L54" s="718">
        <f>+landbouw!K12</f>
        <v>0</v>
      </c>
      <c r="M54" s="718">
        <f>+landbouw!L12</f>
        <v>0</v>
      </c>
      <c r="N54" s="718">
        <f>+landbouw!M12</f>
        <v>0</v>
      </c>
      <c r="O54" s="718">
        <f>+landbouw!N12</f>
        <v>0</v>
      </c>
      <c r="P54" s="718">
        <f>+landbouw!O12</f>
        <v>0</v>
      </c>
      <c r="Q54" s="719">
        <f>+landbouw!P12</f>
        <v>0</v>
      </c>
      <c r="R54" s="747">
        <f ca="1">SUM(C54:Q54)</f>
        <v>417.33597756025927</v>
      </c>
    </row>
    <row r="55" spans="1:18" ht="15" thickBot="1">
      <c r="A55" s="850" t="s">
        <v>734</v>
      </c>
      <c r="B55" s="860"/>
      <c r="C55" s="718">
        <f ca="1">C25*'EF ele_warmte'!B12</f>
        <v>172.60218098721958</v>
      </c>
      <c r="D55" s="718"/>
      <c r="E55" s="718">
        <f>E25*EF_CO2_aardgas</f>
        <v>496.40001018600003</v>
      </c>
      <c r="F55" s="718"/>
      <c r="G55" s="718"/>
      <c r="H55" s="718"/>
      <c r="I55" s="718"/>
      <c r="J55" s="718"/>
      <c r="K55" s="718"/>
      <c r="L55" s="718"/>
      <c r="M55" s="718"/>
      <c r="N55" s="718"/>
      <c r="O55" s="718"/>
      <c r="P55" s="718"/>
      <c r="Q55" s="719"/>
      <c r="R55" s="747">
        <f ca="1">SUM(C55:Q55)</f>
        <v>669.00219117321967</v>
      </c>
    </row>
    <row r="56" spans="1:18" ht="15.75" thickBot="1">
      <c r="A56" s="848" t="s">
        <v>735</v>
      </c>
      <c r="B56" s="861"/>
      <c r="C56" s="748">
        <f ca="1">SUM(C54:C55)</f>
        <v>231.03607283887851</v>
      </c>
      <c r="D56" s="748">
        <f t="shared" ref="D56:Q56" ca="1" si="7">SUM(D54:D55)</f>
        <v>0</v>
      </c>
      <c r="E56" s="748">
        <f t="shared" si="7"/>
        <v>558.16895852674804</v>
      </c>
      <c r="F56" s="748">
        <f t="shared" si="7"/>
        <v>2.0082279614625502</v>
      </c>
      <c r="G56" s="748">
        <f t="shared" si="7"/>
        <v>267.47881608202505</v>
      </c>
      <c r="H56" s="748">
        <f t="shared" si="7"/>
        <v>0</v>
      </c>
      <c r="I56" s="748">
        <f t="shared" si="7"/>
        <v>0</v>
      </c>
      <c r="J56" s="748">
        <f t="shared" si="7"/>
        <v>0</v>
      </c>
      <c r="K56" s="748">
        <f t="shared" si="7"/>
        <v>27.646093324364774</v>
      </c>
      <c r="L56" s="748">
        <f t="shared" si="7"/>
        <v>0</v>
      </c>
      <c r="M56" s="748">
        <f t="shared" si="7"/>
        <v>0</v>
      </c>
      <c r="N56" s="748">
        <f t="shared" si="7"/>
        <v>0</v>
      </c>
      <c r="O56" s="748">
        <f t="shared" si="7"/>
        <v>0</v>
      </c>
      <c r="P56" s="748">
        <f t="shared" si="7"/>
        <v>0</v>
      </c>
      <c r="Q56" s="749">
        <f t="shared" si="7"/>
        <v>0</v>
      </c>
      <c r="R56" s="750">
        <f ca="1">SUM(R54:R55)</f>
        <v>1086.3381687334791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13719.837189108868</v>
      </c>
      <c r="D61" s="756">
        <f t="shared" ref="D61:Q61" ca="1" si="8">D46+D52+D56</f>
        <v>803.5865546218489</v>
      </c>
      <c r="E61" s="756">
        <f t="shared" ca="1" si="8"/>
        <v>27375.520276889911</v>
      </c>
      <c r="F61" s="756">
        <f t="shared" si="8"/>
        <v>2385.3651791661528</v>
      </c>
      <c r="G61" s="756">
        <f t="shared" ca="1" si="8"/>
        <v>3119.6877916967674</v>
      </c>
      <c r="H61" s="756">
        <f t="shared" si="8"/>
        <v>49291.379566304247</v>
      </c>
      <c r="I61" s="756">
        <f t="shared" si="8"/>
        <v>11390.294057815012</v>
      </c>
      <c r="J61" s="756">
        <f t="shared" si="8"/>
        <v>0</v>
      </c>
      <c r="K61" s="756">
        <f t="shared" si="8"/>
        <v>29.880184080743241</v>
      </c>
      <c r="L61" s="756">
        <f t="shared" si="8"/>
        <v>0</v>
      </c>
      <c r="M61" s="756">
        <f t="shared" ca="1" si="8"/>
        <v>0</v>
      </c>
      <c r="N61" s="756">
        <f t="shared" si="8"/>
        <v>0</v>
      </c>
      <c r="O61" s="756">
        <f t="shared" ca="1" si="8"/>
        <v>0</v>
      </c>
      <c r="P61" s="756">
        <f t="shared" si="8"/>
        <v>0</v>
      </c>
      <c r="Q61" s="756">
        <f t="shared" si="8"/>
        <v>0</v>
      </c>
      <c r="R61" s="756">
        <f ca="1">R46+R52+R56</f>
        <v>108115.55079968357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0.20614216833873855</v>
      </c>
      <c r="D63" s="802">
        <f t="shared" ca="1" si="9"/>
        <v>0.23764705882352946</v>
      </c>
      <c r="E63" s="1008">
        <f t="shared" ca="1" si="9"/>
        <v>0.20200000000000004</v>
      </c>
      <c r="F63" s="802">
        <f t="shared" si="9"/>
        <v>0.22700000000000001</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4652.8046628579013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2367</v>
      </c>
      <c r="D76" s="991">
        <f>'lokale energieproductie'!C8</f>
        <v>2784.705882352941</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562.51058823529411</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4652.8046628579013</v>
      </c>
      <c r="C78" s="774">
        <f>SUM(C72:C77)</f>
        <v>2367</v>
      </c>
      <c r="D78" s="775">
        <f t="shared" ref="D78:H78" si="10">SUM(D76:D77)</f>
        <v>2784.705882352941</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562.51058823529411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3381.4285714285716</v>
      </c>
      <c r="D87" s="798">
        <f>'lokale energieproductie'!C17</f>
        <v>3978.1512605042021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803.5865546218489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3381.4285714285716</v>
      </c>
      <c r="D90" s="774">
        <f t="shared" ref="D90:H90" si="12">SUM(D87:D89)</f>
        <v>3978.1512605042021</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803.5865546218489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4652.8046628579013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2367</v>
      </c>
      <c r="C8" s="574">
        <f>B101</f>
        <v>2784.705882352941</v>
      </c>
      <c r="D8" s="575"/>
      <c r="E8" s="575">
        <f>E101</f>
        <v>0</v>
      </c>
      <c r="F8" s="576"/>
      <c r="G8" s="577"/>
      <c r="H8" s="575">
        <f>I101</f>
        <v>0</v>
      </c>
      <c r="I8" s="575">
        <f>G101+F101</f>
        <v>0</v>
      </c>
      <c r="J8" s="575">
        <f>H101+D101+C101</f>
        <v>0</v>
      </c>
      <c r="K8" s="575"/>
      <c r="L8" s="575"/>
      <c r="M8" s="575"/>
      <c r="N8" s="578"/>
      <c r="O8" s="579">
        <f>C8*$C$12+D8*$D$12+E8*$E$12+F8*$F$12+G8*$G$12+H8*$H$12+I8*$I$12+J8*$J$12</f>
        <v>562.51058823529411</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7019.8046628579013</v>
      </c>
      <c r="C10" s="589">
        <f t="shared" ref="C10:L10" si="0">SUM(C8:C9)</f>
        <v>2784.705882352941</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562.51058823529411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3381.4285714285716</v>
      </c>
      <c r="C17" s="605">
        <f>B102</f>
        <v>3978.1512605042021</v>
      </c>
      <c r="D17" s="606"/>
      <c r="E17" s="606">
        <f>E102</f>
        <v>0</v>
      </c>
      <c r="F17" s="607"/>
      <c r="G17" s="608"/>
      <c r="H17" s="605">
        <f>I102</f>
        <v>0</v>
      </c>
      <c r="I17" s="606">
        <f>G102+F102</f>
        <v>0</v>
      </c>
      <c r="J17" s="606">
        <f>H102+D102+C102</f>
        <v>0</v>
      </c>
      <c r="K17" s="606"/>
      <c r="L17" s="606"/>
      <c r="M17" s="606"/>
      <c r="N17" s="1005"/>
      <c r="O17" s="609">
        <f>C17*$C$22+E17*$E$22+H17*$H$22+I17*$I$22+J17*$J$22+D17*$D$22+F17*$F$22+G17*$G$22+K17*$K$22+L17*$L$22</f>
        <v>803.5865546218489</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3381.4285714285716</v>
      </c>
      <c r="C20" s="588">
        <f>SUM(C17:C19)</f>
        <v>3978.1512605042021</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803.5865546218489</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24055</v>
      </c>
      <c r="C28" s="817">
        <v>3071</v>
      </c>
      <c r="D28" s="666" t="s">
        <v>886</v>
      </c>
      <c r="E28" s="665" t="s">
        <v>887</v>
      </c>
      <c r="F28" s="665" t="s">
        <v>888</v>
      </c>
      <c r="G28" s="665" t="s">
        <v>889</v>
      </c>
      <c r="H28" s="665" t="s">
        <v>890</v>
      </c>
      <c r="I28" s="665" t="s">
        <v>891</v>
      </c>
      <c r="J28" s="816">
        <v>40227</v>
      </c>
      <c r="K28" s="816">
        <v>40238</v>
      </c>
      <c r="L28" s="665" t="s">
        <v>892</v>
      </c>
      <c r="M28" s="665">
        <v>526</v>
      </c>
      <c r="N28" s="665">
        <v>2367</v>
      </c>
      <c r="O28" s="665">
        <v>3381.4285714285716</v>
      </c>
      <c r="P28" s="665">
        <v>6762.8571428571431</v>
      </c>
      <c r="Q28" s="665">
        <v>0</v>
      </c>
      <c r="R28" s="665">
        <v>0</v>
      </c>
      <c r="S28" s="665">
        <v>0</v>
      </c>
      <c r="T28" s="665">
        <v>0</v>
      </c>
      <c r="U28" s="665">
        <v>0</v>
      </c>
      <c r="V28" s="665">
        <v>0</v>
      </c>
      <c r="W28" s="665">
        <v>0</v>
      </c>
      <c r="X28" s="665">
        <v>1100</v>
      </c>
      <c r="Y28" s="665" t="s">
        <v>51</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526</v>
      </c>
      <c r="N58" s="623">
        <f>SUM(N28:N57)</f>
        <v>2367</v>
      </c>
      <c r="O58" s="623">
        <f t="shared" ref="O58:W58" si="2">SUM(O28:O57)</f>
        <v>3381.4285714285716</v>
      </c>
      <c r="P58" s="623">
        <f t="shared" si="2"/>
        <v>6762.8571428571431</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526</v>
      </c>
      <c r="N60" s="623">
        <f ca="1">SUMIF($Z$28:AD57,"tertiair",N28:N57)</f>
        <v>2367</v>
      </c>
      <c r="O60" s="623">
        <f ca="1">SUMIF($Z$28:AE57,"tertiair",O28:O57)</f>
        <v>3381.4285714285716</v>
      </c>
      <c r="P60" s="623">
        <f ca="1">SUMIF($Z$28:AF57,"tertiair",P28:P57)</f>
        <v>6762.8571428571431</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2784.705882352941</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3978.1512605042021</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33824.994466434837</v>
      </c>
      <c r="C4" s="478">
        <f>huishoudens!C8</f>
        <v>0</v>
      </c>
      <c r="D4" s="478">
        <f>huishoudens!D8</f>
        <v>89149.469987160002</v>
      </c>
      <c r="E4" s="478">
        <f>huishoudens!E8</f>
        <v>9342.5608509698104</v>
      </c>
      <c r="F4" s="478">
        <f>huishoudens!F8</f>
        <v>6842.6528866111048</v>
      </c>
      <c r="G4" s="478">
        <f>huishoudens!G8</f>
        <v>0</v>
      </c>
      <c r="H4" s="478">
        <f>huishoudens!H8</f>
        <v>0</v>
      </c>
      <c r="I4" s="478">
        <f>huishoudens!I8</f>
        <v>0</v>
      </c>
      <c r="J4" s="478">
        <f>huishoudens!J8</f>
        <v>0</v>
      </c>
      <c r="K4" s="478">
        <f>huishoudens!K8</f>
        <v>0</v>
      </c>
      <c r="L4" s="478">
        <f>huishoudens!L8</f>
        <v>0</v>
      </c>
      <c r="M4" s="478">
        <f>huishoudens!M8</f>
        <v>0</v>
      </c>
      <c r="N4" s="478">
        <f>huishoudens!N8</f>
        <v>10347.286661522958</v>
      </c>
      <c r="O4" s="478">
        <f>huishoudens!O8</f>
        <v>331.32102263763431</v>
      </c>
      <c r="P4" s="479">
        <f>huishoudens!P8</f>
        <v>589.90172123036132</v>
      </c>
      <c r="Q4" s="480">
        <f>SUM(B4:P4)</f>
        <v>150428.18759656671</v>
      </c>
    </row>
    <row r="5" spans="1:17">
      <c r="A5" s="477" t="s">
        <v>155</v>
      </c>
      <c r="B5" s="478">
        <f ca="1">tertiair!B16</f>
        <v>28039.296516999999</v>
      </c>
      <c r="C5" s="478">
        <f ca="1">tertiair!C16</f>
        <v>3381.4285714285716</v>
      </c>
      <c r="D5" s="478">
        <f ca="1">tertiair!D16</f>
        <v>41227.171374034857</v>
      </c>
      <c r="E5" s="478">
        <f>tertiair!E16</f>
        <v>340.51076972930082</v>
      </c>
      <c r="F5" s="478">
        <f ca="1">tertiair!F16</f>
        <v>2940.4460027413643</v>
      </c>
      <c r="G5" s="478">
        <f>tertiair!G16</f>
        <v>0</v>
      </c>
      <c r="H5" s="478">
        <f>tertiair!H16</f>
        <v>0</v>
      </c>
      <c r="I5" s="478">
        <f>tertiair!I16</f>
        <v>0</v>
      </c>
      <c r="J5" s="478">
        <f>tertiair!J16</f>
        <v>3.3070457448706229E-2</v>
      </c>
      <c r="K5" s="478">
        <f>tertiair!K16</f>
        <v>0</v>
      </c>
      <c r="L5" s="478">
        <f ca="1">tertiair!L16</f>
        <v>0</v>
      </c>
      <c r="M5" s="478">
        <f>tertiair!M16</f>
        <v>0</v>
      </c>
      <c r="N5" s="478">
        <f ca="1">tertiair!N16</f>
        <v>1310.0942316128935</v>
      </c>
      <c r="O5" s="478">
        <f>tertiair!O16</f>
        <v>9.7945215316823084</v>
      </c>
      <c r="P5" s="479">
        <f>tertiair!P16</f>
        <v>52.539138306495019</v>
      </c>
      <c r="Q5" s="477">
        <f t="shared" ref="Q5:Q14" ca="1" si="0">SUM(B5:P5)</f>
        <v>77301.314196842606</v>
      </c>
    </row>
    <row r="6" spans="1:17">
      <c r="A6" s="477" t="s">
        <v>193</v>
      </c>
      <c r="B6" s="478">
        <f>'openbare verlichting'!B8</f>
        <v>1376.451</v>
      </c>
      <c r="C6" s="478"/>
      <c r="D6" s="478"/>
      <c r="E6" s="478"/>
      <c r="F6" s="478"/>
      <c r="G6" s="478"/>
      <c r="H6" s="478"/>
      <c r="I6" s="478"/>
      <c r="J6" s="478"/>
      <c r="K6" s="478"/>
      <c r="L6" s="478"/>
      <c r="M6" s="478"/>
      <c r="N6" s="478"/>
      <c r="O6" s="478"/>
      <c r="P6" s="479"/>
      <c r="Q6" s="477">
        <f t="shared" si="0"/>
        <v>1376.451</v>
      </c>
    </row>
    <row r="7" spans="1:17">
      <c r="A7" s="477" t="s">
        <v>111</v>
      </c>
      <c r="B7" s="478">
        <f>landbouw!B8</f>
        <v>283.46404000000001</v>
      </c>
      <c r="C7" s="478">
        <f>landbouw!C8</f>
        <v>0</v>
      </c>
      <c r="D7" s="478">
        <f>landbouw!D8</f>
        <v>305.786872974</v>
      </c>
      <c r="E7" s="478">
        <f>landbouw!E8</f>
        <v>8.8468192134914094</v>
      </c>
      <c r="F7" s="478">
        <f>landbouw!F8</f>
        <v>1001.7933186592699</v>
      </c>
      <c r="G7" s="478">
        <f>landbouw!G8</f>
        <v>0</v>
      </c>
      <c r="H7" s="478">
        <f>landbouw!H8</f>
        <v>0</v>
      </c>
      <c r="I7" s="478">
        <f>landbouw!I8</f>
        <v>0</v>
      </c>
      <c r="J7" s="478">
        <f>landbouw!J8</f>
        <v>78.096308825889196</v>
      </c>
      <c r="K7" s="478">
        <f>landbouw!K8</f>
        <v>0</v>
      </c>
      <c r="L7" s="478">
        <f>landbouw!L8</f>
        <v>0</v>
      </c>
      <c r="M7" s="478">
        <f>landbouw!M8</f>
        <v>0</v>
      </c>
      <c r="N7" s="478">
        <f>landbouw!N8</f>
        <v>0</v>
      </c>
      <c r="O7" s="478">
        <f>landbouw!O8</f>
        <v>0</v>
      </c>
      <c r="P7" s="479">
        <f>landbouw!P8</f>
        <v>0</v>
      </c>
      <c r="Q7" s="477">
        <f t="shared" si="0"/>
        <v>1677.9873596726502</v>
      </c>
    </row>
    <row r="8" spans="1:17">
      <c r="A8" s="477" t="s">
        <v>629</v>
      </c>
      <c r="B8" s="478">
        <f>industrie!B18</f>
        <v>2048.0582129999998</v>
      </c>
      <c r="C8" s="478">
        <f>industrie!C18</f>
        <v>0</v>
      </c>
      <c r="D8" s="478">
        <f>industrie!D18</f>
        <v>1783.8391887360001</v>
      </c>
      <c r="E8" s="478">
        <f>industrie!E18</f>
        <v>284.55543439348958</v>
      </c>
      <c r="F8" s="478">
        <f>industrie!F18</f>
        <v>899.33173092746415</v>
      </c>
      <c r="G8" s="478">
        <f>industrie!G18</f>
        <v>0</v>
      </c>
      <c r="H8" s="478">
        <f>industrie!H18</f>
        <v>0</v>
      </c>
      <c r="I8" s="478">
        <f>industrie!I18</f>
        <v>0</v>
      </c>
      <c r="J8" s="478">
        <f>industrie!J18</f>
        <v>6.2779203797785978</v>
      </c>
      <c r="K8" s="478">
        <f>industrie!K18</f>
        <v>0</v>
      </c>
      <c r="L8" s="478">
        <f>industrie!L18</f>
        <v>0</v>
      </c>
      <c r="M8" s="478">
        <f>industrie!M18</f>
        <v>0</v>
      </c>
      <c r="N8" s="478">
        <f>industrie!N18</f>
        <v>115.01255232997454</v>
      </c>
      <c r="O8" s="478">
        <f>industrie!O18</f>
        <v>0</v>
      </c>
      <c r="P8" s="479">
        <f>industrie!P18</f>
        <v>0</v>
      </c>
      <c r="Q8" s="477">
        <f t="shared" si="0"/>
        <v>5137.0750397667061</v>
      </c>
    </row>
    <row r="9" spans="1:17" s="483" customFormat="1">
      <c r="A9" s="481" t="s">
        <v>555</v>
      </c>
      <c r="B9" s="482">
        <f>transport!B14</f>
        <v>145.6580950138889</v>
      </c>
      <c r="C9" s="482">
        <f>transport!C14</f>
        <v>0</v>
      </c>
      <c r="D9" s="482">
        <f>transport!D14</f>
        <v>598.68439246102662</v>
      </c>
      <c r="E9" s="482">
        <f>transport!E14</f>
        <v>531.74277400295136</v>
      </c>
      <c r="F9" s="482">
        <f>transport!F14</f>
        <v>0</v>
      </c>
      <c r="G9" s="482">
        <f>transport!G14</f>
        <v>180764.17793598538</v>
      </c>
      <c r="H9" s="482">
        <f>transport!H14</f>
        <v>45744.152842630567</v>
      </c>
      <c r="I9" s="482">
        <f>transport!I14</f>
        <v>0</v>
      </c>
      <c r="J9" s="482">
        <f>transport!J14</f>
        <v>0</v>
      </c>
      <c r="K9" s="482">
        <f>transport!K14</f>
        <v>0</v>
      </c>
      <c r="L9" s="482">
        <f>transport!L14</f>
        <v>0</v>
      </c>
      <c r="M9" s="482">
        <f>transport!M14</f>
        <v>13429.721550907054</v>
      </c>
      <c r="N9" s="482">
        <f>transport!N14</f>
        <v>0</v>
      </c>
      <c r="O9" s="482">
        <f>transport!O14</f>
        <v>0</v>
      </c>
      <c r="P9" s="482">
        <f>transport!P14</f>
        <v>0</v>
      </c>
      <c r="Q9" s="481">
        <f>SUM(B9:P9)</f>
        <v>241214.13759100088</v>
      </c>
    </row>
    <row r="10" spans="1:17">
      <c r="A10" s="477" t="s">
        <v>545</v>
      </c>
      <c r="B10" s="478">
        <f>transport!B54</f>
        <v>0</v>
      </c>
      <c r="C10" s="478">
        <f>transport!C54</f>
        <v>0</v>
      </c>
      <c r="D10" s="478">
        <f>transport!D54</f>
        <v>0</v>
      </c>
      <c r="E10" s="478">
        <f>transport!E54</f>
        <v>0</v>
      </c>
      <c r="F10" s="478">
        <f>transport!F54</f>
        <v>0</v>
      </c>
      <c r="G10" s="478">
        <f>transport!G54</f>
        <v>3847.7305520454897</v>
      </c>
      <c r="H10" s="478">
        <f>transport!H54</f>
        <v>0</v>
      </c>
      <c r="I10" s="478">
        <f>transport!I54</f>
        <v>0</v>
      </c>
      <c r="J10" s="478">
        <f>transport!J54</f>
        <v>0</v>
      </c>
      <c r="K10" s="478">
        <f>transport!K54</f>
        <v>0</v>
      </c>
      <c r="L10" s="478">
        <f>transport!L54</f>
        <v>0</v>
      </c>
      <c r="M10" s="478">
        <f>transport!M54</f>
        <v>213.85728981068652</v>
      </c>
      <c r="N10" s="478">
        <f>transport!N54</f>
        <v>0</v>
      </c>
      <c r="O10" s="478">
        <f>transport!O54</f>
        <v>0</v>
      </c>
      <c r="P10" s="479">
        <f>transport!P54</f>
        <v>0</v>
      </c>
      <c r="Q10" s="477">
        <f t="shared" si="0"/>
        <v>4061.5878418561761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837.29681499999992</v>
      </c>
      <c r="C14" s="485"/>
      <c r="D14" s="485">
        <f>'SEAP template'!E25</f>
        <v>2457.4257929999999</v>
      </c>
      <c r="E14" s="485"/>
      <c r="F14" s="485"/>
      <c r="G14" s="485"/>
      <c r="H14" s="485"/>
      <c r="I14" s="485"/>
      <c r="J14" s="485"/>
      <c r="K14" s="485"/>
      <c r="L14" s="485"/>
      <c r="M14" s="485"/>
      <c r="N14" s="485"/>
      <c r="O14" s="485"/>
      <c r="P14" s="486"/>
      <c r="Q14" s="477">
        <f t="shared" si="0"/>
        <v>3294.722608</v>
      </c>
    </row>
    <row r="15" spans="1:17" s="489" customFormat="1">
      <c r="A15" s="487" t="s">
        <v>549</v>
      </c>
      <c r="B15" s="488">
        <f ca="1">SUM(B4:B14)</f>
        <v>66555.219146448726</v>
      </c>
      <c r="C15" s="488">
        <f t="shared" ref="C15:Q15" ca="1" si="1">SUM(C4:C14)</f>
        <v>3381.4285714285716</v>
      </c>
      <c r="D15" s="488">
        <f t="shared" ca="1" si="1"/>
        <v>135522.3776083659</v>
      </c>
      <c r="E15" s="488">
        <f t="shared" si="1"/>
        <v>10508.216648309042</v>
      </c>
      <c r="F15" s="488">
        <f t="shared" ca="1" si="1"/>
        <v>11684.223938939203</v>
      </c>
      <c r="G15" s="488">
        <f t="shared" si="1"/>
        <v>184611.90848803087</v>
      </c>
      <c r="H15" s="488">
        <f t="shared" si="1"/>
        <v>45744.152842630567</v>
      </c>
      <c r="I15" s="488">
        <f t="shared" si="1"/>
        <v>0</v>
      </c>
      <c r="J15" s="488">
        <f t="shared" si="1"/>
        <v>84.40729966311649</v>
      </c>
      <c r="K15" s="488">
        <f t="shared" si="1"/>
        <v>0</v>
      </c>
      <c r="L15" s="488">
        <f t="shared" ca="1" si="1"/>
        <v>0</v>
      </c>
      <c r="M15" s="488">
        <f t="shared" si="1"/>
        <v>13643.578840717741</v>
      </c>
      <c r="N15" s="488">
        <f t="shared" ca="1" si="1"/>
        <v>11772.393445465825</v>
      </c>
      <c r="O15" s="488">
        <f t="shared" si="1"/>
        <v>341.11554416931665</v>
      </c>
      <c r="P15" s="488">
        <f t="shared" si="1"/>
        <v>642.44085953685635</v>
      </c>
      <c r="Q15" s="488">
        <f t="shared" ca="1" si="1"/>
        <v>484491.46323370567</v>
      </c>
    </row>
    <row r="17" spans="1:17">
      <c r="A17" s="490" t="s">
        <v>550</v>
      </c>
      <c r="B17" s="807">
        <f ca="1">huishoudens!B10</f>
        <v>0.20614216833873852</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6972.7577033567095</v>
      </c>
      <c r="C22" s="478">
        <f t="shared" ref="C22:C32" ca="1" si="3">C4*$C$17</f>
        <v>0</v>
      </c>
      <c r="D22" s="478">
        <f t="shared" ref="D22:D32" si="4">D4*$D$17</f>
        <v>18008.192937406322</v>
      </c>
      <c r="E22" s="478">
        <f t="shared" ref="E22:E32" si="5">E4*$E$17</f>
        <v>2120.7613131701469</v>
      </c>
      <c r="F22" s="478">
        <f t="shared" ref="F22:F32" si="6">F4*$F$17</f>
        <v>1826.9883207251651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28928.700274658346</v>
      </c>
    </row>
    <row r="23" spans="1:17">
      <c r="A23" s="477" t="s">
        <v>155</v>
      </c>
      <c r="B23" s="478">
        <f t="shared" ca="1" si="2"/>
        <v>5780.0813827072188</v>
      </c>
      <c r="C23" s="478">
        <f t="shared" ca="1" si="3"/>
        <v>803.5865546218489</v>
      </c>
      <c r="D23" s="478">
        <f t="shared" ca="1" si="4"/>
        <v>8327.8886175550415</v>
      </c>
      <c r="E23" s="478">
        <f t="shared" si="5"/>
        <v>77.295944728551291</v>
      </c>
      <c r="F23" s="478">
        <f t="shared" ca="1" si="6"/>
        <v>785.09908273194435</v>
      </c>
      <c r="G23" s="478">
        <f t="shared" si="7"/>
        <v>0</v>
      </c>
      <c r="H23" s="478">
        <f t="shared" si="8"/>
        <v>0</v>
      </c>
      <c r="I23" s="478">
        <f t="shared" si="9"/>
        <v>0</v>
      </c>
      <c r="J23" s="478">
        <f t="shared" si="10"/>
        <v>1.1706941936842005E-2</v>
      </c>
      <c r="K23" s="478">
        <f t="shared" si="11"/>
        <v>0</v>
      </c>
      <c r="L23" s="478">
        <f t="shared" ca="1" si="12"/>
        <v>0</v>
      </c>
      <c r="M23" s="478">
        <f t="shared" si="13"/>
        <v>0</v>
      </c>
      <c r="N23" s="478">
        <f t="shared" ca="1" si="14"/>
        <v>0</v>
      </c>
      <c r="O23" s="478">
        <f t="shared" si="15"/>
        <v>0</v>
      </c>
      <c r="P23" s="479">
        <f t="shared" si="16"/>
        <v>0</v>
      </c>
      <c r="Q23" s="477">
        <f t="shared" ref="Q23:Q31" ca="1" si="17">SUM(B23:P23)</f>
        <v>15773.963289286543</v>
      </c>
    </row>
    <row r="24" spans="1:17">
      <c r="A24" s="477" t="s">
        <v>193</v>
      </c>
      <c r="B24" s="478">
        <f t="shared" ca="1" si="2"/>
        <v>283.74459375202497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283.74459375202497</v>
      </c>
    </row>
    <row r="25" spans="1:17">
      <c r="A25" s="477" t="s">
        <v>111</v>
      </c>
      <c r="B25" s="478">
        <f t="shared" ca="1" si="2"/>
        <v>58.433891851658913</v>
      </c>
      <c r="C25" s="478">
        <f t="shared" ca="1" si="3"/>
        <v>0</v>
      </c>
      <c r="D25" s="478">
        <f t="shared" si="4"/>
        <v>61.768948340748004</v>
      </c>
      <c r="E25" s="478">
        <f t="shared" si="5"/>
        <v>2.0082279614625502</v>
      </c>
      <c r="F25" s="478">
        <f t="shared" si="6"/>
        <v>267.47881608202505</v>
      </c>
      <c r="G25" s="478">
        <f t="shared" si="7"/>
        <v>0</v>
      </c>
      <c r="H25" s="478">
        <f t="shared" si="8"/>
        <v>0</v>
      </c>
      <c r="I25" s="478">
        <f t="shared" si="9"/>
        <v>0</v>
      </c>
      <c r="J25" s="478">
        <f t="shared" si="10"/>
        <v>27.646093324364774</v>
      </c>
      <c r="K25" s="478">
        <f t="shared" si="11"/>
        <v>0</v>
      </c>
      <c r="L25" s="478">
        <f t="shared" si="12"/>
        <v>0</v>
      </c>
      <c r="M25" s="478">
        <f t="shared" si="13"/>
        <v>0</v>
      </c>
      <c r="N25" s="478">
        <f t="shared" si="14"/>
        <v>0</v>
      </c>
      <c r="O25" s="478">
        <f t="shared" si="15"/>
        <v>0</v>
      </c>
      <c r="P25" s="479">
        <f t="shared" si="16"/>
        <v>0</v>
      </c>
      <c r="Q25" s="477">
        <f t="shared" ca="1" si="17"/>
        <v>417.33597756025927</v>
      </c>
    </row>
    <row r="26" spans="1:17">
      <c r="A26" s="477" t="s">
        <v>629</v>
      </c>
      <c r="B26" s="478">
        <f t="shared" ca="1" si="2"/>
        <v>422.19116091178194</v>
      </c>
      <c r="C26" s="478">
        <f t="shared" ca="1" si="3"/>
        <v>0</v>
      </c>
      <c r="D26" s="478">
        <f t="shared" si="4"/>
        <v>360.33551612467204</v>
      </c>
      <c r="E26" s="478">
        <f t="shared" si="5"/>
        <v>64.594083607322133</v>
      </c>
      <c r="F26" s="478">
        <f t="shared" si="6"/>
        <v>240.12157215763295</v>
      </c>
      <c r="G26" s="478">
        <f t="shared" si="7"/>
        <v>0</v>
      </c>
      <c r="H26" s="478">
        <f t="shared" si="8"/>
        <v>0</v>
      </c>
      <c r="I26" s="478">
        <f t="shared" si="9"/>
        <v>0</v>
      </c>
      <c r="J26" s="478">
        <f t="shared" si="10"/>
        <v>2.2223838144416237</v>
      </c>
      <c r="K26" s="478">
        <f t="shared" si="11"/>
        <v>0</v>
      </c>
      <c r="L26" s="478">
        <f t="shared" si="12"/>
        <v>0</v>
      </c>
      <c r="M26" s="478">
        <f t="shared" si="13"/>
        <v>0</v>
      </c>
      <c r="N26" s="478">
        <f t="shared" si="14"/>
        <v>0</v>
      </c>
      <c r="O26" s="478">
        <f t="shared" si="15"/>
        <v>0</v>
      </c>
      <c r="P26" s="479">
        <f t="shared" si="16"/>
        <v>0</v>
      </c>
      <c r="Q26" s="477">
        <f t="shared" ca="1" si="17"/>
        <v>1089.4647166158506</v>
      </c>
    </row>
    <row r="27" spans="1:17" s="483" customFormat="1">
      <c r="A27" s="481" t="s">
        <v>555</v>
      </c>
      <c r="B27" s="801">
        <f t="shared" ca="1" si="2"/>
        <v>30.026275542253057</v>
      </c>
      <c r="C27" s="482">
        <f t="shared" ca="1" si="3"/>
        <v>0</v>
      </c>
      <c r="D27" s="482">
        <f t="shared" si="4"/>
        <v>120.93424727712738</v>
      </c>
      <c r="E27" s="482">
        <f t="shared" si="5"/>
        <v>120.70560969866996</v>
      </c>
      <c r="F27" s="482">
        <f t="shared" si="6"/>
        <v>0</v>
      </c>
      <c r="G27" s="482">
        <f t="shared" si="7"/>
        <v>48264.035508908099</v>
      </c>
      <c r="H27" s="482">
        <f t="shared" si="8"/>
        <v>11390.294057815012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59925.995699241161</v>
      </c>
    </row>
    <row r="28" spans="1:17" ht="16.5" customHeight="1">
      <c r="A28" s="477" t="s">
        <v>545</v>
      </c>
      <c r="B28" s="478">
        <f t="shared" ca="1" si="2"/>
        <v>0</v>
      </c>
      <c r="C28" s="478">
        <f t="shared" ca="1" si="3"/>
        <v>0</v>
      </c>
      <c r="D28" s="478">
        <f t="shared" si="4"/>
        <v>0</v>
      </c>
      <c r="E28" s="478">
        <f t="shared" si="5"/>
        <v>0</v>
      </c>
      <c r="F28" s="478">
        <f t="shared" si="6"/>
        <v>0</v>
      </c>
      <c r="G28" s="478">
        <f t="shared" si="7"/>
        <v>1027.3440573961459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1027.3440573961459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172.60218098721958</v>
      </c>
      <c r="C32" s="478">
        <f t="shared" ca="1" si="3"/>
        <v>0</v>
      </c>
      <c r="D32" s="478">
        <f t="shared" si="4"/>
        <v>496.40001018600003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669.00219117321967</v>
      </c>
    </row>
    <row r="33" spans="1:17" s="489" customFormat="1">
      <c r="A33" s="487" t="s">
        <v>549</v>
      </c>
      <c r="B33" s="488">
        <f ca="1">SUM(B22:B32)</f>
        <v>13719.837189108866</v>
      </c>
      <c r="C33" s="488">
        <f t="shared" ref="C33:Q33" ca="1" si="19">SUM(C22:C32)</f>
        <v>803.5865546218489</v>
      </c>
      <c r="D33" s="488">
        <f t="shared" ca="1" si="19"/>
        <v>27375.520276889911</v>
      </c>
      <c r="E33" s="488">
        <f t="shared" si="19"/>
        <v>2385.3651791661528</v>
      </c>
      <c r="F33" s="488">
        <f t="shared" ca="1" si="19"/>
        <v>3119.6877916967669</v>
      </c>
      <c r="G33" s="488">
        <f t="shared" si="19"/>
        <v>49291.379566304247</v>
      </c>
      <c r="H33" s="488">
        <f t="shared" si="19"/>
        <v>11390.294057815012</v>
      </c>
      <c r="I33" s="488">
        <f t="shared" si="19"/>
        <v>0</v>
      </c>
      <c r="J33" s="488">
        <f t="shared" si="19"/>
        <v>29.880184080743241</v>
      </c>
      <c r="K33" s="488">
        <f t="shared" si="19"/>
        <v>0</v>
      </c>
      <c r="L33" s="488">
        <f t="shared" ca="1" si="19"/>
        <v>0</v>
      </c>
      <c r="M33" s="488">
        <f t="shared" si="19"/>
        <v>0</v>
      </c>
      <c r="N33" s="488">
        <f t="shared" ca="1" si="19"/>
        <v>0</v>
      </c>
      <c r="O33" s="488">
        <f t="shared" si="19"/>
        <v>0</v>
      </c>
      <c r="P33" s="488">
        <f t="shared" si="19"/>
        <v>0</v>
      </c>
      <c r="Q33" s="488">
        <f t="shared" ca="1" si="19"/>
        <v>108115.55079968354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4652.8046628579013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2367</v>
      </c>
      <c r="D8" s="1062">
        <f>'SEAP template'!D76</f>
        <v>2784.705882352941</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562.51058823529411</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4652.8046628579013</v>
      </c>
      <c r="C10" s="1064">
        <f>SUM(C4:C9)</f>
        <v>2367</v>
      </c>
      <c r="D10" s="1064">
        <f t="shared" ref="D10:H10" si="0">SUM(D8:D9)</f>
        <v>2784.705882352941</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562.51058823529411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0.20614216833873852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3381.4285714285716</v>
      </c>
      <c r="D17" s="1063">
        <f>'SEAP template'!D87</f>
        <v>3978.1512605042021</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803.5865546218489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3381.4285714285716</v>
      </c>
      <c r="D20" s="1064">
        <f t="shared" ref="D20:H20" si="2">SUM(D17:D19)</f>
        <v>3978.1512605042021</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803.5865546218489</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0.20614216833873852</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2019-08-12T08:39:16Z</dcterms:modified>
</cp:coreProperties>
</file>