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E20"/>
  <c r="B13" i="15"/>
  <c r="F6" i="17"/>
  <c r="F8" s="1"/>
  <c r="G24" i="14" s="1"/>
  <c r="G26" s="1"/>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I15" i="48"/>
  <c r="I33"/>
  <c r="J16" i="14"/>
  <c r="J27" s="1"/>
  <c r="I20" i="15"/>
  <c r="J40" i="14" s="1"/>
  <c r="J46" s="1"/>
  <c r="J61" s="1"/>
  <c r="K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5"/>
  <c r="J23" s="1"/>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20" i="15"/>
  <c r="K40" i="14" s="1"/>
  <c r="E16"/>
  <c r="E27" s="1"/>
  <c r="I90"/>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<sst xmlns="http://schemas.openxmlformats.org/spreadsheetml/2006/main" count="2384" uniqueCount="886">
  <si>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</si>
  <si>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</si>
  <si>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</si>
  <si>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</si>
  <si>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</si>
  <si>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</si>
  <si>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</si>
  <si>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</si>
  <si>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</si>
  <si>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</si>
  <si>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</si>
  <si>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</si>
  <si>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</si>
  <si>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</si>
  <si>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</si>
  <si>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</si>
  <si>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</si>
  <si>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</si>
  <si>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</si>
  <si>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</si>
  <si>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</si>
  <si>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</si>
  <si>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</si>
  <si>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</si>
  <si>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</si>
  <si>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</si>
  <si>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</si>
  <si>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</si>
  <si>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</si>
  <si>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</si>
  <si>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</si>
  <si>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</si>
  <si>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</si>
  <si>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</si>
  <si>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</si>
  <si>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</si>
  <si>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</si>
  <si>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</si>
  <si>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</si>
  <si>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</si>
  <si>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</si>
  <si>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</si>
  <si>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</si>
  <si>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</si>
  <si>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</si>
  <si>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</si>
  <si>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</si>
  <si>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</si>
  <si>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</si>
  <si>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</si>
  <si>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</si>
  <si>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</si>
  <si>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</si>
  <si>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</si>
  <si>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</si>
  <si>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</si>
  <si>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</si>
  <si>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</si>
  <si>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</si>
  <si>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</si>
  <si>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</si>
  <si>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</si>
  <si>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</si>
  <si>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</si>
  <si>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</si>
  <si>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</si>
  <si>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</si>
  <si>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</si>
  <si>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</si>
  <si>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</si>
  <si>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</si>
  <si>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</si>
  <si>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</si>
  <si>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</si>
  <si>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</si>
  <si>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</si>
  <si>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</si>
  <si>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</si>
  <si>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</si>
  <si>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</si>
  <si>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</si>
  <si>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</si>
  <si>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</si>
  <si>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</si>
  <si>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</si>
  <si>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</si>
  <si>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</si>
  <si>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</si>
  <si>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</si>
  <si>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</si>
  <si>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</si>
  <si>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</si>
  <si>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</si>
  <si>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</si>
  <si>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</si>
  <si>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</si>
  <si>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</si>
  <si>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</si>
  <si>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</si>
  <si>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</si>
  <si>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</si>
  <si>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</si>
  <si>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</si>
  <si>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</si>
  <si>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</si>
  <si>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</si>
  <si>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</si>
  <si>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</si>
  <si>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</si>
  <si>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</si>
  <si>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</si>
  <si>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</si>
  <si>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</si>
  <si>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</si>
  <si>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</si>
  <si>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</si>
  <si>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</si>
  <si>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</si>
  <si>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</si>
  <si>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</si>
  <si>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</si>
  <si>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</si>
  <si>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</si>
  <si>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</si>
  <si>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</si>
  <si>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</si>
  <si>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</si>
  <si>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</si>
  <si>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</si>
  <si>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</si>
  <si>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</si>
  <si>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</si>
  <si>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</si>
  <si>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</si>
  <si>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</si>
  <si>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</si>
  <si>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</si>
  <si>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</si>
  <si>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</si>
  <si>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</si>
  <si>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</si>
  <si>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</si>
  <si>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</si>
  <si>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</si>
  <si>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</si>
  <si>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</si>
  <si>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</si>
  <si>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</si>
  <si>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</si>
  <si>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</si>
  <si>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</si>
  <si>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</si>
  <si>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</si>
  <si>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</si>
  <si>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</si>
  <si>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</si>
  <si>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</si>
  <si>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</si>
  <si>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</si>
  <si>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</si>
  <si>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</si>
  <si>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</si>
  <si>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</si>
  <si>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</si>
  <si>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</si>
  <si>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</si>
  <si>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</si>
  <si>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</si>
  <si>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</si>
  <si>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</si>
  <si>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</si>
  <si>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</si>
  <si>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</si>
  <si>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</si>
  <si>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</si>
  <si>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</si>
  <si>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</si>
  <si>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</si>
  <si>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</si>
  <si>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</si>
  <si>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</si>
  <si>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</si>
  <si>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</si>
  <si>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</si>
  <si>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</si>
  <si>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</si>
  <si>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</si>
  <si>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</si>
  <si>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</si>
  <si>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</si>
  <si>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</si>
  <si>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</si>
  <si>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</si>
  <si>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</si>
  <si>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</si>
  <si>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</si>
  <si>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</si>
  <si>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</si>
  <si>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</si>
  <si>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</si>
  <si>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</si>
  <si>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</si>
  <si>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</si>
  <si>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</si>
  <si>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</si>
  <si>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</si>
  <si>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</si>
  <si>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</si>
  <si>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</si>
  <si>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</si>
  <si>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</si>
  <si>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</si>
  <si>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</si>
  <si>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</si>
  <si>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</si>
  <si>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</si>
  <si>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</si>
  <si>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</si>
  <si>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</si>
  <si>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</si>
  <si>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</si>
  <si>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</si>
  <si>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</si>
  <si>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</si>
  <si>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</si>
  <si>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</si>
  <si>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</si>
  <si>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</si>
  <si>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</si>
  <si>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</si>
  <si>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</si>
  <si>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</si>
  <si>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</si>
  <si>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</si>
  <si>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</si>
  <si>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</si>
  <si>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</si>
  <si>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</si>
  <si>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</si>
  <si>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</si>
  <si>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</si>
  <si>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</si>
  <si>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</si>
  <si>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</si>
  <si>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</si>
  <si>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</si>
  <si>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</si>
  <si>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</si>
  <si>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</si>
  <si>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</si>
  <si>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</si>
  <si>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</si>
  <si>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</si>
  <si>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</si>
  <si>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</si>
  <si>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</si>
  <si>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</si>
  <si>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</si>
  <si>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</si>
  <si>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</si>
  <si>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</si>
  <si>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</si>
  <si>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</si>
  <si>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</si>
  <si>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</si>
  <si>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</si>
  <si>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</si>
  <si>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</si>
  <si>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</si>
  <si>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</si>
  <si>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</si>
  <si>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</si>
  <si>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</si>
  <si>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</si>
  <si>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</si>
  <si>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</si>
  <si>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</si>
  <si>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</si>
  <si>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</si>
  <si>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</si>
  <si>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</si>
  <si>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</si>
  <si>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</si>
  <si>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</si>
  <si>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</si>
  <si>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</si>
  <si>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</si>
  <si>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</si>
  <si>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</si>
  <si>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</si>
  <si>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</si>
  <si>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</si>
  <si>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</si>
  <si>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</si>
  <si>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</si>
  <si>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</si>
  <si>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</si>
  <si>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</si>
  <si>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</si>
  <si>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</si>
  <si>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</si>
  <si>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</si>
  <si>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</si>
  <si>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</si>
  <si>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</si>
  <si>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</si>
  <si>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</si>
  <si>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</si>
  <si>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</si>
  <si>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</si>
  <si>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</si>
  <si>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</si>
  <si>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</si>
  <si>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</si>
  <si>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</si>
  <si>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</si>
  <si>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</si>
  <si>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</si>
  <si>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</si>
  <si>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</si>
  <si>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</si>
  <si>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</si>
  <si>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</si>
  <si>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</si>
  <si>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</si>
  <si>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</si>
  <si>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</si>
  <si>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</si>
  <si>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</si>
  <si>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</si>
  <si>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</si>
  <si>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</si>
  <si>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</si>
  <si>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</si>
  <si>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</si>
  <si>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</si>
  <si>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</si>
  <si>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</si>
  <si>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</si>
  <si>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</si>
  <si>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</si>
  <si>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</si>
  <si>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</si>
  <si>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</si>
  <si>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</si>
  <si>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</si>
  <si>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</si>
  <si>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</si>
  <si>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</si>
  <si>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</si>
  <si>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</si>
  <si>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</si>
  <si>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</si>
  <si>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</si>
  <si>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</si>
  <si>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</si>
  <si>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</si>
  <si>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</si>
  <si>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</si>
  <si>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</si>
  <si>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</si>
  <si>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</si>
  <si>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</si>
  <si>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</si>
  <si>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</si>
  <si>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</si>
  <si>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</si>
  <si>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</si>
  <si>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</si>
  <si>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</si>
  <si>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</si>
  <si>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</si>
  <si>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</si>
  <si>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</si>
  <si>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</si>
  <si>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</si>
  <si>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</si>
  <si>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</si>
  <si>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</si>
  <si>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</si>
  <si>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</si>
  <si>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</si>
  <si>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</si>
  <si>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</si>
  <si>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</si>
  <si>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</si>
  <si>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</si>
  <si>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</si>
  <si>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</si>
  <si>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</si>
  <si>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</si>
  <si>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</si>
  <si>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</si>
  <si>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</si>
  <si>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</si>
  <si>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</si>
  <si>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</si>
  <si>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</si>
  <si>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</si>
  <si>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</si>
  <si>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</si>
  <si>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</si>
  <si>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</si>
  <si>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</si>
  <si>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</si>
  <si>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</si>
  <si>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</si>
  <si>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</si>
  <si>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</si>
  <si>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</si>
  <si>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</si>
  <si>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</si>
  <si>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</si>
  <si>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</si>
  <si>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</si>
  <si>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</si>
  <si>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</si>
  <si>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</si>
  <si>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</si>
  <si>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</si>
  <si>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</si>
  <si>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</si>
  <si>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</si>
  <si>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</si>
  <si>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</si>
  <si>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</si>
  <si>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</si>
  <si>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</si>
  <si>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</si>
  <si>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</si>
  <si>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</si>
  <si>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</si>
  <si>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</si>
  <si>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</si>
  <si>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</si>
  <si>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</si>
  <si>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</si>
  <si>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</si>
  <si>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</si>
  <si>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</si>
  <si>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</si>
  <si>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</si>
  <si>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</si>
  <si>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</si>
  <si>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</si>
  <si>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</si>
  <si>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</si>
  <si>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</si>
  <si>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</si>
  <si>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</si>
  <si>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</si>
  <si>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</si>
  <si>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</si>
  <si>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</si>
  <si>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</si>
  <si>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</si>
  <si>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</si>
  <si>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</si>
  <si>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</si>
  <si>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</si>
  <si>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</si>
  <si>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</si>
  <si>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</si>
  <si>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</si>
  <si>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</si>
  <si>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</si>
  <si>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</si>
  <si>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</si>
  <si>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</si>
  <si>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</si>
  <si>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</si>
  <si>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</si>
  <si>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</si>
  <si>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</si>
  <si>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</si>
  <si>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</si>
  <si>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</si>
  <si>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</si>
  <si>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</si>
  <si>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</si>
  <si>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</si>
  <si>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</si>
  <si>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</si>
  <si>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</si>
  <si>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</si>
  <si>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</si>
  <si>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</si>
  <si>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</si>
  <si>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</si>
  <si>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</si>
  <si>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</si>
  <si>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</si>
  <si>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</si>
  <si>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</si>
  <si>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</si>
  <si>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</si>
  <si>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</si>
  <si>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</si>
  <si>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</si>
  <si>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</si>
  <si>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</si>
  <si>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</si>
  <si>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</si>
  <si>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</si>
  <si>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</si>
  <si>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</si>
  <si>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</si>
  <si>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</si>
  <si>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</si>
  <si>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</si>
  <si>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</si>
  <si>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</si>
  <si>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</si>
  <si>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</si>
  <si>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</si>
  <si>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</si>
  <si>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</si>
  <si>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</si>
  <si>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</si>
  <si>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</si>
  <si>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</si>
  <si>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</si>
  <si>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</si>
  <si>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</si>
  <si>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</si>
  <si>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</si>
  <si>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</si>
  <si>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</si>
  <si>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</si>
  <si>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</si>
  <si>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</si>
  <si>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</si>
  <si>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</si>
  <si>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</si>
  <si>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</si>
  <si>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</si>
  <si>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</si>
  <si>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</si>
  <si>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</si>
  <si>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</si>
  <si>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</si>
  <si>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</si>
  <si>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</si>
  <si>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</si>
  <si>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</si>
  <si>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</si>
  <si>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</si>
  <si>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</si>
  <si>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</si>
  <si>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</si>
  <si>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</si>
  <si>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</si>
  <si>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</si>
  <si>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</si>
  <si>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</si>
  <si>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</si>
  <si>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</si>
  <si>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</si>
  <si>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</si>
  <si>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</si>
  <si>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</si>
  <si>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</si>
  <si>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</si>
  <si>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</si>
  <si>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</si>
  <si>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</si>
  <si>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</si>
  <si>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</si>
  <si>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</si>
  <si>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</si>
  <si>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</si>
  <si>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</si>
  <si>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</si>
  <si>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</si>
  <si>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</si>
  <si>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</si>
  <si>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</si>
  <si>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</si>
  <si>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</si>
  <si>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</si>
  <si>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</si>
  <si>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</si>
  <si>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</si>
  <si>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</si>
  <si>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</si>
  <si>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</si>
  <si>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</si>
  <si>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</si>
  <si>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</si>
  <si>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</si>
  <si>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</si>
  <si>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</si>
  <si>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</si>
  <si>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</si>
  <si>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</si>
  <si>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</si>
  <si>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</si>
  <si>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</si>
  <si>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</si>
  <si>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</si>
  <si>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</si>
  <si>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</si>
  <si>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</si>
  <si>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</si>
  <si>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</si>
  <si>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</si>
  <si>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</si>
  <si>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</si>
  <si>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</si>
  <si>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</si>
  <si>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</si>
  <si>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</si>
  <si>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</si>
  <si>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</si>
  <si>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</si>
  <si>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</si>
  <si>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</si>
  <si>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</si>
  <si>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</si>
  <si>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</si>
  <si>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</si>
  <si>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</si>
  <si>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</si>
  <si>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</si>
  <si>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</si>
  <si>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</si>
  <si>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</si>
  <si>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</si>
  <si>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</si>
  <si>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</si>
  <si>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</si>
  <si>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</si>
  <si>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</si>
  <si>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</si>
  <si>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</si>
  <si>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</si>
  <si>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</si>
  <si>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</si>
  <si>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</si>
  <si>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</si>
  <si>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</si>
  <si>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</si>
  <si>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</si>
  <si>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</si>
  <si>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</si>
  <si>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</si>
  <si>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</si>
  <si>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</si>
  <si>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</si>
  <si>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</si>
  <si>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</si>
  <si>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</si>
  <si>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</si>
  <si>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</si>
  <si>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</si>
  <si>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</si>
  <si>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</si>
  <si>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</si>
  <si>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</si>
  <si>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</si>
  <si>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</si>
  <si>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</si>
  <si>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</si>
  <si>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</si>
  <si>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</si>
  <si>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</si>
  <si>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</si>
  <si>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</si>
  <si>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</si>
  <si>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</si>
  <si>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</si>
  <si>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</si>
  <si>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</si>
  <si>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</si>
  <si>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</si>
  <si>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</si>
  <si>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</si>
  <si>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</si>
  <si>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</si>
  <si>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</si>
  <si>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</si>
  <si>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</si>
  <si>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</si>
  <si>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</si>
  <si>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</si>
  <si>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</si>
  <si>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</si>
  <si>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</si>
  <si>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</si>
  <si>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</si>
  <si>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</si>
  <si>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</si>
  <si>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</si>
  <si>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</si>
  <si>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</si>
  <si>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</si>
  <si>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</si>
  <si>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</si>
  <si>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</si>
  <si>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</si>
  <si>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</si>
  <si>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</si>
  <si>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</si>
  <si>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</si>
  <si>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</si>
  <si>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</si>
  <si>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</si>
  <si>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</si>
  <si>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</si>
  <si>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</si>
  <si>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</si>
  <si>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</si>
  <si>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</si>
  <si>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</si>
  <si>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</si>
  <si>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</si>
  <si>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</si>
  <si>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</si>
  <si>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</si>
  <si>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</si>
  <si>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</si>
  <si>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</si>
  <si>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</si>
  <si>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</si>
  <si>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</si>
  <si>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</si>
  <si>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</si>
  <si>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</si>
  <si>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</si>
  <si>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</si>
  <si>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</si>
  <si>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</si>
  <si>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</si>
  <si>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</si>
  <si>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</si>
  <si>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</si>
  <si>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</si>
  <si>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</si>
  <si>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</si>
  <si>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</si>
  <si>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</si>
  <si>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</si>
  <si>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</si>
  <si>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</si>
  <si>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</si>
  <si>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</si>
  <si>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</si>
  <si>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</si>
  <si>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</si>
  <si>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</si>
  <si>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</si>
  <si>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</si>
  <si>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</si>
  <si>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</si>
  <si>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</si>
  <si>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</si>
  <si>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</si>
  <si>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</si>
  <si>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</si>
  <si>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</si>
  <si>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</si>
  <si>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</si>
  <si>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</si>
  <si>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</si>
  <si>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</si>
  <si>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</si>
  <si>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</si>
  <si>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</si>
  <si>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</si>
  <si>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</si>
  <si>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</si>
  <si>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</si>
  <si>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</si>
  <si>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</si>
  <si>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</si>
  <si>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</si>
  <si>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</si>
  <si>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</si>
  <si>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</si>
  <si>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</si>
  <si>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</si>
  <si>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</si>
  <si>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</si>
  <si>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</si>
  <si>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</si>
  <si>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</si>
  <si>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</si>
  <si>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</si>
  <si>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</si>
  <si>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</si>
  <si>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</si>
  <si>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</si>
  <si>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</si>
  <si>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</si>
  <si>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</si>
  <si>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</si>
  <si>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</si>
  <si>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</si>
  <si>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</si>
  <si>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</si>
  <si>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</si>
  <si>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</si>
  <si>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</si>
  <si>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</si>
  <si>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</si>
  <si>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</si>
  <si>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</si>
  <si>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</si>
  <si>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</si>
  <si>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</si>
  <si>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</si>
  <si>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</si>
  <si>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</si>
  <si>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</si>
  <si>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</si>
  <si>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</si>
  <si>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</si>
  <si>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</si>
  <si>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</si>
  <si>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</si>
  <si>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</si>
  <si>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</si>
  <si>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</si>
  <si>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</si>
  <si>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</si>
  <si>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</si>
  <si>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</si>
  <si>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</si>
  <si>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</si>
  <si>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</si>
  <si>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</si>
  <si>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</si>
  <si>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</si>
  <si>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</si>
  <si>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</si>
  <si>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</si>
  <si>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</si>
  <si>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</si>
  <si>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</si>
  <si>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</si>
  <si>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</si>
  <si>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</si>
  <si>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</si>
  <si>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</si>
  <si>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</si>
  <si>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</si>
  <si>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</si>
  <si>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</si>
  <si>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</si>
  <si>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</si>
  <si>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</si>
  <si>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</si>
  <si>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</si>
  <si>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</si>
  <si>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</si>
  <si>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</si>
  <si>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</si>
  <si>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</si>
  <si>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</si>
  <si>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</si>
  <si>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</si>
  <si>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</si>
  <si>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</si>
  <si>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</si>
  <si>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</si>
  <si>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</si>
  <si>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</si>
  <si>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</si>
  <si>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</si>
  <si>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</si>
  <si>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</si>
  <si>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</si>
  <si>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</si>
  <si>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</si>
  <si>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</si>
  <si>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</si>
  <si>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</si>
  <si>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</si>
  <si>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24048</t>
  </si>
  <si>
    <t>KEERBERGEN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</si>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</sst>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113402.00488888283</c:v>
                </c:pt>
                <c:pt idx="1">
                  <c:v>25328.29028662312</c:v>
                </c:pt>
                <c:pt idx="2">
                  <c:v>1036.566</c:v>
                </c:pt>
                <c:pt idx="3">
                  <c:v>92.008589479565188</c:v>
                </c:pt>
                <c:pt idx="4">
                  <c:v>1957.9737208015824</c:v>
                </c:pt>
                <c:pt idx="5">
                  <c:v>53016.270277287687</c:v>
                </c:pt>
                <c:pt idx="6">
                  <c:v>1328.9777494331984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113402.00488888283</c:v>
                </c:pt>
                <c:pt idx="1">
                  <c:v>25328.29028662312</c:v>
                </c:pt>
                <c:pt idx="2">
                  <c:v>1036.566</c:v>
                </c:pt>
                <c:pt idx="3">
                  <c:v>92.008589479565188</c:v>
                </c:pt>
                <c:pt idx="4">
                  <c:v>1957.9737208015824</c:v>
                </c:pt>
                <c:pt idx="5">
                  <c:v>53016.270277287687</c:v>
                </c:pt>
                <c:pt idx="6">
                  <c:v>1328.9777494331984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24626.893964476658</c:v>
                </c:pt>
                <c:pt idx="1">
                  <c:v>5094.0545654264606</c:v>
                </c:pt>
                <c:pt idx="2">
                  <c:v>216.82063254576647</c:v>
                </c:pt>
                <c:pt idx="3">
                  <c:v>23.899017528692653</c:v>
                </c:pt>
                <c:pt idx="4">
                  <c:v>419.4989962700742</c:v>
                </c:pt>
                <c:pt idx="5">
                  <c:v>13112.793670445322</c:v>
                </c:pt>
                <c:pt idx="6">
                  <c:v>336.1536045636625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24626.893964476658</c:v>
                </c:pt>
                <c:pt idx="1">
                  <c:v>5094.0545654264606</c:v>
                </c:pt>
                <c:pt idx="2">
                  <c:v>216.82063254576647</c:v>
                </c:pt>
                <c:pt idx="3">
                  <c:v>23.899017528692653</c:v>
                </c:pt>
                <c:pt idx="4">
                  <c:v>419.4989962700742</c:v>
                </c:pt>
                <c:pt idx="5">
                  <c:v>13112.793670445322</c:v>
                </c:pt>
                <c:pt idx="6">
                  <c:v>336.1536045636625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24048</v>
      </c>
      <c r="B6" s="415"/>
      <c r="C6" s="416"/>
    </row>
    <row r="7" spans="1:7" s="413" customFormat="1" ht="15.75" customHeight="1">
      <c r="A7" s="417" t="str">
        <f>txtMunicipality</f>
        <v>KEERBERGEN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12447.904213000002</v>
      </c>
      <c r="D10" s="712">
        <f ca="1">tertiair!C16</f>
        <v>0</v>
      </c>
      <c r="E10" s="712">
        <f ca="1">tertiair!D16</f>
        <v>11499.592725104001</v>
      </c>
      <c r="F10" s="712">
        <f>tertiair!E16</f>
        <v>151.40562438743746</v>
      </c>
      <c r="G10" s="712">
        <f ca="1">tertiair!F16</f>
        <v>1310.2141928200597</v>
      </c>
      <c r="H10" s="712">
        <f>tertiair!G16</f>
        <v>0</v>
      </c>
      <c r="I10" s="712">
        <f>tertiair!H16</f>
        <v>0</v>
      </c>
      <c r="J10" s="712">
        <f>tertiair!I16</f>
        <v>0</v>
      </c>
      <c r="K10" s="712">
        <f>tertiair!J16</f>
        <v>2.1442042455353465E-2</v>
      </c>
      <c r="L10" s="712">
        <f>tertiair!K16</f>
        <v>0</v>
      </c>
      <c r="M10" s="712">
        <f ca="1">tertiair!L16</f>
        <v>0</v>
      </c>
      <c r="N10" s="712">
        <f>tertiair!M16</f>
        <v>0</v>
      </c>
      <c r="O10" s="712">
        <f ca="1">tertiair!N16</f>
        <v>845.74255189033943</v>
      </c>
      <c r="P10" s="712">
        <f>tertiair!O16</f>
        <v>4.8972607658411542</v>
      </c>
      <c r="Q10" s="713">
        <f>tertiair!P16</f>
        <v>105.07827661299004</v>
      </c>
      <c r="R10" s="715">
        <f ca="1">SUM(C10:Q10)</f>
        <v>26364.856286623122</v>
      </c>
      <c r="S10" s="67"/>
    </row>
    <row r="11" spans="1:19" s="474" customFormat="1">
      <c r="A11" s="834" t="s">
        <v>224</v>
      </c>
      <c r="B11" s="839"/>
      <c r="C11" s="712">
        <f>huishoudens!B8</f>
        <v>27651.612514200042</v>
      </c>
      <c r="D11" s="712">
        <f>huishoudens!C8</f>
        <v>0</v>
      </c>
      <c r="E11" s="712">
        <f>huishoudens!D8</f>
        <v>35456.424624499996</v>
      </c>
      <c r="F11" s="712">
        <f>huishoudens!E8</f>
        <v>6323.8610522760337</v>
      </c>
      <c r="G11" s="712">
        <f>huishoudens!F8</f>
        <v>38371.667888911565</v>
      </c>
      <c r="H11" s="712">
        <f>huishoudens!G8</f>
        <v>0</v>
      </c>
      <c r="I11" s="712">
        <f>huishoudens!H8</f>
        <v>0</v>
      </c>
      <c r="J11" s="712">
        <f>huishoudens!I8</f>
        <v>0</v>
      </c>
      <c r="K11" s="712">
        <f>huishoudens!J8</f>
        <v>0</v>
      </c>
      <c r="L11" s="712">
        <f>huishoudens!K8</f>
        <v>0</v>
      </c>
      <c r="M11" s="712">
        <f>huishoudens!L8</f>
        <v>0</v>
      </c>
      <c r="N11" s="712">
        <f>huishoudens!M8</f>
        <v>0</v>
      </c>
      <c r="O11" s="712">
        <f>huishoudens!N8</f>
        <v>4506.216043361258</v>
      </c>
      <c r="P11" s="712">
        <f>huishoudens!O8</f>
        <v>291.64185824989369</v>
      </c>
      <c r="Q11" s="713">
        <f>huishoudens!P8</f>
        <v>800.58090738406179</v>
      </c>
      <c r="R11" s="715">
        <f>SUM(C11:Q11)</f>
        <v>113402.00488888283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763.20695799999999</v>
      </c>
      <c r="D13" s="712">
        <f>industrie!C18</f>
        <v>0</v>
      </c>
      <c r="E13" s="712">
        <f>industrie!D18</f>
        <v>661.6831770340001</v>
      </c>
      <c r="F13" s="712">
        <f>industrie!E18</f>
        <v>117.89813282230264</v>
      </c>
      <c r="G13" s="712">
        <f>industrie!F18</f>
        <v>370.49226354139944</v>
      </c>
      <c r="H13" s="712">
        <f>industrie!G18</f>
        <v>0</v>
      </c>
      <c r="I13" s="712">
        <f>industrie!H18</f>
        <v>0</v>
      </c>
      <c r="J13" s="712">
        <f>industrie!I18</f>
        <v>0</v>
      </c>
      <c r="K13" s="712">
        <f>industrie!J18</f>
        <v>1.4494970441549393</v>
      </c>
      <c r="L13" s="712">
        <f>industrie!K18</f>
        <v>0</v>
      </c>
      <c r="M13" s="712">
        <f>industrie!L18</f>
        <v>0</v>
      </c>
      <c r="N13" s="712">
        <f>industrie!M18</f>
        <v>0</v>
      </c>
      <c r="O13" s="712">
        <f>industrie!N18</f>
        <v>43.243692359725131</v>
      </c>
      <c r="P13" s="712">
        <f>industrie!O18</f>
        <v>0</v>
      </c>
      <c r="Q13" s="713">
        <f>industrie!P18</f>
        <v>0</v>
      </c>
      <c r="R13" s="715">
        <f>SUM(C13:Q13)</f>
        <v>1957.9737208015824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40862.723685200042</v>
      </c>
      <c r="D16" s="748">
        <f t="shared" ref="D16:R16" ca="1" si="0">SUM(D9:D15)</f>
        <v>0</v>
      </c>
      <c r="E16" s="748">
        <f t="shared" ca="1" si="0"/>
        <v>47617.700526637993</v>
      </c>
      <c r="F16" s="748">
        <f t="shared" si="0"/>
        <v>6593.1648094857737</v>
      </c>
      <c r="G16" s="748">
        <f t="shared" ca="1" si="0"/>
        <v>40052.37434527302</v>
      </c>
      <c r="H16" s="748">
        <f t="shared" si="0"/>
        <v>0</v>
      </c>
      <c r="I16" s="748">
        <f t="shared" si="0"/>
        <v>0</v>
      </c>
      <c r="J16" s="748">
        <f t="shared" si="0"/>
        <v>0</v>
      </c>
      <c r="K16" s="748">
        <f t="shared" si="0"/>
        <v>1.4709390866102927</v>
      </c>
      <c r="L16" s="748">
        <f t="shared" si="0"/>
        <v>0</v>
      </c>
      <c r="M16" s="748">
        <f t="shared" ca="1" si="0"/>
        <v>0</v>
      </c>
      <c r="N16" s="748">
        <f t="shared" si="0"/>
        <v>0</v>
      </c>
      <c r="O16" s="748">
        <f t="shared" ca="1" si="0"/>
        <v>5395.2022876113224</v>
      </c>
      <c r="P16" s="748">
        <f t="shared" si="0"/>
        <v>296.53911901573485</v>
      </c>
      <c r="Q16" s="748">
        <f t="shared" si="0"/>
        <v>905.65918399705185</v>
      </c>
      <c r="R16" s="748">
        <f t="shared" ca="1" si="0"/>
        <v>141724.83489630756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1259.0022642833801</v>
      </c>
      <c r="I19" s="712">
        <f>transport!H54</f>
        <v>0</v>
      </c>
      <c r="J19" s="712">
        <f>transport!I54</f>
        <v>0</v>
      </c>
      <c r="K19" s="712">
        <f>transport!J54</f>
        <v>0</v>
      </c>
      <c r="L19" s="712">
        <f>transport!K54</f>
        <v>0</v>
      </c>
      <c r="M19" s="712">
        <f>transport!L54</f>
        <v>0</v>
      </c>
      <c r="N19" s="712">
        <f>transport!M54</f>
        <v>69.975485149818326</v>
      </c>
      <c r="O19" s="712">
        <f>transport!N54</f>
        <v>0</v>
      </c>
      <c r="P19" s="712">
        <f>transport!O54</f>
        <v>0</v>
      </c>
      <c r="Q19" s="713">
        <f>transport!P54</f>
        <v>0</v>
      </c>
      <c r="R19" s="715">
        <f>SUM(C19:Q19)</f>
        <v>1328.9777494331984</v>
      </c>
      <c r="S19" s="67"/>
    </row>
    <row r="20" spans="1:19" s="474" customFormat="1">
      <c r="A20" s="834" t="s">
        <v>306</v>
      </c>
      <c r="B20" s="839"/>
      <c r="C20" s="712">
        <f>transport!B14</f>
        <v>28.676081737499999</v>
      </c>
      <c r="D20" s="712">
        <f>transport!C14</f>
        <v>0</v>
      </c>
      <c r="E20" s="712">
        <f>transport!D14</f>
        <v>175.64925987095666</v>
      </c>
      <c r="F20" s="712">
        <f>transport!E14</f>
        <v>128.35010937759722</v>
      </c>
      <c r="G20" s="712">
        <f>transport!F14</f>
        <v>0</v>
      </c>
      <c r="H20" s="712">
        <f>transport!G14</f>
        <v>36865.721162734313</v>
      </c>
      <c r="I20" s="712">
        <f>transport!H14</f>
        <v>12847.515100170669</v>
      </c>
      <c r="J20" s="712">
        <f>transport!I14</f>
        <v>0</v>
      </c>
      <c r="K20" s="712">
        <f>transport!J14</f>
        <v>0</v>
      </c>
      <c r="L20" s="712">
        <f>transport!K14</f>
        <v>0</v>
      </c>
      <c r="M20" s="712">
        <f>transport!L14</f>
        <v>0</v>
      </c>
      <c r="N20" s="712">
        <f>transport!M14</f>
        <v>2970.3585633966522</v>
      </c>
      <c r="O20" s="712">
        <f>transport!N14</f>
        <v>0</v>
      </c>
      <c r="P20" s="712">
        <f>transport!O14</f>
        <v>0</v>
      </c>
      <c r="Q20" s="713">
        <f>transport!P14</f>
        <v>0</v>
      </c>
      <c r="R20" s="715">
        <f>SUM(C20:Q20)</f>
        <v>53016.270277287687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28.676081737499999</v>
      </c>
      <c r="D22" s="837">
        <f t="shared" ref="D22:R22" si="1">SUM(D18:D21)</f>
        <v>0</v>
      </c>
      <c r="E22" s="837">
        <f t="shared" si="1"/>
        <v>175.64925987095666</v>
      </c>
      <c r="F22" s="837">
        <f t="shared" si="1"/>
        <v>128.35010937759722</v>
      </c>
      <c r="G22" s="837">
        <f t="shared" si="1"/>
        <v>0</v>
      </c>
      <c r="H22" s="837">
        <f t="shared" si="1"/>
        <v>38124.723427017692</v>
      </c>
      <c r="I22" s="837">
        <f t="shared" si="1"/>
        <v>12847.515100170669</v>
      </c>
      <c r="J22" s="837">
        <f t="shared" si="1"/>
        <v>0</v>
      </c>
      <c r="K22" s="837">
        <f t="shared" si="1"/>
        <v>0</v>
      </c>
      <c r="L22" s="837">
        <f t="shared" si="1"/>
        <v>0</v>
      </c>
      <c r="M22" s="837">
        <f t="shared" si="1"/>
        <v>0</v>
      </c>
      <c r="N22" s="837">
        <f t="shared" si="1"/>
        <v>3040.3340485464705</v>
      </c>
      <c r="O22" s="837">
        <f t="shared" si="1"/>
        <v>0</v>
      </c>
      <c r="P22" s="837">
        <f t="shared" si="1"/>
        <v>0</v>
      </c>
      <c r="Q22" s="837">
        <f t="shared" si="1"/>
        <v>0</v>
      </c>
      <c r="R22" s="837">
        <f t="shared" si="1"/>
        <v>54345.248026720888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19.006790000000002</v>
      </c>
      <c r="D24" s="712">
        <f>+landbouw!C8</f>
        <v>0</v>
      </c>
      <c r="E24" s="712">
        <f>+landbouw!D8</f>
        <v>0</v>
      </c>
      <c r="F24" s="712">
        <f>+landbouw!E8</f>
        <v>0.59319564823388693</v>
      </c>
      <c r="G24" s="712">
        <f>+landbouw!F8</f>
        <v>67.17210137539783</v>
      </c>
      <c r="H24" s="712">
        <f>+landbouw!G8</f>
        <v>0</v>
      </c>
      <c r="I24" s="712">
        <f>+landbouw!H8</f>
        <v>0</v>
      </c>
      <c r="J24" s="712">
        <f>+landbouw!I8</f>
        <v>0</v>
      </c>
      <c r="K24" s="712">
        <f>+landbouw!J8</f>
        <v>5.2365024559334685</v>
      </c>
      <c r="L24" s="712">
        <f>+landbouw!K8</f>
        <v>0</v>
      </c>
      <c r="M24" s="712">
        <f>+landbouw!L8</f>
        <v>0</v>
      </c>
      <c r="N24" s="712">
        <f>+landbouw!M8</f>
        <v>0</v>
      </c>
      <c r="O24" s="712">
        <f>+landbouw!N8</f>
        <v>0</v>
      </c>
      <c r="P24" s="712">
        <f>+landbouw!O8</f>
        <v>0</v>
      </c>
      <c r="Q24" s="713">
        <f>+landbouw!P8</f>
        <v>0</v>
      </c>
      <c r="R24" s="715">
        <f>SUM(C24:Q24)</f>
        <v>92.008589479565188</v>
      </c>
      <c r="S24" s="67"/>
    </row>
    <row r="25" spans="1:19" s="474" customFormat="1" ht="15" thickBot="1">
      <c r="A25" s="856" t="s">
        <v>734</v>
      </c>
      <c r="B25" s="982"/>
      <c r="C25" s="983">
        <f>IF(Onbekend_ele_kWh="---",0,Onbekend_ele_kWh)/1000+IF(REST_rest_ele_kWh="---",0,REST_rest_ele_kWh)/1000</f>
        <v>1396.8177439999999</v>
      </c>
      <c r="D25" s="983"/>
      <c r="E25" s="983">
        <f>IF(onbekend_gas_kWh="---",0,onbekend_gas_kWh)/1000+IF(REST_rest_gas_kWh="---",0,REST_rest_gas_kWh)/1000</f>
        <v>3304.2312879999999</v>
      </c>
      <c r="F25" s="983"/>
      <c r="G25" s="983"/>
      <c r="H25" s="983"/>
      <c r="I25" s="983"/>
      <c r="J25" s="983"/>
      <c r="K25" s="983"/>
      <c r="L25" s="983"/>
      <c r="M25" s="983"/>
      <c r="N25" s="983"/>
      <c r="O25" s="983"/>
      <c r="P25" s="983"/>
      <c r="Q25" s="984"/>
      <c r="R25" s="715">
        <f>SUM(C25:Q25)</f>
        <v>4701.0490319999999</v>
      </c>
      <c r="S25" s="67"/>
    </row>
    <row r="26" spans="1:19" s="474" customFormat="1" ht="15.75" thickBot="1">
      <c r="A26" s="720" t="s">
        <v>735</v>
      </c>
      <c r="B26" s="842"/>
      <c r="C26" s="837">
        <f>SUM(C24:C25)</f>
        <v>1415.8245339999999</v>
      </c>
      <c r="D26" s="837">
        <f t="shared" ref="D26:R26" si="2">SUM(D24:D25)</f>
        <v>0</v>
      </c>
      <c r="E26" s="837">
        <f t="shared" si="2"/>
        <v>3304.2312879999999</v>
      </c>
      <c r="F26" s="837">
        <f t="shared" si="2"/>
        <v>0.59319564823388693</v>
      </c>
      <c r="G26" s="837">
        <f t="shared" si="2"/>
        <v>67.17210137539783</v>
      </c>
      <c r="H26" s="837">
        <f t="shared" si="2"/>
        <v>0</v>
      </c>
      <c r="I26" s="837">
        <f t="shared" si="2"/>
        <v>0</v>
      </c>
      <c r="J26" s="837">
        <f t="shared" si="2"/>
        <v>0</v>
      </c>
      <c r="K26" s="837">
        <f t="shared" si="2"/>
        <v>5.2365024559334685</v>
      </c>
      <c r="L26" s="837">
        <f t="shared" si="2"/>
        <v>0</v>
      </c>
      <c r="M26" s="837">
        <f t="shared" si="2"/>
        <v>0</v>
      </c>
      <c r="N26" s="837">
        <f t="shared" si="2"/>
        <v>0</v>
      </c>
      <c r="O26" s="837">
        <f t="shared" si="2"/>
        <v>0</v>
      </c>
      <c r="P26" s="837">
        <f t="shared" si="2"/>
        <v>0</v>
      </c>
      <c r="Q26" s="837">
        <f t="shared" si="2"/>
        <v>0</v>
      </c>
      <c r="R26" s="837">
        <f t="shared" si="2"/>
        <v>4793.0576214795647</v>
      </c>
      <c r="S26" s="67"/>
    </row>
    <row r="27" spans="1:19" s="474" customFormat="1" ht="17.25" thickTop="1" thickBot="1">
      <c r="A27" s="721" t="s">
        <v>115</v>
      </c>
      <c r="B27" s="829"/>
      <c r="C27" s="722">
        <f ca="1">C22+C16+C26</f>
        <v>42307.224300937545</v>
      </c>
      <c r="D27" s="722">
        <f t="shared" ref="D27:R27" ca="1" si="3">D22+D16+D26</f>
        <v>0</v>
      </c>
      <c r="E27" s="722">
        <f t="shared" ca="1" si="3"/>
        <v>51097.581074508955</v>
      </c>
      <c r="F27" s="722">
        <f t="shared" si="3"/>
        <v>6722.108114511605</v>
      </c>
      <c r="G27" s="722">
        <f t="shared" ca="1" si="3"/>
        <v>40119.546446648419</v>
      </c>
      <c r="H27" s="722">
        <f t="shared" si="3"/>
        <v>38124.723427017692</v>
      </c>
      <c r="I27" s="722">
        <f t="shared" si="3"/>
        <v>12847.515100170669</v>
      </c>
      <c r="J27" s="722">
        <f t="shared" si="3"/>
        <v>0</v>
      </c>
      <c r="K27" s="722">
        <f t="shared" si="3"/>
        <v>6.7074415425437612</v>
      </c>
      <c r="L27" s="722">
        <f t="shared" si="3"/>
        <v>0</v>
      </c>
      <c r="M27" s="722">
        <f t="shared" ca="1" si="3"/>
        <v>0</v>
      </c>
      <c r="N27" s="722">
        <f t="shared" si="3"/>
        <v>3040.3340485464705</v>
      </c>
      <c r="O27" s="722">
        <f t="shared" ca="1" si="3"/>
        <v>5395.2022876113224</v>
      </c>
      <c r="P27" s="722">
        <f t="shared" si="3"/>
        <v>296.53911901573485</v>
      </c>
      <c r="Q27" s="722">
        <f t="shared" si="3"/>
        <v>905.65918399705185</v>
      </c>
      <c r="R27" s="722">
        <f t="shared" ca="1" si="3"/>
        <v>200863.140544508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2603.7536107992846</v>
      </c>
      <c r="D40" s="712">
        <f ca="1">tertiair!C20</f>
        <v>0</v>
      </c>
      <c r="E40" s="712">
        <f ca="1">tertiair!D20</f>
        <v>2322.9177304710083</v>
      </c>
      <c r="F40" s="712">
        <f>tertiair!E20</f>
        <v>34.369076735948305</v>
      </c>
      <c r="G40" s="712">
        <f ca="1">tertiair!F20</f>
        <v>349.82718948295593</v>
      </c>
      <c r="H40" s="712">
        <f>tertiair!G20</f>
        <v>0</v>
      </c>
      <c r="I40" s="712">
        <f>tertiair!H20</f>
        <v>0</v>
      </c>
      <c r="J40" s="712">
        <f>tertiair!I20</f>
        <v>0</v>
      </c>
      <c r="K40" s="712">
        <f>tertiair!J20</f>
        <v>7.5904830291951258E-3</v>
      </c>
      <c r="L40" s="712">
        <f>tertiair!K20</f>
        <v>0</v>
      </c>
      <c r="M40" s="712">
        <f ca="1">tertiair!L20</f>
        <v>0</v>
      </c>
      <c r="N40" s="712">
        <f>tertiair!M20</f>
        <v>0</v>
      </c>
      <c r="O40" s="712">
        <f ca="1">tertiair!N20</f>
        <v>0</v>
      </c>
      <c r="P40" s="712">
        <f>tertiair!O20</f>
        <v>0</v>
      </c>
      <c r="Q40" s="795">
        <f>tertiair!P20</f>
        <v>0</v>
      </c>
      <c r="R40" s="875">
        <f t="shared" ca="1" si="4"/>
        <v>5310.8751979722265</v>
      </c>
    </row>
    <row r="41" spans="1:18">
      <c r="A41" s="847" t="s">
        <v>224</v>
      </c>
      <c r="B41" s="854"/>
      <c r="C41" s="712">
        <f ca="1">huishoudens!B12</f>
        <v>5783.9444051216078</v>
      </c>
      <c r="D41" s="712">
        <f ca="1">huishoudens!C12</f>
        <v>0</v>
      </c>
      <c r="E41" s="712">
        <f>huishoudens!D12</f>
        <v>7162.197774149</v>
      </c>
      <c r="F41" s="712">
        <f>huishoudens!E12</f>
        <v>1435.5164588666596</v>
      </c>
      <c r="G41" s="712">
        <f>huishoudens!F12</f>
        <v>10245.235326339389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24626.893964476658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159.641562039359</v>
      </c>
      <c r="D43" s="712">
        <f ca="1">industrie!C22</f>
        <v>0</v>
      </c>
      <c r="E43" s="712">
        <f>industrie!D22</f>
        <v>133.66000176086803</v>
      </c>
      <c r="F43" s="712">
        <f>industrie!E22</f>
        <v>26.762876150662702</v>
      </c>
      <c r="G43" s="712">
        <f>industrie!F22</f>
        <v>98.921434365553651</v>
      </c>
      <c r="H43" s="712">
        <f>industrie!G22</f>
        <v>0</v>
      </c>
      <c r="I43" s="712">
        <f>industrie!H22</f>
        <v>0</v>
      </c>
      <c r="J43" s="712">
        <f>industrie!I22</f>
        <v>0</v>
      </c>
      <c r="K43" s="712">
        <f>industrie!J22</f>
        <v>0.51312195363084845</v>
      </c>
      <c r="L43" s="712">
        <f>industrie!K22</f>
        <v>0</v>
      </c>
      <c r="M43" s="712">
        <f>industrie!L22</f>
        <v>0</v>
      </c>
      <c r="N43" s="712">
        <f>industrie!M22</f>
        <v>0</v>
      </c>
      <c r="O43" s="712">
        <f>industrie!N22</f>
        <v>0</v>
      </c>
      <c r="P43" s="712">
        <f>industrie!O22</f>
        <v>0</v>
      </c>
      <c r="Q43" s="795">
        <f>industrie!P22</f>
        <v>0</v>
      </c>
      <c r="R43" s="874">
        <f t="shared" ca="1" si="4"/>
        <v>419.4989962700742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8547.3395779602506</v>
      </c>
      <c r="D46" s="748">
        <f t="shared" ref="D46:Q46" ca="1" si="5">SUM(D39:D45)</f>
        <v>0</v>
      </c>
      <c r="E46" s="748">
        <f t="shared" ca="1" si="5"/>
        <v>9618.7755063808763</v>
      </c>
      <c r="F46" s="748">
        <f t="shared" si="5"/>
        <v>1496.6484117532707</v>
      </c>
      <c r="G46" s="748">
        <f t="shared" ca="1" si="5"/>
        <v>10693.983950187898</v>
      </c>
      <c r="H46" s="748">
        <f t="shared" si="5"/>
        <v>0</v>
      </c>
      <c r="I46" s="748">
        <f t="shared" si="5"/>
        <v>0</v>
      </c>
      <c r="J46" s="748">
        <f t="shared" si="5"/>
        <v>0</v>
      </c>
      <c r="K46" s="748">
        <f t="shared" si="5"/>
        <v>0.52071243666004352</v>
      </c>
      <c r="L46" s="748">
        <f t="shared" si="5"/>
        <v>0</v>
      </c>
      <c r="M46" s="748">
        <f t="shared" ca="1" si="5"/>
        <v>0</v>
      </c>
      <c r="N46" s="748">
        <f t="shared" si="5"/>
        <v>0</v>
      </c>
      <c r="O46" s="748">
        <f t="shared" ca="1" si="5"/>
        <v>0</v>
      </c>
      <c r="P46" s="748">
        <f t="shared" si="5"/>
        <v>0</v>
      </c>
      <c r="Q46" s="748">
        <f t="shared" si="5"/>
        <v>0</v>
      </c>
      <c r="R46" s="748">
        <f ca="1">SUM(R39:R45)</f>
        <v>30357.268158718958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336.1536045636625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336.1536045636625</v>
      </c>
    </row>
    <row r="50" spans="1:18">
      <c r="A50" s="850" t="s">
        <v>306</v>
      </c>
      <c r="B50" s="860"/>
      <c r="C50" s="718">
        <f ca="1">transport!B18</f>
        <v>5.9982347301173791</v>
      </c>
      <c r="D50" s="718">
        <f>transport!C18</f>
        <v>0</v>
      </c>
      <c r="E50" s="718">
        <f>transport!D18</f>
        <v>35.481150493933249</v>
      </c>
      <c r="F50" s="718">
        <f>transport!E18</f>
        <v>29.135474828714571</v>
      </c>
      <c r="G50" s="718">
        <f>transport!F18</f>
        <v>0</v>
      </c>
      <c r="H50" s="718">
        <f>transport!G18</f>
        <v>9843.1475504500613</v>
      </c>
      <c r="I50" s="718">
        <f>transport!H18</f>
        <v>3199.0312599424965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13112.793670445322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5.9982347301173791</v>
      </c>
      <c r="D52" s="748">
        <f t="shared" ref="D52:Q52" ca="1" si="6">SUM(D48:D51)</f>
        <v>0</v>
      </c>
      <c r="E52" s="748">
        <f t="shared" si="6"/>
        <v>35.481150493933249</v>
      </c>
      <c r="F52" s="748">
        <f t="shared" si="6"/>
        <v>29.135474828714571</v>
      </c>
      <c r="G52" s="748">
        <f t="shared" si="6"/>
        <v>0</v>
      </c>
      <c r="H52" s="748">
        <f t="shared" si="6"/>
        <v>10179.301155013723</v>
      </c>
      <c r="I52" s="748">
        <f t="shared" si="6"/>
        <v>3199.0312599424965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13448.947275008984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3.9756891799118907</v>
      </c>
      <c r="D54" s="718">
        <f ca="1">+landbouw!C12</f>
        <v>0</v>
      </c>
      <c r="E54" s="718">
        <f>+landbouw!D12</f>
        <v>0</v>
      </c>
      <c r="F54" s="718">
        <f>+landbouw!E12</f>
        <v>0.13465541214909232</v>
      </c>
      <c r="G54" s="718">
        <f>+landbouw!F12</f>
        <v>17.934951067231221</v>
      </c>
      <c r="H54" s="718">
        <f>+landbouw!G12</f>
        <v>0</v>
      </c>
      <c r="I54" s="718">
        <f>+landbouw!H12</f>
        <v>0</v>
      </c>
      <c r="J54" s="718">
        <f>+landbouw!I12</f>
        <v>0</v>
      </c>
      <c r="K54" s="718">
        <f>+landbouw!J12</f>
        <v>1.8537218694004478</v>
      </c>
      <c r="L54" s="718">
        <f>+landbouw!K12</f>
        <v>0</v>
      </c>
      <c r="M54" s="718">
        <f>+landbouw!L12</f>
        <v>0</v>
      </c>
      <c r="N54" s="718">
        <f>+landbouw!M12</f>
        <v>0</v>
      </c>
      <c r="O54" s="718">
        <f>+landbouw!N12</f>
        <v>0</v>
      </c>
      <c r="P54" s="718">
        <f>+landbouw!O12</f>
        <v>0</v>
      </c>
      <c r="Q54" s="719">
        <f>+landbouw!P12</f>
        <v>0</v>
      </c>
      <c r="R54" s="747">
        <f ca="1">SUM(C54:Q54)</f>
        <v>23.899017528692653</v>
      </c>
    </row>
    <row r="55" spans="1:18" ht="15" thickBot="1">
      <c r="A55" s="850" t="s">
        <v>734</v>
      </c>
      <c r="B55" s="860"/>
      <c r="C55" s="718">
        <f ca="1">C25*'EF ele_warmte'!B12</f>
        <v>292.17522743870671</v>
      </c>
      <c r="D55" s="718"/>
      <c r="E55" s="718">
        <f>E25*EF_CO2_aardgas</f>
        <v>667.45472017600002</v>
      </c>
      <c r="F55" s="718"/>
      <c r="G55" s="718"/>
      <c r="H55" s="718"/>
      <c r="I55" s="718"/>
      <c r="J55" s="718"/>
      <c r="K55" s="718"/>
      <c r="L55" s="718"/>
      <c r="M55" s="718"/>
      <c r="N55" s="718"/>
      <c r="O55" s="718"/>
      <c r="P55" s="718"/>
      <c r="Q55" s="719"/>
      <c r="R55" s="747">
        <f ca="1">SUM(C55:Q55)</f>
        <v>959.62994761470668</v>
      </c>
    </row>
    <row r="56" spans="1:18" ht="15.75" thickBot="1">
      <c r="A56" s="848" t="s">
        <v>735</v>
      </c>
      <c r="B56" s="861"/>
      <c r="C56" s="748">
        <f ca="1">SUM(C54:C55)</f>
        <v>296.15091661861862</v>
      </c>
      <c r="D56" s="748">
        <f t="shared" ref="D56:Q56" ca="1" si="7">SUM(D54:D55)</f>
        <v>0</v>
      </c>
      <c r="E56" s="748">
        <f t="shared" si="7"/>
        <v>667.45472017600002</v>
      </c>
      <c r="F56" s="748">
        <f t="shared" si="7"/>
        <v>0.13465541214909232</v>
      </c>
      <c r="G56" s="748">
        <f t="shared" si="7"/>
        <v>17.934951067231221</v>
      </c>
      <c r="H56" s="748">
        <f t="shared" si="7"/>
        <v>0</v>
      </c>
      <c r="I56" s="748">
        <f t="shared" si="7"/>
        <v>0</v>
      </c>
      <c r="J56" s="748">
        <f t="shared" si="7"/>
        <v>0</v>
      </c>
      <c r="K56" s="748">
        <f t="shared" si="7"/>
        <v>1.8537218694004478</v>
      </c>
      <c r="L56" s="748">
        <f t="shared" si="7"/>
        <v>0</v>
      </c>
      <c r="M56" s="748">
        <f t="shared" si="7"/>
        <v>0</v>
      </c>
      <c r="N56" s="748">
        <f t="shared" si="7"/>
        <v>0</v>
      </c>
      <c r="O56" s="748">
        <f t="shared" si="7"/>
        <v>0</v>
      </c>
      <c r="P56" s="748">
        <f t="shared" si="7"/>
        <v>0</v>
      </c>
      <c r="Q56" s="749">
        <f t="shared" si="7"/>
        <v>0</v>
      </c>
      <c r="R56" s="750">
        <f ca="1">SUM(R54:R55)</f>
        <v>983.52896514339932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8849.4887293089869</v>
      </c>
      <c r="D61" s="756">
        <f t="shared" ref="D61:Q61" ca="1" si="8">D46+D52+D56</f>
        <v>0</v>
      </c>
      <c r="E61" s="756">
        <f t="shared" ca="1" si="8"/>
        <v>10321.711377050809</v>
      </c>
      <c r="F61" s="756">
        <f t="shared" si="8"/>
        <v>1525.9185419941346</v>
      </c>
      <c r="G61" s="756">
        <f t="shared" ca="1" si="8"/>
        <v>10711.918901255129</v>
      </c>
      <c r="H61" s="756">
        <f t="shared" si="8"/>
        <v>10179.301155013723</v>
      </c>
      <c r="I61" s="756">
        <f t="shared" si="8"/>
        <v>3199.0312599424965</v>
      </c>
      <c r="J61" s="756">
        <f t="shared" si="8"/>
        <v>0</v>
      </c>
      <c r="K61" s="756">
        <f t="shared" si="8"/>
        <v>2.3744343060604916</v>
      </c>
      <c r="L61" s="756">
        <f t="shared" si="8"/>
        <v>0</v>
      </c>
      <c r="M61" s="756">
        <f t="shared" ca="1" si="8"/>
        <v>0</v>
      </c>
      <c r="N61" s="756">
        <f t="shared" si="8"/>
        <v>0</v>
      </c>
      <c r="O61" s="756">
        <f t="shared" ca="1" si="8"/>
        <v>0</v>
      </c>
      <c r="P61" s="756">
        <f t="shared" si="8"/>
        <v>0</v>
      </c>
      <c r="Q61" s="756">
        <f t="shared" si="8"/>
        <v>0</v>
      </c>
      <c r="R61" s="756">
        <f ca="1">R46+R52+R56</f>
        <v>44789.744398871342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0.20917204745840248</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2264.28887420004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2264.28887420004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27651.612514200042</v>
      </c>
      <c r="C4" s="478">
        <f>huishoudens!C8</f>
        <v>0</v>
      </c>
      <c r="D4" s="478">
        <f>huishoudens!D8</f>
        <v>35456.424624499996</v>
      </c>
      <c r="E4" s="478">
        <f>huishoudens!E8</f>
        <v>6323.8610522760337</v>
      </c>
      <c r="F4" s="478">
        <f>huishoudens!F8</f>
        <v>38371.667888911565</v>
      </c>
      <c r="G4" s="478">
        <f>huishoudens!G8</f>
        <v>0</v>
      </c>
      <c r="H4" s="478">
        <f>huishoudens!H8</f>
        <v>0</v>
      </c>
      <c r="I4" s="478">
        <f>huishoudens!I8</f>
        <v>0</v>
      </c>
      <c r="J4" s="478">
        <f>huishoudens!J8</f>
        <v>0</v>
      </c>
      <c r="K4" s="478">
        <f>huishoudens!K8</f>
        <v>0</v>
      </c>
      <c r="L4" s="478">
        <f>huishoudens!L8</f>
        <v>0</v>
      </c>
      <c r="M4" s="478">
        <f>huishoudens!M8</f>
        <v>0</v>
      </c>
      <c r="N4" s="478">
        <f>huishoudens!N8</f>
        <v>4506.216043361258</v>
      </c>
      <c r="O4" s="478">
        <f>huishoudens!O8</f>
        <v>291.64185824989369</v>
      </c>
      <c r="P4" s="479">
        <f>huishoudens!P8</f>
        <v>800.58090738406179</v>
      </c>
      <c r="Q4" s="480">
        <f>SUM(B4:P4)</f>
        <v>113402.00488888283</v>
      </c>
    </row>
    <row r="5" spans="1:17">
      <c r="A5" s="477" t="s">
        <v>155</v>
      </c>
      <c r="B5" s="478">
        <f ca="1">tertiair!B16</f>
        <v>11411.338213000001</v>
      </c>
      <c r="C5" s="478">
        <f ca="1">tertiair!C16</f>
        <v>0</v>
      </c>
      <c r="D5" s="478">
        <f ca="1">tertiair!D16</f>
        <v>11499.592725104001</v>
      </c>
      <c r="E5" s="478">
        <f>tertiair!E16</f>
        <v>151.40562438743746</v>
      </c>
      <c r="F5" s="478">
        <f ca="1">tertiair!F16</f>
        <v>1310.2141928200597</v>
      </c>
      <c r="G5" s="478">
        <f>tertiair!G16</f>
        <v>0</v>
      </c>
      <c r="H5" s="478">
        <f>tertiair!H16</f>
        <v>0</v>
      </c>
      <c r="I5" s="478">
        <f>tertiair!I16</f>
        <v>0</v>
      </c>
      <c r="J5" s="478">
        <f>tertiair!J16</f>
        <v>2.1442042455353465E-2</v>
      </c>
      <c r="K5" s="478">
        <f>tertiair!K16</f>
        <v>0</v>
      </c>
      <c r="L5" s="478">
        <f ca="1">tertiair!L16</f>
        <v>0</v>
      </c>
      <c r="M5" s="478">
        <f>tertiair!M16</f>
        <v>0</v>
      </c>
      <c r="N5" s="478">
        <f ca="1">tertiair!N16</f>
        <v>845.74255189033943</v>
      </c>
      <c r="O5" s="478">
        <f>tertiair!O16</f>
        <v>4.8972607658411542</v>
      </c>
      <c r="P5" s="479">
        <f>tertiair!P16</f>
        <v>105.07827661299004</v>
      </c>
      <c r="Q5" s="477">
        <f t="shared" ref="Q5:Q14" ca="1" si="0">SUM(B5:P5)</f>
        <v>25328.29028662312</v>
      </c>
    </row>
    <row r="6" spans="1:17">
      <c r="A6" s="477" t="s">
        <v>193</v>
      </c>
      <c r="B6" s="478">
        <f>'openbare verlichting'!B8</f>
        <v>1036.566</v>
      </c>
      <c r="C6" s="478"/>
      <c r="D6" s="478"/>
      <c r="E6" s="478"/>
      <c r="F6" s="478"/>
      <c r="G6" s="478"/>
      <c r="H6" s="478"/>
      <c r="I6" s="478"/>
      <c r="J6" s="478"/>
      <c r="K6" s="478"/>
      <c r="L6" s="478"/>
      <c r="M6" s="478"/>
      <c r="N6" s="478"/>
      <c r="O6" s="478"/>
      <c r="P6" s="479"/>
      <c r="Q6" s="477">
        <f t="shared" si="0"/>
        <v>1036.566</v>
      </c>
    </row>
    <row r="7" spans="1:17">
      <c r="A7" s="477" t="s">
        <v>111</v>
      </c>
      <c r="B7" s="478">
        <f>landbouw!B8</f>
        <v>19.006790000000002</v>
      </c>
      <c r="C7" s="478">
        <f>landbouw!C8</f>
        <v>0</v>
      </c>
      <c r="D7" s="478">
        <f>landbouw!D8</f>
        <v>0</v>
      </c>
      <c r="E7" s="478">
        <f>landbouw!E8</f>
        <v>0.59319564823388693</v>
      </c>
      <c r="F7" s="478">
        <f>landbouw!F8</f>
        <v>67.17210137539783</v>
      </c>
      <c r="G7" s="478">
        <f>landbouw!G8</f>
        <v>0</v>
      </c>
      <c r="H7" s="478">
        <f>landbouw!H8</f>
        <v>0</v>
      </c>
      <c r="I7" s="478">
        <f>landbouw!I8</f>
        <v>0</v>
      </c>
      <c r="J7" s="478">
        <f>landbouw!J8</f>
        <v>5.2365024559334685</v>
      </c>
      <c r="K7" s="478">
        <f>landbouw!K8</f>
        <v>0</v>
      </c>
      <c r="L7" s="478">
        <f>landbouw!L8</f>
        <v>0</v>
      </c>
      <c r="M7" s="478">
        <f>landbouw!M8</f>
        <v>0</v>
      </c>
      <c r="N7" s="478">
        <f>landbouw!N8</f>
        <v>0</v>
      </c>
      <c r="O7" s="478">
        <f>landbouw!O8</f>
        <v>0</v>
      </c>
      <c r="P7" s="479">
        <f>landbouw!P8</f>
        <v>0</v>
      </c>
      <c r="Q7" s="477">
        <f t="shared" si="0"/>
        <v>92.008589479565188</v>
      </c>
    </row>
    <row r="8" spans="1:17">
      <c r="A8" s="477" t="s">
        <v>629</v>
      </c>
      <c r="B8" s="478">
        <f>industrie!B18</f>
        <v>763.20695799999999</v>
      </c>
      <c r="C8" s="478">
        <f>industrie!C18</f>
        <v>0</v>
      </c>
      <c r="D8" s="478">
        <f>industrie!D18</f>
        <v>661.6831770340001</v>
      </c>
      <c r="E8" s="478">
        <f>industrie!E18</f>
        <v>117.89813282230264</v>
      </c>
      <c r="F8" s="478">
        <f>industrie!F18</f>
        <v>370.49226354139944</v>
      </c>
      <c r="G8" s="478">
        <f>industrie!G18</f>
        <v>0</v>
      </c>
      <c r="H8" s="478">
        <f>industrie!H18</f>
        <v>0</v>
      </c>
      <c r="I8" s="478">
        <f>industrie!I18</f>
        <v>0</v>
      </c>
      <c r="J8" s="478">
        <f>industrie!J18</f>
        <v>1.4494970441549393</v>
      </c>
      <c r="K8" s="478">
        <f>industrie!K18</f>
        <v>0</v>
      </c>
      <c r="L8" s="478">
        <f>industrie!L18</f>
        <v>0</v>
      </c>
      <c r="M8" s="478">
        <f>industrie!M18</f>
        <v>0</v>
      </c>
      <c r="N8" s="478">
        <f>industrie!N18</f>
        <v>43.243692359725131</v>
      </c>
      <c r="O8" s="478">
        <f>industrie!O18</f>
        <v>0</v>
      </c>
      <c r="P8" s="479">
        <f>industrie!P18</f>
        <v>0</v>
      </c>
      <c r="Q8" s="477">
        <f t="shared" si="0"/>
        <v>1957.9737208015824</v>
      </c>
    </row>
    <row r="9" spans="1:17" s="483" customFormat="1">
      <c r="A9" s="481" t="s">
        <v>555</v>
      </c>
      <c r="B9" s="482">
        <f>transport!B14</f>
        <v>28.676081737499999</v>
      </c>
      <c r="C9" s="482">
        <f>transport!C14</f>
        <v>0</v>
      </c>
      <c r="D9" s="482">
        <f>transport!D14</f>
        <v>175.64925987095666</v>
      </c>
      <c r="E9" s="482">
        <f>transport!E14</f>
        <v>128.35010937759722</v>
      </c>
      <c r="F9" s="482">
        <f>transport!F14</f>
        <v>0</v>
      </c>
      <c r="G9" s="482">
        <f>transport!G14</f>
        <v>36865.721162734313</v>
      </c>
      <c r="H9" s="482">
        <f>transport!H14</f>
        <v>12847.515100170669</v>
      </c>
      <c r="I9" s="482">
        <f>transport!I14</f>
        <v>0</v>
      </c>
      <c r="J9" s="482">
        <f>transport!J14</f>
        <v>0</v>
      </c>
      <c r="K9" s="482">
        <f>transport!K14</f>
        <v>0</v>
      </c>
      <c r="L9" s="482">
        <f>transport!L14</f>
        <v>0</v>
      </c>
      <c r="M9" s="482">
        <f>transport!M14</f>
        <v>2970.3585633966522</v>
      </c>
      <c r="N9" s="482">
        <f>transport!N14</f>
        <v>0</v>
      </c>
      <c r="O9" s="482">
        <f>transport!O14</f>
        <v>0</v>
      </c>
      <c r="P9" s="482">
        <f>transport!P14</f>
        <v>0</v>
      </c>
      <c r="Q9" s="481">
        <f>SUM(B9:P9)</f>
        <v>53016.270277287687</v>
      </c>
    </row>
    <row r="10" spans="1:17">
      <c r="A10" s="477" t="s">
        <v>545</v>
      </c>
      <c r="B10" s="478">
        <f>transport!B54</f>
        <v>0</v>
      </c>
      <c r="C10" s="478">
        <f>transport!C54</f>
        <v>0</v>
      </c>
      <c r="D10" s="478">
        <f>transport!D54</f>
        <v>0</v>
      </c>
      <c r="E10" s="478">
        <f>transport!E54</f>
        <v>0</v>
      </c>
      <c r="F10" s="478">
        <f>transport!F54</f>
        <v>0</v>
      </c>
      <c r="G10" s="478">
        <f>transport!G54</f>
        <v>1259.0022642833801</v>
      </c>
      <c r="H10" s="478">
        <f>transport!H54</f>
        <v>0</v>
      </c>
      <c r="I10" s="478">
        <f>transport!I54</f>
        <v>0</v>
      </c>
      <c r="J10" s="478">
        <f>transport!J54</f>
        <v>0</v>
      </c>
      <c r="K10" s="478">
        <f>transport!K54</f>
        <v>0</v>
      </c>
      <c r="L10" s="478">
        <f>transport!L54</f>
        <v>0</v>
      </c>
      <c r="M10" s="478">
        <f>transport!M54</f>
        <v>69.975485149818326</v>
      </c>
      <c r="N10" s="478">
        <f>transport!N54</f>
        <v>0</v>
      </c>
      <c r="O10" s="478">
        <f>transport!O54</f>
        <v>0</v>
      </c>
      <c r="P10" s="479">
        <f>transport!P54</f>
        <v>0</v>
      </c>
      <c r="Q10" s="477">
        <f t="shared" si="0"/>
        <v>1328.9777494331984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1396.8177439999999</v>
      </c>
      <c r="C14" s="485"/>
      <c r="D14" s="485">
        <f>'SEAP template'!E25</f>
        <v>3304.2312879999999</v>
      </c>
      <c r="E14" s="485"/>
      <c r="F14" s="485"/>
      <c r="G14" s="485"/>
      <c r="H14" s="485"/>
      <c r="I14" s="485"/>
      <c r="J14" s="485"/>
      <c r="K14" s="485"/>
      <c r="L14" s="485"/>
      <c r="M14" s="485"/>
      <c r="N14" s="485"/>
      <c r="O14" s="485"/>
      <c r="P14" s="486"/>
      <c r="Q14" s="477">
        <f t="shared" si="0"/>
        <v>4701.0490319999999</v>
      </c>
    </row>
    <row r="15" spans="1:17" s="489" customFormat="1">
      <c r="A15" s="487" t="s">
        <v>549</v>
      </c>
      <c r="B15" s="488">
        <f ca="1">SUM(B4:B14)</f>
        <v>42307.224300937545</v>
      </c>
      <c r="C15" s="488">
        <f t="shared" ref="C15:Q15" ca="1" si="1">SUM(C4:C14)</f>
        <v>0</v>
      </c>
      <c r="D15" s="488">
        <f t="shared" ca="1" si="1"/>
        <v>51097.581074508955</v>
      </c>
      <c r="E15" s="488">
        <f t="shared" si="1"/>
        <v>6722.108114511605</v>
      </c>
      <c r="F15" s="488">
        <f t="shared" ca="1" si="1"/>
        <v>40119.546446648419</v>
      </c>
      <c r="G15" s="488">
        <f t="shared" si="1"/>
        <v>38124.723427017692</v>
      </c>
      <c r="H15" s="488">
        <f t="shared" si="1"/>
        <v>12847.515100170669</v>
      </c>
      <c r="I15" s="488">
        <f t="shared" si="1"/>
        <v>0</v>
      </c>
      <c r="J15" s="488">
        <f t="shared" si="1"/>
        <v>6.7074415425437612</v>
      </c>
      <c r="K15" s="488">
        <f t="shared" si="1"/>
        <v>0</v>
      </c>
      <c r="L15" s="488">
        <f t="shared" ca="1" si="1"/>
        <v>0</v>
      </c>
      <c r="M15" s="488">
        <f t="shared" si="1"/>
        <v>3040.3340485464705</v>
      </c>
      <c r="N15" s="488">
        <f t="shared" ca="1" si="1"/>
        <v>5395.2022876113224</v>
      </c>
      <c r="O15" s="488">
        <f t="shared" si="1"/>
        <v>296.53911901573485</v>
      </c>
      <c r="P15" s="488">
        <f t="shared" si="1"/>
        <v>905.65918399705185</v>
      </c>
      <c r="Q15" s="488">
        <f t="shared" ca="1" si="1"/>
        <v>200863.140544508</v>
      </c>
    </row>
    <row r="17" spans="1:17">
      <c r="A17" s="490" t="s">
        <v>550</v>
      </c>
      <c r="B17" s="807">
        <f ca="1">huishoudens!B10</f>
        <v>0.20917204745840251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5783.9444051216078</v>
      </c>
      <c r="C22" s="478">
        <f t="shared" ref="C22:C32" ca="1" si="3">C4*$C$17</f>
        <v>0</v>
      </c>
      <c r="D22" s="478">
        <f t="shared" ref="D22:D32" si="4">D4*$D$17</f>
        <v>7162.197774149</v>
      </c>
      <c r="E22" s="478">
        <f t="shared" ref="E22:E32" si="5">E4*$E$17</f>
        <v>1435.5164588666596</v>
      </c>
      <c r="F22" s="478">
        <f t="shared" ref="F22:F32" si="6">F4*$F$17</f>
        <v>10245.235326339389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24626.893964476658</v>
      </c>
    </row>
    <row r="23" spans="1:17">
      <c r="A23" s="477" t="s">
        <v>155</v>
      </c>
      <c r="B23" s="478">
        <f t="shared" ca="1" si="2"/>
        <v>2386.9329782535183</v>
      </c>
      <c r="C23" s="478">
        <f t="shared" ca="1" si="3"/>
        <v>0</v>
      </c>
      <c r="D23" s="478">
        <f t="shared" ca="1" si="4"/>
        <v>2322.9177304710083</v>
      </c>
      <c r="E23" s="478">
        <f t="shared" si="5"/>
        <v>34.369076735948305</v>
      </c>
      <c r="F23" s="478">
        <f t="shared" ca="1" si="6"/>
        <v>349.82718948295593</v>
      </c>
      <c r="G23" s="478">
        <f t="shared" si="7"/>
        <v>0</v>
      </c>
      <c r="H23" s="478">
        <f t="shared" si="8"/>
        <v>0</v>
      </c>
      <c r="I23" s="478">
        <f t="shared" si="9"/>
        <v>0</v>
      </c>
      <c r="J23" s="478">
        <f t="shared" si="10"/>
        <v>7.5904830291951258E-3</v>
      </c>
      <c r="K23" s="478">
        <f t="shared" si="11"/>
        <v>0</v>
      </c>
      <c r="L23" s="478">
        <f t="shared" ca="1" si="12"/>
        <v>0</v>
      </c>
      <c r="M23" s="478">
        <f t="shared" si="13"/>
        <v>0</v>
      </c>
      <c r="N23" s="478">
        <f t="shared" ca="1" si="14"/>
        <v>0</v>
      </c>
      <c r="O23" s="478">
        <f t="shared" si="15"/>
        <v>0</v>
      </c>
      <c r="P23" s="479">
        <f t="shared" si="16"/>
        <v>0</v>
      </c>
      <c r="Q23" s="477">
        <f t="shared" ref="Q23:Q31" ca="1" si="17">SUM(B23:P23)</f>
        <v>5094.0545654264606</v>
      </c>
    </row>
    <row r="24" spans="1:17">
      <c r="A24" s="477" t="s">
        <v>193</v>
      </c>
      <c r="B24" s="478">
        <f t="shared" ca="1" si="2"/>
        <v>216.82063254576647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216.82063254576647</v>
      </c>
    </row>
    <row r="25" spans="1:17">
      <c r="A25" s="477" t="s">
        <v>111</v>
      </c>
      <c r="B25" s="478">
        <f t="shared" ca="1" si="2"/>
        <v>3.9756891799118907</v>
      </c>
      <c r="C25" s="478">
        <f t="shared" ca="1" si="3"/>
        <v>0</v>
      </c>
      <c r="D25" s="478">
        <f t="shared" si="4"/>
        <v>0</v>
      </c>
      <c r="E25" s="478">
        <f t="shared" si="5"/>
        <v>0.13465541214909232</v>
      </c>
      <c r="F25" s="478">
        <f t="shared" si="6"/>
        <v>17.934951067231221</v>
      </c>
      <c r="G25" s="478">
        <f t="shared" si="7"/>
        <v>0</v>
      </c>
      <c r="H25" s="478">
        <f t="shared" si="8"/>
        <v>0</v>
      </c>
      <c r="I25" s="478">
        <f t="shared" si="9"/>
        <v>0</v>
      </c>
      <c r="J25" s="478">
        <f t="shared" si="10"/>
        <v>1.8537218694004478</v>
      </c>
      <c r="K25" s="478">
        <f t="shared" si="11"/>
        <v>0</v>
      </c>
      <c r="L25" s="478">
        <f t="shared" si="12"/>
        <v>0</v>
      </c>
      <c r="M25" s="478">
        <f t="shared" si="13"/>
        <v>0</v>
      </c>
      <c r="N25" s="478">
        <f t="shared" si="14"/>
        <v>0</v>
      </c>
      <c r="O25" s="478">
        <f t="shared" si="15"/>
        <v>0</v>
      </c>
      <c r="P25" s="479">
        <f t="shared" si="16"/>
        <v>0</v>
      </c>
      <c r="Q25" s="477">
        <f t="shared" ca="1" si="17"/>
        <v>23.899017528692653</v>
      </c>
    </row>
    <row r="26" spans="1:17">
      <c r="A26" s="477" t="s">
        <v>629</v>
      </c>
      <c r="B26" s="478">
        <f t="shared" ca="1" si="2"/>
        <v>159.641562039359</v>
      </c>
      <c r="C26" s="478">
        <f t="shared" ca="1" si="3"/>
        <v>0</v>
      </c>
      <c r="D26" s="478">
        <f t="shared" si="4"/>
        <v>133.66000176086803</v>
      </c>
      <c r="E26" s="478">
        <f t="shared" si="5"/>
        <v>26.762876150662702</v>
      </c>
      <c r="F26" s="478">
        <f t="shared" si="6"/>
        <v>98.921434365553651</v>
      </c>
      <c r="G26" s="478">
        <f t="shared" si="7"/>
        <v>0</v>
      </c>
      <c r="H26" s="478">
        <f t="shared" si="8"/>
        <v>0</v>
      </c>
      <c r="I26" s="478">
        <f t="shared" si="9"/>
        <v>0</v>
      </c>
      <c r="J26" s="478">
        <f t="shared" si="10"/>
        <v>0.51312195363084845</v>
      </c>
      <c r="K26" s="478">
        <f t="shared" si="11"/>
        <v>0</v>
      </c>
      <c r="L26" s="478">
        <f t="shared" si="12"/>
        <v>0</v>
      </c>
      <c r="M26" s="478">
        <f t="shared" si="13"/>
        <v>0</v>
      </c>
      <c r="N26" s="478">
        <f t="shared" si="14"/>
        <v>0</v>
      </c>
      <c r="O26" s="478">
        <f t="shared" si="15"/>
        <v>0</v>
      </c>
      <c r="P26" s="479">
        <f t="shared" si="16"/>
        <v>0</v>
      </c>
      <c r="Q26" s="477">
        <f t="shared" ca="1" si="17"/>
        <v>419.4989962700742</v>
      </c>
    </row>
    <row r="27" spans="1:17" s="483" customFormat="1">
      <c r="A27" s="481" t="s">
        <v>555</v>
      </c>
      <c r="B27" s="801">
        <f t="shared" ca="1" si="2"/>
        <v>5.9982347301173791</v>
      </c>
      <c r="C27" s="482">
        <f t="shared" ca="1" si="3"/>
        <v>0</v>
      </c>
      <c r="D27" s="482">
        <f t="shared" si="4"/>
        <v>35.481150493933249</v>
      </c>
      <c r="E27" s="482">
        <f t="shared" si="5"/>
        <v>29.135474828714571</v>
      </c>
      <c r="F27" s="482">
        <f t="shared" si="6"/>
        <v>0</v>
      </c>
      <c r="G27" s="482">
        <f t="shared" si="7"/>
        <v>9843.1475504500613</v>
      </c>
      <c r="H27" s="482">
        <f t="shared" si="8"/>
        <v>3199.0312599424965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13112.793670445322</v>
      </c>
    </row>
    <row r="28" spans="1:17" ht="16.5" customHeight="1">
      <c r="A28" s="477" t="s">
        <v>545</v>
      </c>
      <c r="B28" s="478">
        <f t="shared" ca="1" si="2"/>
        <v>0</v>
      </c>
      <c r="C28" s="478">
        <f t="shared" ca="1" si="3"/>
        <v>0</v>
      </c>
      <c r="D28" s="478">
        <f t="shared" si="4"/>
        <v>0</v>
      </c>
      <c r="E28" s="478">
        <f t="shared" si="5"/>
        <v>0</v>
      </c>
      <c r="F28" s="478">
        <f t="shared" si="6"/>
        <v>0</v>
      </c>
      <c r="G28" s="478">
        <f t="shared" si="7"/>
        <v>336.1536045636625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336.1536045636625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292.17522743870671</v>
      </c>
      <c r="C32" s="478">
        <f t="shared" ca="1" si="3"/>
        <v>0</v>
      </c>
      <c r="D32" s="478">
        <f t="shared" si="4"/>
        <v>667.45472017600002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959.62994761470668</v>
      </c>
    </row>
    <row r="33" spans="1:17" s="489" customFormat="1">
      <c r="A33" s="487" t="s">
        <v>549</v>
      </c>
      <c r="B33" s="488">
        <f ca="1">SUM(B22:B32)</f>
        <v>8849.4887293089869</v>
      </c>
      <c r="C33" s="488">
        <f t="shared" ref="C33:Q33" ca="1" si="19">SUM(C22:C32)</f>
        <v>0</v>
      </c>
      <c r="D33" s="488">
        <f t="shared" ca="1" si="19"/>
        <v>10321.711377050809</v>
      </c>
      <c r="E33" s="488">
        <f t="shared" si="19"/>
        <v>1525.9185419941346</v>
      </c>
      <c r="F33" s="488">
        <f t="shared" ca="1" si="19"/>
        <v>10711.918901255129</v>
      </c>
      <c r="G33" s="488">
        <f t="shared" si="19"/>
        <v>10179.301155013723</v>
      </c>
      <c r="H33" s="488">
        <f t="shared" si="19"/>
        <v>3199.0312599424965</v>
      </c>
      <c r="I33" s="488">
        <f t="shared" si="19"/>
        <v>0</v>
      </c>
      <c r="J33" s="488">
        <f t="shared" si="19"/>
        <v>2.3744343060604916</v>
      </c>
      <c r="K33" s="488">
        <f t="shared" si="19"/>
        <v>0</v>
      </c>
      <c r="L33" s="488">
        <f t="shared" ca="1" si="19"/>
        <v>0</v>
      </c>
      <c r="M33" s="488">
        <f t="shared" si="19"/>
        <v>0</v>
      </c>
      <c r="N33" s="488">
        <f t="shared" ca="1" si="19"/>
        <v>0</v>
      </c>
      <c r="O33" s="488">
        <f t="shared" si="19"/>
        <v>0</v>
      </c>
      <c r="P33" s="488">
        <f t="shared" si="19"/>
        <v>0</v>
      </c>
      <c r="Q33" s="488">
        <f t="shared" ca="1" si="19"/>
        <v>44789.744398871335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2264.28887420004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2264.28887420004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0.20917204745840251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0.20917204745840251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0.20917204745840251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0.20917204745840251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5093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248.54</v>
      </c>
    </row>
    <row r="15" spans="1:6">
      <c r="A15" s="348" t="s">
        <v>183</v>
      </c>
      <c r="B15" s="334">
        <v>0</v>
      </c>
    </row>
    <row r="16" spans="1:6">
      <c r="A16" s="348" t="s">
        <v>6</v>
      </c>
      <c r="B16" s="334">
        <v>108</v>
      </c>
    </row>
    <row r="17" spans="1:6">
      <c r="A17" s="348" t="s">
        <v>7</v>
      </c>
      <c r="B17" s="334">
        <v>15</v>
      </c>
    </row>
    <row r="18" spans="1:6">
      <c r="A18" s="348" t="s">
        <v>8</v>
      </c>
      <c r="B18" s="334">
        <v>77</v>
      </c>
    </row>
    <row r="19" spans="1:6">
      <c r="A19" s="348" t="s">
        <v>9</v>
      </c>
      <c r="B19" s="334">
        <v>49</v>
      </c>
    </row>
    <row r="20" spans="1:6">
      <c r="A20" s="348" t="s">
        <v>10</v>
      </c>
      <c r="B20" s="334">
        <v>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28</v>
      </c>
      <c r="C29" s="356"/>
      <c r="D29" s="356"/>
      <c r="E29" s="356"/>
      <c r="F29" s="356"/>
    </row>
    <row r="30" spans="1:6">
      <c r="A30" s="341" t="s">
        <v>714</v>
      </c>
      <c r="B30" s="341">
        <v>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8610.8809999999994</v>
      </c>
    </row>
    <row r="39" spans="1:6">
      <c r="A39" s="348" t="s">
        <v>29</v>
      </c>
      <c r="B39" s="348" t="s">
        <v>30</v>
      </c>
      <c r="C39" s="334">
        <v>2032</v>
      </c>
      <c r="D39" s="334">
        <v>39308674.75</v>
      </c>
      <c r="E39" s="334">
        <v>4924</v>
      </c>
      <c r="F39" s="334">
        <v>25387323.640000001</v>
      </c>
    </row>
    <row r="40" spans="1:6">
      <c r="A40" s="348" t="s">
        <v>29</v>
      </c>
      <c r="B40" s="348" t="s">
        <v>28</v>
      </c>
      <c r="C40" s="334">
        <v>0</v>
      </c>
      <c r="D40" s="334">
        <v>0</v>
      </c>
      <c r="E40" s="334">
        <v>0</v>
      </c>
      <c r="F40" s="334">
        <v>0</v>
      </c>
    </row>
    <row r="41" spans="1:6">
      <c r="A41" s="348" t="s">
        <v>31</v>
      </c>
      <c r="B41" s="348" t="s">
        <v>32</v>
      </c>
      <c r="C41" s="334">
        <v>17</v>
      </c>
      <c r="D41" s="334">
        <v>315363.88400000002</v>
      </c>
      <c r="E41" s="334">
        <v>72</v>
      </c>
      <c r="F41" s="334">
        <v>394318.74300000002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79933.164999999994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418209.48300000001</v>
      </c>
      <c r="E48" s="334">
        <v>18</v>
      </c>
      <c r="F48" s="334">
        <v>165726.234</v>
      </c>
    </row>
    <row r="49" spans="1:6">
      <c r="A49" s="348" t="s">
        <v>31</v>
      </c>
      <c r="B49" s="348" t="s">
        <v>39</v>
      </c>
      <c r="C49" s="334">
        <v>0</v>
      </c>
      <c r="D49" s="334">
        <v>0</v>
      </c>
      <c r="E49" s="334">
        <v>0</v>
      </c>
      <c r="F49" s="334">
        <v>0</v>
      </c>
    </row>
    <row r="50" spans="1:6">
      <c r="A50" s="348" t="s">
        <v>31</v>
      </c>
      <c r="B50" s="348" t="s">
        <v>40</v>
      </c>
      <c r="C50" s="334">
        <v>0</v>
      </c>
      <c r="D50" s="334">
        <v>0</v>
      </c>
      <c r="E50" s="334">
        <v>3</v>
      </c>
      <c r="F50" s="334">
        <v>123228.81600000001</v>
      </c>
    </row>
    <row r="51" spans="1:6">
      <c r="A51" s="348" t="s">
        <v>41</v>
      </c>
      <c r="B51" s="348" t="s">
        <v>42</v>
      </c>
      <c r="C51" s="334">
        <v>0</v>
      </c>
      <c r="D51" s="334">
        <v>0</v>
      </c>
      <c r="E51" s="334">
        <v>3</v>
      </c>
      <c r="F51" s="334">
        <v>15919.607</v>
      </c>
    </row>
    <row r="52" spans="1:6">
      <c r="A52" s="348" t="s">
        <v>41</v>
      </c>
      <c r="B52" s="348" t="s">
        <v>28</v>
      </c>
      <c r="C52" s="334">
        <v>0</v>
      </c>
      <c r="D52" s="334">
        <v>0</v>
      </c>
      <c r="E52" s="334">
        <v>2</v>
      </c>
      <c r="F52" s="334">
        <v>3087.183</v>
      </c>
    </row>
    <row r="53" spans="1:6">
      <c r="A53" s="348" t="s">
        <v>43</v>
      </c>
      <c r="B53" s="348" t="s">
        <v>44</v>
      </c>
      <c r="C53" s="334">
        <v>50</v>
      </c>
      <c r="D53" s="334">
        <v>3304231.2880000002</v>
      </c>
      <c r="E53" s="334">
        <v>163</v>
      </c>
      <c r="F53" s="334">
        <v>1396817.7439999999</v>
      </c>
    </row>
    <row r="54" spans="1:6">
      <c r="A54" s="348" t="s">
        <v>45</v>
      </c>
      <c r="B54" s="348" t="s">
        <v>46</v>
      </c>
      <c r="C54" s="334">
        <v>0</v>
      </c>
      <c r="D54" s="334">
        <v>0</v>
      </c>
      <c r="E54" s="334">
        <v>1</v>
      </c>
      <c r="F54" s="334">
        <v>1036566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v>
      </c>
      <c r="D57" s="334">
        <v>364409.81400000001</v>
      </c>
      <c r="E57" s="334">
        <v>52</v>
      </c>
      <c r="F57" s="334">
        <v>1068502.182</v>
      </c>
    </row>
    <row r="58" spans="1:6">
      <c r="A58" s="348" t="s">
        <v>48</v>
      </c>
      <c r="B58" s="348" t="s">
        <v>50</v>
      </c>
      <c r="C58" s="334">
        <v>20</v>
      </c>
      <c r="D58" s="334">
        <v>979486.33200000005</v>
      </c>
      <c r="E58" s="334">
        <v>50</v>
      </c>
      <c r="F58" s="334">
        <v>634166.772</v>
      </c>
    </row>
    <row r="59" spans="1:6">
      <c r="A59" s="348" t="s">
        <v>48</v>
      </c>
      <c r="B59" s="348" t="s">
        <v>51</v>
      </c>
      <c r="C59" s="334">
        <v>7</v>
      </c>
      <c r="D59" s="334">
        <v>119810.73699999999</v>
      </c>
      <c r="E59" s="334">
        <v>85</v>
      </c>
      <c r="F59" s="334">
        <v>2916057.5780000002</v>
      </c>
    </row>
    <row r="60" spans="1:6">
      <c r="A60" s="348" t="s">
        <v>48</v>
      </c>
      <c r="B60" s="348" t="s">
        <v>52</v>
      </c>
      <c r="C60" s="334">
        <v>33</v>
      </c>
      <c r="D60" s="334">
        <v>2522923.2250000001</v>
      </c>
      <c r="E60" s="334">
        <v>64</v>
      </c>
      <c r="F60" s="334">
        <v>1796624.46</v>
      </c>
    </row>
    <row r="61" spans="1:6">
      <c r="A61" s="348" t="s">
        <v>48</v>
      </c>
      <c r="B61" s="348" t="s">
        <v>53</v>
      </c>
      <c r="C61" s="334">
        <v>108</v>
      </c>
      <c r="D61" s="334">
        <v>3945303.1230000001</v>
      </c>
      <c r="E61" s="334">
        <v>335</v>
      </c>
      <c r="F61" s="334">
        <v>3132691.8149999999</v>
      </c>
    </row>
    <row r="62" spans="1:6">
      <c r="A62" s="348" t="s">
        <v>48</v>
      </c>
      <c r="B62" s="348" t="s">
        <v>54</v>
      </c>
      <c r="C62" s="334">
        <v>4</v>
      </c>
      <c r="D62" s="334">
        <v>615258.95299999998</v>
      </c>
      <c r="E62" s="334">
        <v>5</v>
      </c>
      <c r="F62" s="334">
        <v>139746.10399999999</v>
      </c>
    </row>
    <row r="63" spans="1:6">
      <c r="A63" s="348" t="s">
        <v>48</v>
      </c>
      <c r="B63" s="348" t="s">
        <v>28</v>
      </c>
      <c r="C63" s="334">
        <v>81</v>
      </c>
      <c r="D63" s="334">
        <v>4201801.9680000003</v>
      </c>
      <c r="E63" s="334">
        <v>88</v>
      </c>
      <c r="F63" s="334">
        <v>1723549.3019999999</v>
      </c>
    </row>
    <row r="64" spans="1:6">
      <c r="A64" s="348" t="s">
        <v>55</v>
      </c>
      <c r="B64" s="348" t="s">
        <v>56</v>
      </c>
      <c r="C64" s="334">
        <v>0</v>
      </c>
      <c r="D64" s="334">
        <v>0</v>
      </c>
      <c r="E64" s="334">
        <v>0</v>
      </c>
      <c r="F64" s="334">
        <v>0</v>
      </c>
    </row>
    <row r="65" spans="1:6">
      <c r="A65" s="348" t="s">
        <v>55</v>
      </c>
      <c r="B65" s="348" t="s">
        <v>28</v>
      </c>
      <c r="C65" s="334">
        <v>2</v>
      </c>
      <c r="D65" s="334">
        <v>33831.214</v>
      </c>
      <c r="E65" s="334">
        <v>1</v>
      </c>
      <c r="F65" s="334">
        <v>7071.5770000000002</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7</v>
      </c>
      <c r="F68" s="334">
        <v>104423.753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560503</v>
      </c>
      <c r="E73" s="476"/>
    </row>
    <row r="74" spans="1:6">
      <c r="A74" s="348" t="s">
        <v>63</v>
      </c>
      <c r="B74" s="348" t="s">
        <v>651</v>
      </c>
      <c r="C74" s="1307" t="s">
        <v>653</v>
      </c>
      <c r="D74" s="476">
        <v>7088.5</v>
      </c>
      <c r="E74" s="476"/>
    </row>
    <row r="75" spans="1:6">
      <c r="A75" s="348" t="s">
        <v>64</v>
      </c>
      <c r="B75" s="348" t="s">
        <v>650</v>
      </c>
      <c r="C75" s="1307" t="s">
        <v>654</v>
      </c>
      <c r="D75" s="476">
        <v>52244558</v>
      </c>
      <c r="E75" s="476"/>
    </row>
    <row r="76" spans="1:6">
      <c r="A76" s="348" t="s">
        <v>64</v>
      </c>
      <c r="B76" s="348" t="s">
        <v>651</v>
      </c>
      <c r="C76" s="1307" t="s">
        <v>655</v>
      </c>
      <c r="D76" s="476">
        <v>1311470.5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369207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2264.28887420004</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317</v>
      </c>
    </row>
    <row r="98" spans="1:6">
      <c r="A98" s="348" t="s">
        <v>71</v>
      </c>
      <c r="B98" s="334">
        <v>1</v>
      </c>
    </row>
    <row r="99" spans="1:6">
      <c r="A99" s="348" t="s">
        <v>72</v>
      </c>
      <c r="B99" s="334">
        <v>85</v>
      </c>
    </row>
    <row r="100" spans="1:6">
      <c r="A100" s="348" t="s">
        <v>73</v>
      </c>
      <c r="B100" s="334">
        <v>480</v>
      </c>
    </row>
    <row r="101" spans="1:6">
      <c r="A101" s="348" t="s">
        <v>74</v>
      </c>
      <c r="B101" s="334">
        <v>35</v>
      </c>
    </row>
    <row r="102" spans="1:6">
      <c r="A102" s="348" t="s">
        <v>75</v>
      </c>
      <c r="B102" s="334">
        <v>38</v>
      </c>
    </row>
    <row r="103" spans="1:6">
      <c r="A103" s="348" t="s">
        <v>76</v>
      </c>
      <c r="B103" s="334">
        <v>100</v>
      </c>
    </row>
    <row r="104" spans="1:6">
      <c r="A104" s="348" t="s">
        <v>77</v>
      </c>
      <c r="B104" s="334">
        <v>3389</v>
      </c>
    </row>
    <row r="105" spans="1:6">
      <c r="A105" s="341" t="s">
        <v>78</v>
      </c>
      <c r="B105" s="341">
        <v>17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46</v>
      </c>
      <c r="C123" s="334">
        <v>9</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138</v>
      </c>
    </row>
    <row r="130" spans="1:6">
      <c r="A130" s="348" t="s">
        <v>294</v>
      </c>
      <c r="B130" s="334">
        <v>1</v>
      </c>
    </row>
    <row r="131" spans="1:6">
      <c r="A131" s="348" t="s">
        <v>295</v>
      </c>
      <c r="B131" s="334">
        <v>2</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42307.224300937545</v>
      </c>
      <c r="C3" s="43" t="s">
        <v>169</v>
      </c>
      <c r="D3" s="43"/>
      <c r="E3" s="154"/>
      <c r="F3" s="43"/>
      <c r="G3" s="43"/>
      <c r="H3" s="43"/>
      <c r="I3" s="43"/>
      <c r="J3" s="43"/>
      <c r="K3" s="96"/>
    </row>
    <row r="4" spans="1:11">
      <c r="A4" s="383" t="s">
        <v>170</v>
      </c>
      <c r="B4" s="49">
        <f>IF(ISERROR('SEAP template'!B78+'SEAP template'!C78),0,'SEAP template'!B78+'SEAP template'!C78)</f>
        <v>2264.28887420004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0.20917204745840251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1036.566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1036.566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0.20917204745840251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216.82063254576647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25387.323640000002</v>
      </c>
      <c r="C5" s="17">
        <f>IF(ISERROR('Eigen informatie GS &amp; warmtenet'!B59),0,'Eigen informatie GS &amp; warmtenet'!B59)</f>
        <v>0</v>
      </c>
      <c r="D5" s="30">
        <f>(SUM(HH_hh_gas_kWh,HH_rest_gas_kWh)/1000)*0.902</f>
        <v>35456.424624499996</v>
      </c>
      <c r="E5" s="17">
        <f>B46*B57</f>
        <v>6323.8610522760337</v>
      </c>
      <c r="F5" s="17">
        <f>B51*B62</f>
        <v>38371.667888911565</v>
      </c>
      <c r="G5" s="18"/>
      <c r="H5" s="17"/>
      <c r="I5" s="17"/>
      <c r="J5" s="17">
        <f>B50*B61+C50*C61</f>
        <v>0</v>
      </c>
      <c r="K5" s="17"/>
      <c r="L5" s="17"/>
      <c r="M5" s="17"/>
      <c r="N5" s="17">
        <f>B48*B59+C48*C59</f>
        <v>4506.216043361258</v>
      </c>
      <c r="O5" s="17">
        <f>B69*B70*B71</f>
        <v>291.64185824989369</v>
      </c>
      <c r="P5" s="17">
        <f>B77*B78*B79/1000-B77*B78*B79/1000/B80</f>
        <v>800.58090738406179</v>
      </c>
    </row>
    <row r="6" spans="1:16">
      <c r="A6" s="16" t="s">
        <v>615</v>
      </c>
      <c r="B6" s="809">
        <f>kWh_PV_kleiner_dan_10kW</f>
        <v>2264.28887420004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27651.612514200042</v>
      </c>
      <c r="C8" s="21">
        <f>C5</f>
        <v>0</v>
      </c>
      <c r="D8" s="21">
        <f>D5</f>
        <v>35456.424624499996</v>
      </c>
      <c r="E8" s="21">
        <f>E5</f>
        <v>6323.8610522760337</v>
      </c>
      <c r="F8" s="21">
        <f>F5</f>
        <v>38371.667888911565</v>
      </c>
      <c r="G8" s="21"/>
      <c r="H8" s="21"/>
      <c r="I8" s="21"/>
      <c r="J8" s="21">
        <f>J5</f>
        <v>0</v>
      </c>
      <c r="K8" s="21"/>
      <c r="L8" s="21">
        <f>L5</f>
        <v>0</v>
      </c>
      <c r="M8" s="21">
        <f>M5</f>
        <v>0</v>
      </c>
      <c r="N8" s="21">
        <f>N5</f>
        <v>4506.216043361258</v>
      </c>
      <c r="O8" s="21">
        <f>O5</f>
        <v>291.64185824989369</v>
      </c>
      <c r="P8" s="21">
        <f>P5</f>
        <v>800.58090738406179</v>
      </c>
    </row>
    <row r="9" spans="1:16">
      <c r="B9" s="19"/>
      <c r="C9" s="19"/>
      <c r="D9" s="258"/>
      <c r="E9" s="19"/>
      <c r="F9" s="19"/>
      <c r="G9" s="19"/>
      <c r="H9" s="19"/>
      <c r="I9" s="19"/>
      <c r="J9" s="19"/>
      <c r="K9" s="19"/>
      <c r="L9" s="19"/>
      <c r="M9" s="19"/>
      <c r="N9" s="19"/>
      <c r="O9" s="19"/>
      <c r="P9" s="19"/>
    </row>
    <row r="10" spans="1:16">
      <c r="A10" s="24" t="s">
        <v>213</v>
      </c>
      <c r="B10" s="25">
        <f ca="1">'EF ele_warmte'!B12</f>
        <v>0.20917204745840251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5783.9444051216078</v>
      </c>
      <c r="C12" s="23">
        <f ca="1">C10*C8</f>
        <v>0</v>
      </c>
      <c r="D12" s="23">
        <f>D8*D10</f>
        <v>7162.197774149</v>
      </c>
      <c r="E12" s="23">
        <f>E10*E8</f>
        <v>1435.5164588666596</v>
      </c>
      <c r="F12" s="23">
        <f>F10*F8</f>
        <v>10245.235326339389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v>
      </c>
      <c r="C18" s="166" t="s">
        <v>110</v>
      </c>
      <c r="D18" s="228"/>
      <c r="E18" s="15"/>
    </row>
    <row r="19" spans="1:7">
      <c r="A19" s="171" t="s">
        <v>71</v>
      </c>
      <c r="B19" s="37">
        <f>aantalw2001_ander</f>
        <v>1</v>
      </c>
      <c r="C19" s="166" t="s">
        <v>110</v>
      </c>
      <c r="D19" s="229"/>
      <c r="E19" s="15"/>
    </row>
    <row r="20" spans="1:7">
      <c r="A20" s="171" t="s">
        <v>72</v>
      </c>
      <c r="B20" s="37">
        <f>aantalw2001_propaan</f>
        <v>85</v>
      </c>
      <c r="C20" s="167">
        <f>IF(ISERROR(B20/SUM($B$20,$B$21,$B$22)*100),0,B20/SUM($B$20,$B$21,$B$22)*100)</f>
        <v>14.166666666666666</v>
      </c>
      <c r="D20" s="229"/>
      <c r="E20" s="15"/>
    </row>
    <row r="21" spans="1:7">
      <c r="A21" s="171" t="s">
        <v>73</v>
      </c>
      <c r="B21" s="37">
        <f>aantalw2001_elektriciteit</f>
        <v>480</v>
      </c>
      <c r="C21" s="167">
        <f>IF(ISERROR(B21/SUM($B$20,$B$21,$B$22)*100),0,B21/SUM($B$20,$B$21,$B$22)*100)</f>
        <v>80</v>
      </c>
      <c r="D21" s="229"/>
      <c r="E21" s="15"/>
    </row>
    <row r="22" spans="1:7">
      <c r="A22" s="171" t="s">
        <v>74</v>
      </c>
      <c r="B22" s="37">
        <f>aantalw2001_hout</f>
        <v>35</v>
      </c>
      <c r="C22" s="167">
        <f>IF(ISERROR(B22/SUM($B$20,$B$21,$B$22)*100),0,B22/SUM($B$20,$B$21,$B$22)*100)</f>
        <v>5.833333333333333</v>
      </c>
      <c r="D22" s="229"/>
      <c r="E22" s="15"/>
    </row>
    <row r="23" spans="1:7">
      <c r="A23" s="171" t="s">
        <v>75</v>
      </c>
      <c r="B23" s="37">
        <f>aantalw2001_niet_gespec</f>
        <v>38</v>
      </c>
      <c r="C23" s="166" t="s">
        <v>110</v>
      </c>
      <c r="D23" s="228"/>
      <c r="E23" s="15"/>
    </row>
    <row r="24" spans="1:7">
      <c r="A24" s="171" t="s">
        <v>76</v>
      </c>
      <c r="B24" s="37">
        <f>aantalw2001_steenkool</f>
        <v>100</v>
      </c>
      <c r="C24" s="166" t="s">
        <v>110</v>
      </c>
      <c r="D24" s="229"/>
      <c r="E24" s="15"/>
    </row>
    <row r="25" spans="1:7">
      <c r="A25" s="171" t="s">
        <v>77</v>
      </c>
      <c r="B25" s="37">
        <f>aantalw2001_stookolie</f>
        <v>3389</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836</v>
      </c>
      <c r="B28" s="37">
        <f>aantalHuishoudens2011</f>
        <v>5093</v>
      </c>
      <c r="C28" s="36"/>
      <c r="D28" s="228"/>
    </row>
    <row r="29" spans="1:7" s="15" customFormat="1">
      <c r="A29" s="230" t="s">
        <v>837</v>
      </c>
      <c r="B29" s="37">
        <f>SUM(HH_hh_gas_aantal,HH_rest_gas_aantal)</f>
        <v>2032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2032</v>
      </c>
      <c r="C32" s="167">
        <f>IF(ISERROR(B32/SUM($B$32,$B$34,$B$35,$B$36,$B$38,$B$39)*100),0,B32/SUM($B$32,$B$34,$B$35,$B$36,$B$38,$B$39)*100)</f>
        <v>40.502292206497906</v>
      </c>
      <c r="D32" s="233"/>
      <c r="G32" s="15"/>
    </row>
    <row r="33" spans="1:7">
      <c r="A33" s="171" t="s">
        <v>71</v>
      </c>
      <c r="B33" s="34" t="s">
        <v>110</v>
      </c>
      <c r="C33" s="167"/>
      <c r="D33" s="233"/>
      <c r="G33" s="15"/>
    </row>
    <row r="34" spans="1:7">
      <c r="A34" s="171" t="s">
        <v>72</v>
      </c>
      <c r="B34" s="33">
        <f>IF((($B$28-$B$32-$B$39-$B$77-$B$38)*C20/100)&lt;0,0,($B$28-$B$32-$B$39-$B$77-$B$38)*C20/100)</f>
        <v>161.42916666666667</v>
      </c>
      <c r="C34" s="167">
        <f>IF(ISERROR(B34/SUM($B$32,$B$34,$B$35,$B$36,$B$38,$B$39)*100),0,B34/SUM($B$32,$B$34,$B$35,$B$36,$B$38,$B$39)*100)</f>
        <v>3.2176433459570797</v>
      </c>
      <c r="D34" s="233"/>
      <c r="G34" s="15"/>
    </row>
    <row r="35" spans="1:7">
      <c r="A35" s="171" t="s">
        <v>73</v>
      </c>
      <c r="B35" s="33">
        <f>IF((($B$28-$B$32-$B$39-$B$77-$B$38)*C21/100)&lt;0,0,($B$28-$B$32-$B$39-$B$77-$B$38)*C21/100)</f>
        <v>911.6</v>
      </c>
      <c r="C35" s="167">
        <f>IF(ISERROR(B35/SUM($B$32,$B$34,$B$35,$B$36,$B$38,$B$39)*100),0,B35/SUM($B$32,$B$34,$B$35,$B$36,$B$38,$B$39)*100)</f>
        <v>18.170221247757627</v>
      </c>
      <c r="D35" s="233"/>
      <c r="G35" s="15"/>
    </row>
    <row r="36" spans="1:7">
      <c r="A36" s="171" t="s">
        <v>74</v>
      </c>
      <c r="B36" s="33">
        <f>IF((($B$28-$B$32-$B$39-$B$77-$B$38)*C22/100)&lt;0,0,($B$28-$B$32-$B$39-$B$77-$B$38)*C22/100)</f>
        <v>66.470833333333331</v>
      </c>
      <c r="C36" s="167">
        <f>IF(ISERROR(B36/SUM($B$32,$B$34,$B$35,$B$36,$B$38,$B$39)*100),0,B36/SUM($B$32,$B$34,$B$35,$B$36,$B$38,$B$39)*100)</f>
        <v>1.3249119659823267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1845.5</v>
      </c>
      <c r="C39" s="167">
        <f>IF(ISERROR(B39/SUM($B$32,$B$34,$B$35,$B$36,$B$38,$B$39)*100),0,B39/SUM($B$32,$B$34,$B$35,$B$36,$B$38,$B$39)*100)</f>
        <v>36.784931233805061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2032</v>
      </c>
      <c r="C44" s="34" t="s">
        <v>110</v>
      </c>
      <c r="D44" s="174"/>
    </row>
    <row r="45" spans="1:7">
      <c r="A45" s="171" t="s">
        <v>71</v>
      </c>
      <c r="B45" s="33" t="str">
        <f t="shared" si="0"/>
        <v>-</v>
      </c>
      <c r="C45" s="34" t="s">
        <v>110</v>
      </c>
      <c r="D45" s="174"/>
    </row>
    <row r="46" spans="1:7">
      <c r="A46" s="171" t="s">
        <v>72</v>
      </c>
      <c r="B46" s="33">
        <f t="shared" si="0"/>
        <v>161.42916666666667</v>
      </c>
      <c r="C46" s="34" t="s">
        <v>110</v>
      </c>
      <c r="D46" s="174"/>
    </row>
    <row r="47" spans="1:7">
      <c r="A47" s="171" t="s">
        <v>73</v>
      </c>
      <c r="B47" s="33">
        <f t="shared" si="0"/>
        <v>911.6</v>
      </c>
      <c r="C47" s="34" t="s">
        <v>110</v>
      </c>
      <c r="D47" s="174"/>
    </row>
    <row r="48" spans="1:7">
      <c r="A48" s="171" t="s">
        <v>74</v>
      </c>
      <c r="B48" s="33">
        <f t="shared" si="0"/>
        <v>66.470833333333331</v>
      </c>
      <c r="C48" s="33">
        <f>B48*10</f>
        <v>664.70833333333326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1845.5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11411.338213000001</v>
      </c>
      <c r="C5" s="17">
        <f>IF(ISERROR('Eigen informatie GS &amp; warmtenet'!B60),0,'Eigen informatie GS &amp; warmtenet'!B60)</f>
        <v>0</v>
      </c>
      <c r="D5" s="30">
        <f>SUM(D6:D12)</f>
        <v>11499.592725104001</v>
      </c>
      <c r="E5" s="17">
        <f>SUM(E6:E12)</f>
        <v>151.40562438743746</v>
      </c>
      <c r="F5" s="17">
        <f>SUM(F6:F12)</f>
        <v>1310.2141928200597</v>
      </c>
      <c r="G5" s="18"/>
      <c r="H5" s="17"/>
      <c r="I5" s="17"/>
      <c r="J5" s="17">
        <f>SUM(J6:J12)</f>
        <v>2.1442042455353465E-2</v>
      </c>
      <c r="K5" s="17"/>
      <c r="L5" s="17"/>
      <c r="M5" s="17"/>
      <c r="N5" s="17">
        <f>SUM(N6:N12)</f>
        <v>845.74255189033943</v>
      </c>
      <c r="O5" s="17">
        <f>B38*B39*B40</f>
        <v>4.8972607658411542</v>
      </c>
      <c r="P5" s="17">
        <f>B46*B47*B48/1000-B46*B47*B48/1000/B49</f>
        <v>105.07827661299004</v>
      </c>
      <c r="R5" s="32"/>
    </row>
    <row r="6" spans="1:18">
      <c r="A6" s="32" t="s">
        <v>53</v>
      </c>
      <c r="B6" s="37">
        <f>B26</f>
        <v>3132.6918150000001</v>
      </c>
      <c r="C6" s="33"/>
      <c r="D6" s="37">
        <f>IF(ISERROR(TER_kantoor_gas_kWh/1000),0,TER_kantoor_gas_kWh/1000)*0.902</f>
        <v>3558.6634169460003</v>
      </c>
      <c r="E6" s="33">
        <f>$C$26*'E Balans VL '!I12/100/3.6*1000000</f>
        <v>25.207766615178496</v>
      </c>
      <c r="F6" s="33">
        <f>$C$26*('E Balans VL '!L12+'E Balans VL '!N12)/100/3.6*1000000</f>
        <v>383.00452924657225</v>
      </c>
      <c r="G6" s="34"/>
      <c r="H6" s="33"/>
      <c r="I6" s="33"/>
      <c r="J6" s="33">
        <f>$C$26*('E Balans VL '!D12+'E Balans VL '!E12)/100/3.6*1000000</f>
        <v>0</v>
      </c>
      <c r="K6" s="33"/>
      <c r="L6" s="33"/>
      <c r="M6" s="33"/>
      <c r="N6" s="33">
        <f>$C$26*'E Balans VL '!Y12/100/3.6*1000000</f>
        <v>1.6836675821877713</v>
      </c>
      <c r="O6" s="33"/>
      <c r="P6" s="33"/>
      <c r="R6" s="32"/>
    </row>
    <row r="7" spans="1:18">
      <c r="A7" s="32" t="s">
        <v>52</v>
      </c>
      <c r="B7" s="37">
        <f t="shared" ref="B7:B12" si="0">B27</f>
        <v>1796.62446</v>
      </c>
      <c r="C7" s="33"/>
      <c r="D7" s="37">
        <f>IF(ISERROR(TER_horeca_gas_kWh/1000),0,TER_horeca_gas_kWh/1000)*0.902</f>
        <v>2275.6767489500003</v>
      </c>
      <c r="E7" s="33">
        <f>$C$27*'E Balans VL '!I9/100/3.6*1000000</f>
        <v>19.291334962022816</v>
      </c>
      <c r="F7" s="33">
        <f>$C$27*('E Balans VL '!L9+'E Balans VL '!N9)/100/3.6*1000000</f>
        <v>216.09035674356238</v>
      </c>
      <c r="G7" s="34"/>
      <c r="H7" s="33"/>
      <c r="I7" s="33"/>
      <c r="J7" s="33">
        <f>$C$27*('E Balans VL '!D9+'E Balans VL '!E9)/100/3.6*1000000</f>
        <v>0</v>
      </c>
      <c r="K7" s="33"/>
      <c r="L7" s="33"/>
      <c r="M7" s="33"/>
      <c r="N7" s="33">
        <f>$C$27*'E Balans VL '!Y9/100/3.6*1000000</f>
        <v>0.26935041990426761</v>
      </c>
      <c r="O7" s="33"/>
      <c r="P7" s="33"/>
      <c r="R7" s="32"/>
    </row>
    <row r="8" spans="1:18">
      <c r="A8" s="6" t="s">
        <v>51</v>
      </c>
      <c r="B8" s="37">
        <f t="shared" si="0"/>
        <v>2916.0575780000004</v>
      </c>
      <c r="C8" s="33"/>
      <c r="D8" s="37">
        <f>IF(ISERROR(TER_handel_gas_kWh/1000),0,TER_handel_gas_kWh/1000)*0.902</f>
        <v>108.069284774</v>
      </c>
      <c r="E8" s="33">
        <f>$C$28*'E Balans VL '!I13/100/3.6*1000000</f>
        <v>78.258057969848053</v>
      </c>
      <c r="F8" s="33">
        <f>$C$28*('E Balans VL '!L13+'E Balans VL '!N13)/100/3.6*1000000</f>
        <v>278.28176815316419</v>
      </c>
      <c r="G8" s="34"/>
      <c r="H8" s="33"/>
      <c r="I8" s="33"/>
      <c r="J8" s="33">
        <f>$C$28*('E Balans VL '!D13+'E Balans VL '!E13)/100/3.6*1000000</f>
        <v>0</v>
      </c>
      <c r="K8" s="33"/>
      <c r="L8" s="33"/>
      <c r="M8" s="33"/>
      <c r="N8" s="33">
        <f>$C$28*'E Balans VL '!Y13/100/3.6*1000000</f>
        <v>1.1559583806179459</v>
      </c>
      <c r="O8" s="33"/>
      <c r="P8" s="33"/>
      <c r="R8" s="32"/>
    </row>
    <row r="9" spans="1:18">
      <c r="A9" s="32" t="s">
        <v>50</v>
      </c>
      <c r="B9" s="37">
        <f t="shared" si="0"/>
        <v>634.16677200000004</v>
      </c>
      <c r="C9" s="33"/>
      <c r="D9" s="37">
        <f>IF(ISERROR(TER_gezond_gas_kWh/1000),0,TER_gezond_gas_kWh/1000)*0.902</f>
        <v>883.49667146400009</v>
      </c>
      <c r="E9" s="33">
        <f>$C$29*'E Balans VL '!I10/100/3.6*1000000</f>
        <v>1.1886350243957029</v>
      </c>
      <c r="F9" s="33">
        <f>$C$29*('E Balans VL '!L10+'E Balans VL '!N10)/100/3.6*1000000</f>
        <v>52.134294984338929</v>
      </c>
      <c r="G9" s="34"/>
      <c r="H9" s="33"/>
      <c r="I9" s="33"/>
      <c r="J9" s="33">
        <f>$C$29*('E Balans VL '!D10+'E Balans VL '!E10)/100/3.6*1000000</f>
        <v>0</v>
      </c>
      <c r="K9" s="33"/>
      <c r="L9" s="33"/>
      <c r="M9" s="33"/>
      <c r="N9" s="33">
        <f>$C$29*'E Balans VL '!Y10/100/3.6*1000000</f>
        <v>4.9342906425583148</v>
      </c>
      <c r="O9" s="33"/>
      <c r="P9" s="33"/>
      <c r="R9" s="32"/>
    </row>
    <row r="10" spans="1:18">
      <c r="A10" s="32" t="s">
        <v>49</v>
      </c>
      <c r="B10" s="37">
        <f t="shared" si="0"/>
        <v>1068.5021819999999</v>
      </c>
      <c r="C10" s="33"/>
      <c r="D10" s="37">
        <f>IF(ISERROR(TER_ander_gas_kWh/1000),0,TER_ander_gas_kWh/1000)*0.902</f>
        <v>328.69765222800004</v>
      </c>
      <c r="E10" s="33">
        <f>$C$30*'E Balans VL '!I14/100/3.6*1000000</f>
        <v>1.6471069405183196</v>
      </c>
      <c r="F10" s="33">
        <f>$C$30*('E Balans VL '!L14+'E Balans VL '!N14)/100/3.6*1000000</f>
        <v>165.88525873174478</v>
      </c>
      <c r="G10" s="34"/>
      <c r="H10" s="33"/>
      <c r="I10" s="33"/>
      <c r="J10" s="33">
        <f>$C$30*('E Balans VL '!D14+'E Balans VL '!E14)/100/3.6*1000000</f>
        <v>1.8138951408349813E-2</v>
      </c>
      <c r="K10" s="33"/>
      <c r="L10" s="33"/>
      <c r="M10" s="33"/>
      <c r="N10" s="33">
        <f>$C$30*'E Balans VL '!Y14/100/3.6*1000000</f>
        <v>706.88679837332438</v>
      </c>
      <c r="O10" s="33"/>
      <c r="P10" s="33"/>
      <c r="R10" s="32"/>
    </row>
    <row r="11" spans="1:18">
      <c r="A11" s="32" t="s">
        <v>54</v>
      </c>
      <c r="B11" s="37">
        <f t="shared" si="0"/>
        <v>139.746104</v>
      </c>
      <c r="C11" s="33"/>
      <c r="D11" s="37">
        <f>IF(ISERROR(TER_onderwijs_gas_kWh/1000),0,TER_onderwijs_gas_kWh/1000)*0.902</f>
        <v>554.96357560600006</v>
      </c>
      <c r="E11" s="33">
        <f>$C$31*'E Balans VL '!I11/100/3.6*1000000</f>
        <v>3.5644801257766612</v>
      </c>
      <c r="F11" s="33">
        <f>$C$31*('E Balans VL '!L11+'E Balans VL '!N11)/100/3.6*1000000</f>
        <v>16.805784346420769</v>
      </c>
      <c r="G11" s="34"/>
      <c r="H11" s="33"/>
      <c r="I11" s="33"/>
      <c r="J11" s="33">
        <f>$C$31*('E Balans VL '!D11+'E Balans VL '!E11)/100/3.6*1000000</f>
        <v>0</v>
      </c>
      <c r="K11" s="33"/>
      <c r="L11" s="33"/>
      <c r="M11" s="33"/>
      <c r="N11" s="33">
        <f>$C$31*'E Balans VL '!Y11/100/3.6*1000000</f>
        <v>0.31079192546168094</v>
      </c>
      <c r="O11" s="33"/>
      <c r="P11" s="33"/>
      <c r="R11" s="32"/>
    </row>
    <row r="12" spans="1:18">
      <c r="A12" s="32" t="s">
        <v>259</v>
      </c>
      <c r="B12" s="37">
        <f t="shared" si="0"/>
        <v>1723.5493019999999</v>
      </c>
      <c r="C12" s="33"/>
      <c r="D12" s="37">
        <f>IF(ISERROR(TER_rest_gas_kWh/1000),0,TER_rest_gas_kWh/1000)*0.902</f>
        <v>3790.0253751360005</v>
      </c>
      <c r="E12" s="33">
        <f>$C$32*'E Balans VL '!I8/100/3.6*1000000</f>
        <v>22.248242749697408</v>
      </c>
      <c r="F12" s="33">
        <f>$C$32*('E Balans VL '!L8+'E Balans VL '!N8)/100/3.6*1000000</f>
        <v>198.01220061425644</v>
      </c>
      <c r="G12" s="34"/>
      <c r="H12" s="33"/>
      <c r="I12" s="33"/>
      <c r="J12" s="33">
        <f>$C$32*('E Balans VL '!D8+'E Balans VL '!E8)/100/3.6*1000000</f>
        <v>3.3030910470036538E-3</v>
      </c>
      <c r="K12" s="33"/>
      <c r="L12" s="33"/>
      <c r="M12" s="33"/>
      <c r="N12" s="33">
        <f>$C$32*'E Balans VL '!Y8/100/3.6*1000000</f>
        <v>130.50169456628504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11411.338213000001</v>
      </c>
      <c r="C16" s="21">
        <f t="shared" ca="1" si="1"/>
        <v>0</v>
      </c>
      <c r="D16" s="21">
        <f t="shared" ca="1" si="1"/>
        <v>11499.592725104001</v>
      </c>
      <c r="E16" s="21">
        <f t="shared" si="1"/>
        <v>151.40562438743746</v>
      </c>
      <c r="F16" s="21">
        <f t="shared" ca="1" si="1"/>
        <v>1310.2141928200597</v>
      </c>
      <c r="G16" s="21">
        <f t="shared" si="1"/>
        <v>0</v>
      </c>
      <c r="H16" s="21">
        <f t="shared" si="1"/>
        <v>0</v>
      </c>
      <c r="I16" s="21">
        <f t="shared" si="1"/>
        <v>0</v>
      </c>
      <c r="J16" s="21">
        <f t="shared" si="1"/>
        <v>2.1442042455353465E-2</v>
      </c>
      <c r="K16" s="21">
        <f t="shared" si="1"/>
        <v>0</v>
      </c>
      <c r="L16" s="21">
        <f t="shared" ca="1" si="1"/>
        <v>0</v>
      </c>
      <c r="M16" s="21">
        <f t="shared" si="1"/>
        <v>0</v>
      </c>
      <c r="N16" s="21">
        <f t="shared" ca="1" si="1"/>
        <v>845.74255189033943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0.20917204745840251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2386.9329782535183</v>
      </c>
      <c r="C20" s="23">
        <f t="shared" ref="C20:P20" ca="1" si="2">C16*C18</f>
        <v>0</v>
      </c>
      <c r="D20" s="23">
        <f t="shared" ca="1" si="2"/>
        <v>2322.9177304710083</v>
      </c>
      <c r="E20" s="23">
        <f t="shared" si="2"/>
        <v>34.369076735948305</v>
      </c>
      <c r="F20" s="23">
        <f t="shared" ca="1" si="2"/>
        <v>349.82718948295593</v>
      </c>
      <c r="G20" s="23">
        <f t="shared" si="2"/>
        <v>0</v>
      </c>
      <c r="H20" s="23">
        <f t="shared" si="2"/>
        <v>0</v>
      </c>
      <c r="I20" s="23">
        <f t="shared" si="2"/>
        <v>0</v>
      </c>
      <c r="J20" s="23">
        <f t="shared" si="2"/>
        <v>7.5904830291951258E-3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3132.6918150000001</v>
      </c>
      <c r="C26" s="39">
        <f>IF(ISERROR(B26*3.6/1000000/'E Balans VL '!Z12*100),0,B26*3.6/1000000/'E Balans VL '!Z12*100)</f>
        <v>6.6457190771337202E-2</v>
      </c>
      <c r="D26" s="237" t="s">
        <v>716</v>
      </c>
      <c r="F26" s="6"/>
    </row>
    <row r="27" spans="1:18">
      <c r="A27" s="231" t="s">
        <v>52</v>
      </c>
      <c r="B27" s="33">
        <f>IF(ISERROR(TER_horeca_ele_kWh/1000),0,TER_horeca_ele_kWh/1000)</f>
        <v>1796.62446</v>
      </c>
      <c r="C27" s="39">
        <f>IF(ISERROR(B27*3.6/1000000/'E Balans VL '!Z9*100),0,B27*3.6/1000000/'E Balans VL '!Z9*100)</f>
        <v>0.13530173724756042</v>
      </c>
      <c r="D27" s="237" t="s">
        <v>716</v>
      </c>
      <c r="F27" s="6"/>
    </row>
    <row r="28" spans="1:18">
      <c r="A28" s="171" t="s">
        <v>51</v>
      </c>
      <c r="B28" s="33">
        <f>IF(ISERROR(TER_handel_ele_kWh/1000),0,TER_handel_ele_kWh/1000)</f>
        <v>2916.0575780000004</v>
      </c>
      <c r="C28" s="39">
        <f>IF(ISERROR(B28*3.6/1000000/'E Balans VL '!Z13*100),0,B28*3.6/1000000/'E Balans VL '!Z13*100)</f>
        <v>8.4642819091188815E-2</v>
      </c>
      <c r="D28" s="237" t="s">
        <v>716</v>
      </c>
      <c r="F28" s="6"/>
    </row>
    <row r="29" spans="1:18">
      <c r="A29" s="231" t="s">
        <v>50</v>
      </c>
      <c r="B29" s="33">
        <f>IF(ISERROR(TER_gezond_ele_kWh/1000),0,TER_gezond_ele_kWh/1000)</f>
        <v>634.16677200000004</v>
      </c>
      <c r="C29" s="39">
        <f>IF(ISERROR(B29*3.6/1000000/'E Balans VL '!Z10*100),0,B29*3.6/1000000/'E Balans VL '!Z10*100)</f>
        <v>6.3956475230878024E-2</v>
      </c>
      <c r="D29" s="237" t="s">
        <v>716</v>
      </c>
      <c r="F29" s="6"/>
    </row>
    <row r="30" spans="1:18">
      <c r="A30" s="231" t="s">
        <v>49</v>
      </c>
      <c r="B30" s="33">
        <f>IF(ISERROR(TER_ander_ele_kWh/1000),0,TER_ander_ele_kWh/1000)</f>
        <v>1068.5021819999999</v>
      </c>
      <c r="C30" s="39">
        <f>IF(ISERROR(B30*3.6/1000000/'E Balans VL '!Z14*100),0,B30*3.6/1000000/'E Balans VL '!Z14*100)</f>
        <v>7.7534410346637328E-2</v>
      </c>
      <c r="D30" s="237" t="s">
        <v>716</v>
      </c>
      <c r="F30" s="6"/>
    </row>
    <row r="31" spans="1:18">
      <c r="A31" s="231" t="s">
        <v>54</v>
      </c>
      <c r="B31" s="33">
        <f>IF(ISERROR(TER_onderwijs_ele_kWh/1000),0,TER_onderwijs_ele_kWh/1000)</f>
        <v>139.746104</v>
      </c>
      <c r="C31" s="39">
        <f>IF(ISERROR(B31*3.6/1000000/'E Balans VL '!Z11*100),0,B31*3.6/1000000/'E Balans VL '!Z11*100)</f>
        <v>3.983333036633574E-2</v>
      </c>
      <c r="D31" s="237" t="s">
        <v>716</v>
      </c>
    </row>
    <row r="32" spans="1:18">
      <c r="A32" s="231" t="s">
        <v>259</v>
      </c>
      <c r="B32" s="33">
        <f>IF(ISERROR(TER_rest_ele_kWh/1000),0,TER_rest_ele_kWh/1000)</f>
        <v>1723.5493019999999</v>
      </c>
      <c r="C32" s="39">
        <f>IF(ISERROR(B32*3.6/1000000/'E Balans VL '!Z8*100),0,B32*3.6/1000000/'E Balans VL '!Z8*100)</f>
        <v>1.4118964811427553E-2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763.20695799999999</v>
      </c>
      <c r="C5" s="17">
        <f>IF(ISERROR('Eigen informatie GS &amp; warmtenet'!B61),0,'Eigen informatie GS &amp; warmtenet'!B61)</f>
        <v>0</v>
      </c>
      <c r="D5" s="30">
        <f>SUM(D6:D15)</f>
        <v>661.6831770340001</v>
      </c>
      <c r="E5" s="17">
        <f>SUM(E6:E15)</f>
        <v>117.89813282230264</v>
      </c>
      <c r="F5" s="17">
        <f>SUM(F6:F15)</f>
        <v>370.49226354139944</v>
      </c>
      <c r="G5" s="18"/>
      <c r="H5" s="17"/>
      <c r="I5" s="17"/>
      <c r="J5" s="17">
        <f>SUM(J6:J15)</f>
        <v>1.4494970441549393</v>
      </c>
      <c r="K5" s="17"/>
      <c r="L5" s="17"/>
      <c r="M5" s="17"/>
      <c r="N5" s="17">
        <f>SUM(N6:N15)</f>
        <v>43.243692359725131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79.933164999999988</v>
      </c>
      <c r="C8" s="33"/>
      <c r="D8" s="37">
        <f>IF( ISERROR(IND_metaal_Gas_kWH/1000),0,IND_metaal_Gas_kWH/1000)*0.902</f>
        <v>0</v>
      </c>
      <c r="E8" s="33">
        <f>C30*'E Balans VL '!I18/100/3.6*1000000</f>
        <v>0.5766616831365029</v>
      </c>
      <c r="F8" s="33">
        <f>C30*'E Balans VL '!L18/100/3.6*1000000+C30*'E Balans VL '!N18/100/3.6*1000000</f>
        <v>7.560203544681908</v>
      </c>
      <c r="G8" s="34"/>
      <c r="H8" s="33"/>
      <c r="I8" s="33"/>
      <c r="J8" s="40">
        <f>C30*'E Balans VL '!D18/100/3.6*1000000+C30*'E Balans VL '!E18/100/3.6*1000000</f>
        <v>8.0397241864457944E-2</v>
      </c>
      <c r="K8" s="33"/>
      <c r="L8" s="33"/>
      <c r="M8" s="33"/>
      <c r="N8" s="33">
        <f>C30*'E Balans VL '!Y18/100/3.6*1000000</f>
        <v>1.0105666878756954</v>
      </c>
      <c r="O8" s="33"/>
      <c r="P8" s="33"/>
      <c r="R8" s="32"/>
    </row>
    <row r="9" spans="1:18">
      <c r="A9" s="6" t="s">
        <v>32</v>
      </c>
      <c r="B9" s="37">
        <f t="shared" si="0"/>
        <v>394.31874300000004</v>
      </c>
      <c r="C9" s="33"/>
      <c r="D9" s="37">
        <f>IF( ISERROR(IND_andere_gas_kWh/1000),0,IND_andere_gas_kWh/1000)*0.902</f>
        <v>284.45822336800006</v>
      </c>
      <c r="E9" s="33">
        <f>C31*'E Balans VL '!I19/100/3.6*1000000</f>
        <v>109.27099638746979</v>
      </c>
      <c r="F9" s="33">
        <f>C31*'E Balans VL '!L19/100/3.6*1000000+C31*'E Balans VL '!N19/100/3.6*1000000</f>
        <v>326.81222632777099</v>
      </c>
      <c r="G9" s="34"/>
      <c r="H9" s="33"/>
      <c r="I9" s="33"/>
      <c r="J9" s="40">
        <f>C31*'E Balans VL '!D19/100/3.6*1000000+C31*'E Balans VL '!E19/100/3.6*1000000</f>
        <v>0</v>
      </c>
      <c r="K9" s="33"/>
      <c r="L9" s="33"/>
      <c r="M9" s="33"/>
      <c r="N9" s="33">
        <f>C31*'E Balans VL '!Y19/100/3.6*1000000</f>
        <v>28.622717701439136</v>
      </c>
      <c r="O9" s="33"/>
      <c r="P9" s="33"/>
      <c r="R9" s="32"/>
    </row>
    <row r="10" spans="1:18">
      <c r="A10" s="6" t="s">
        <v>40</v>
      </c>
      <c r="B10" s="37">
        <f t="shared" si="0"/>
        <v>123.22881600000001</v>
      </c>
      <c r="C10" s="33"/>
      <c r="D10" s="37">
        <f>IF( ISERROR(IND_voed_gas_kWh/1000),0,IND_voed_gas_kWh/1000)*0.902</f>
        <v>0</v>
      </c>
      <c r="E10" s="33">
        <f>C32*'E Balans VL '!I20/100/3.6*1000000</f>
        <v>0.21815674459606782</v>
      </c>
      <c r="F10" s="33">
        <f>C32*'E Balans VL '!L20/100/3.6*1000000+C32*'E Balans VL '!N20/100/3.6*1000000</f>
        <v>6.6554482311993084</v>
      </c>
      <c r="G10" s="34"/>
      <c r="H10" s="33"/>
      <c r="I10" s="33"/>
      <c r="J10" s="40">
        <f>C32*'E Balans VL '!D20/100/3.6*1000000+C32*'E Balans VL '!E20/100/3.6*1000000</f>
        <v>0</v>
      </c>
      <c r="K10" s="33"/>
      <c r="L10" s="33"/>
      <c r="M10" s="33"/>
      <c r="N10" s="33">
        <f>C32*'E Balans VL '!Y20/100/3.6*1000000</f>
        <v>7.160535319794862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165.72623400000001</v>
      </c>
      <c r="C15" s="33"/>
      <c r="D15" s="37">
        <f>IF( ISERROR(IND_rest_gas_kWh/1000),0,IND_rest_gas_kWh/1000)*0.902</f>
        <v>377.22495366600003</v>
      </c>
      <c r="E15" s="33">
        <f>C37*'E Balans VL '!I15/100/3.6*1000000</f>
        <v>7.832318007100274</v>
      </c>
      <c r="F15" s="33">
        <f>C37*'E Balans VL '!L15/100/3.6*1000000+C37*'E Balans VL '!N15/100/3.6*1000000</f>
        <v>29.464385437747215</v>
      </c>
      <c r="G15" s="34"/>
      <c r="H15" s="33"/>
      <c r="I15" s="33"/>
      <c r="J15" s="40">
        <f>C37*'E Balans VL '!D15/100/3.6*1000000+C37*'E Balans VL '!E15/100/3.6*1000000</f>
        <v>1.3690998022904814</v>
      </c>
      <c r="K15" s="33"/>
      <c r="L15" s="33"/>
      <c r="M15" s="33"/>
      <c r="N15" s="33">
        <f>C37*'E Balans VL '!Y15/100/3.6*1000000</f>
        <v>6.4498726506154416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763.20695799999999</v>
      </c>
      <c r="C18" s="21">
        <f>C5+C16</f>
        <v>0</v>
      </c>
      <c r="D18" s="21">
        <f>MAX((D5+D16),0)</f>
        <v>661.6831770340001</v>
      </c>
      <c r="E18" s="21">
        <f>MAX((E5+E16),0)</f>
        <v>117.89813282230264</v>
      </c>
      <c r="F18" s="21">
        <f>MAX((F5+F16),0)</f>
        <v>370.49226354139944</v>
      </c>
      <c r="G18" s="21"/>
      <c r="H18" s="21"/>
      <c r="I18" s="21"/>
      <c r="J18" s="21">
        <f>MAX((J5+J16),0)</f>
        <v>1.4494970441549393</v>
      </c>
      <c r="K18" s="21"/>
      <c r="L18" s="21">
        <f>MAX((L5+L16),0)</f>
        <v>0</v>
      </c>
      <c r="M18" s="21"/>
      <c r="N18" s="21">
        <f>MAX((N5+N16),0)</f>
        <v>43.243692359725131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0.20917204745840251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159.641562039359</v>
      </c>
      <c r="C22" s="23">
        <f ca="1">C18*C20</f>
        <v>0</v>
      </c>
      <c r="D22" s="23">
        <f>D18*D20</f>
        <v>133.66000176086803</v>
      </c>
      <c r="E22" s="23">
        <f>E18*E20</f>
        <v>26.762876150662702</v>
      </c>
      <c r="F22" s="23">
        <f>F18*F20</f>
        <v>98.921434365553651</v>
      </c>
      <c r="G22" s="23"/>
      <c r="H22" s="23"/>
      <c r="I22" s="23"/>
      <c r="J22" s="23">
        <f>J18*J20</f>
        <v>0.51312195363084845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79.933164999999988</v>
      </c>
      <c r="C30" s="39">
        <f>IF(ISERROR(B30*3.6/1000000/'E Balans VL '!Z18*100),0,B30*3.6/1000000/'E Balans VL '!Z18*100)</f>
        <v>4.6144168919224123E-3</v>
      </c>
      <c r="D30" s="237" t="s">
        <v>716</v>
      </c>
    </row>
    <row r="31" spans="1:18">
      <c r="A31" s="6" t="s">
        <v>32</v>
      </c>
      <c r="B31" s="37">
        <f>IF( ISERROR(IND_ander_ele_kWh/1000),0,IND_ander_ele_kWh/1000)</f>
        <v>394.31874300000004</v>
      </c>
      <c r="C31" s="39">
        <f>IF(ISERROR(B31*3.6/1000000/'E Balans VL '!Z19*100),0,B31*3.6/1000000/'E Balans VL '!Z19*100)</f>
        <v>1.9832954638185189E-2</v>
      </c>
      <c r="D31" s="237" t="s">
        <v>716</v>
      </c>
    </row>
    <row r="32" spans="1:18">
      <c r="A32" s="171" t="s">
        <v>40</v>
      </c>
      <c r="B32" s="37">
        <f>IF( ISERROR(IND_voed_ele_kWh/1000),0,IND_voed_ele_kWh/1000)</f>
        <v>123.22881600000001</v>
      </c>
      <c r="C32" s="39">
        <f>IF(ISERROR(B32*3.6/1000000/'E Balans VL '!Z20*100),0,B32*3.6/1000000/'E Balans VL '!Z20*100)</f>
        <v>4.1042513360806743E-3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165.72623400000001</v>
      </c>
      <c r="C37" s="39">
        <f>IF(ISERROR(B37*3.6/1000000/'E Balans VL '!Z15*100),0,B37*3.6/1000000/'E Balans VL '!Z15*100)</f>
        <v>1.2931178253290131E-3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19.006790000000002</v>
      </c>
      <c r="C5" s="17">
        <f>'Eigen informatie GS &amp; warmtenet'!B62</f>
        <v>0</v>
      </c>
      <c r="D5" s="30">
        <f>IF(ISERROR(SUM(LB_lb_gas_kWh,LB_rest_gas_kWh)/1000),0,SUM(LB_lb_gas_kWh,LB_rest_gas_kWh)/1000)*0.902</f>
        <v>0</v>
      </c>
      <c r="E5" s="17">
        <f>B17*'E Balans VL '!I25/3.6*1000000/100</f>
        <v>0.59319564823388693</v>
      </c>
      <c r="F5" s="17">
        <f>B17*('E Balans VL '!L25/3.6*1000000+'E Balans VL '!N25/3.6*1000000)/100</f>
        <v>67.17210137539783</v>
      </c>
      <c r="G5" s="18"/>
      <c r="H5" s="17"/>
      <c r="I5" s="17"/>
      <c r="J5" s="17">
        <f>('E Balans VL '!D25+'E Balans VL '!E25)/3.6*1000000*landbouw!B17/100</f>
        <v>5.2365024559334685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19.006790000000002</v>
      </c>
      <c r="C8" s="21">
        <f>C5+C6</f>
        <v>0</v>
      </c>
      <c r="D8" s="21">
        <f>MAX((D5+D6),0)</f>
        <v>0</v>
      </c>
      <c r="E8" s="21">
        <f>MAX((E5+E6),0)</f>
        <v>0.59319564823388693</v>
      </c>
      <c r="F8" s="21">
        <f>MAX((F5+F6),0)</f>
        <v>67.17210137539783</v>
      </c>
      <c r="G8" s="21"/>
      <c r="H8" s="21"/>
      <c r="I8" s="21"/>
      <c r="J8" s="21">
        <f>MAX((J5+J6),0)</f>
        <v>5.2365024559334685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0.20917204745840251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3.9756891799118907</v>
      </c>
      <c r="C12" s="23">
        <f ca="1">C8*C10</f>
        <v>0</v>
      </c>
      <c r="D12" s="23">
        <f>D8*D10</f>
        <v>0</v>
      </c>
      <c r="E12" s="23">
        <f>E8*E10</f>
        <v>0.13465541214909232</v>
      </c>
      <c r="F12" s="23">
        <f>F8*F10</f>
        <v>17.934951067231221</v>
      </c>
      <c r="G12" s="23"/>
      <c r="H12" s="23"/>
      <c r="I12" s="23"/>
      <c r="J12" s="23">
        <f>J8*J10</f>
        <v>1.8537218694004478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2.825495587076956E-3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25.889249852414128</v>
      </c>
      <c r="C26" s="247">
        <f>B26*'GWP N2O_CH4'!B5</f>
        <v>543.67424690069674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4.7788611762503868</v>
      </c>
      <c r="C27" s="247">
        <f>B27*'GWP N2O_CH4'!B5</f>
        <v>100.35608470125813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0.27494540473242629</v>
      </c>
      <c r="C28" s="247">
        <f>B28*'GWP N2O_CH4'!B4</f>
        <v>85.233075467052146</v>
      </c>
      <c r="D28" s="50"/>
    </row>
    <row r="29" spans="1:4">
      <c r="A29" s="41" t="s">
        <v>276</v>
      </c>
      <c r="B29" s="247">
        <f>B34*'ha_N2O bodem landbouw'!B4</f>
        <v>1.6781069439683591</v>
      </c>
      <c r="C29" s="247">
        <f>B29*'GWP N2O_CH4'!B4</f>
        <v>520.2131526301913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3.6797863917608308E-4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1.03233894255E-4</v>
      </c>
      <c r="C5" s="463" t="s">
        <v>210</v>
      </c>
      <c r="D5" s="448">
        <f>SUM(D6:D11)</f>
        <v>6.3233733553544401E-4</v>
      </c>
      <c r="E5" s="448">
        <f>SUM(E6:E11)</f>
        <v>4.6206039375935003E-4</v>
      </c>
      <c r="F5" s="461" t="s">
        <v>210</v>
      </c>
      <c r="G5" s="448">
        <f>SUM(G6:G11)</f>
        <v>0.13271659618584353</v>
      </c>
      <c r="H5" s="448">
        <f>SUM(H6:H11)</f>
        <v>4.6251054360614413E-2</v>
      </c>
      <c r="I5" s="463" t="s">
        <v>210</v>
      </c>
      <c r="J5" s="463" t="s">
        <v>210</v>
      </c>
      <c r="K5" s="463" t="s">
        <v>210</v>
      </c>
      <c r="L5" s="463" t="s">
        <v>210</v>
      </c>
      <c r="M5" s="448">
        <f>SUM(M6:M11)</f>
        <v>1.0693290828227949E-2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1.0957833649999999E-6</v>
      </c>
      <c r="C6" s="449"/>
      <c r="D6" s="917">
        <f>vkm_2011_GW_PW*SUMIFS(TableVerdeelsleutelVkm[CNG],TableVerdeelsleutelVkm[Voertuigtype],"Lichte voertuigen")*SUMIFS(TableECFTransport[EnergieConsumptieFactor (PJ per km)],TableECFTransport[Index],CONCATENATE($A6,"_CNG_CNG"))</f>
        <v>3.8102254076040005E-6</v>
      </c>
      <c r="E6" s="917">
        <f>vkm_2011_GW_PW*SUMIFS(TableVerdeelsleutelVkm[LPG],TableVerdeelsleutelVkm[Voertuigtype],"Lichte voertuigen")*SUMIFS(TableECFTransport[EnergieConsumptieFactor (PJ per km)],TableECFTransport[Index],CONCATENATE($A6,"_LPG_LPG"))</f>
        <v>3.0018298667999997E-6</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8.1713299334197262E-4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2.859422749717696E-4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6.5915680493793877E-5</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6.7058281200259185E-5</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1.6894141977934462E-8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3.8667899986668753E-6</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1.0213811089E-4</v>
      </c>
      <c r="C8" s="449"/>
      <c r="D8" s="451">
        <f>vkm_2011_NGW_PW*SUMIFS(TableVerdeelsleutelVkm[CNG],TableVerdeelsleutelVkm[Voertuigtype],"Lichte voertuigen")*SUMIFS(TableECFTransport[EnergieConsumptieFactor (PJ per km)],TableECFTransport[Index],CONCATENATE($A8,"_CNG_CNG"))</f>
        <v>6.2852711012784004E-4</v>
      </c>
      <c r="E8" s="451">
        <f>vkm_2011_NGW_PW*SUMIFS(TableVerdeelsleutelVkm[LPG],TableVerdeelsleutelVkm[Voertuigtype],"Lichte voertuigen")*SUMIFS(TableECFTransport[EnergieConsumptieFactor (PJ per km)],TableECFTransport[Index],CONCATENATE($A8,"_LPG_LPG"))</f>
        <v>4.5905856389255004E-4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0.1159600722677208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4.5961322150112546E-2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9.7082749173185781E-3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1.5872332643580497E-2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3.7730413881225397E-6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9.152334404169116E-4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28.676081737499999</v>
      </c>
      <c r="C14" s="21"/>
      <c r="D14" s="21">
        <f t="shared" ref="D14:M14" si="0">((D5)*10^9/3600)+D12</f>
        <v>175.64925987095666</v>
      </c>
      <c r="E14" s="21">
        <f t="shared" si="0"/>
        <v>128.35010937759722</v>
      </c>
      <c r="F14" s="21"/>
      <c r="G14" s="21">
        <f t="shared" si="0"/>
        <v>36865.721162734313</v>
      </c>
      <c r="H14" s="21">
        <f t="shared" si="0"/>
        <v>12847.515100170669</v>
      </c>
      <c r="I14" s="21"/>
      <c r="J14" s="21"/>
      <c r="K14" s="21"/>
      <c r="L14" s="21"/>
      <c r="M14" s="21">
        <f t="shared" si="0"/>
        <v>2970.3585633966522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0.20917204745840251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5.9982347301173791</v>
      </c>
      <c r="C18" s="23"/>
      <c r="D18" s="23">
        <f t="shared" ref="D18:M18" si="1">D14*D16</f>
        <v>35.481150493933249</v>
      </c>
      <c r="E18" s="23">
        <f t="shared" si="1"/>
        <v>29.135474828714571</v>
      </c>
      <c r="F18" s="23"/>
      <c r="G18" s="23">
        <f t="shared" si="1"/>
        <v>9843.1475504500613</v>
      </c>
      <c r="H18" s="23">
        <f t="shared" si="1"/>
        <v>3199.0312599424965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4.5324081514201689E-3</v>
      </c>
      <c r="H50" s="321">
        <f t="shared" si="2"/>
        <v>0</v>
      </c>
      <c r="I50" s="321">
        <f t="shared" si="2"/>
        <v>0</v>
      </c>
      <c r="J50" s="321">
        <f t="shared" si="2"/>
        <v>0</v>
      </c>
      <c r="K50" s="321">
        <f t="shared" si="2"/>
        <v>0</v>
      </c>
      <c r="L50" s="321">
        <f t="shared" si="2"/>
        <v>0</v>
      </c>
      <c r="M50" s="321">
        <f t="shared" si="2"/>
        <v>2.5191174653934597E-4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4.5324081514201689E-3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2.5191174653934597E-4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1259.0022642833801</v>
      </c>
      <c r="H54" s="21">
        <f t="shared" si="3"/>
        <v>0</v>
      </c>
      <c r="I54" s="21">
        <f t="shared" si="3"/>
        <v>0</v>
      </c>
      <c r="J54" s="21">
        <f t="shared" si="3"/>
        <v>0</v>
      </c>
      <c r="K54" s="21">
        <f t="shared" si="3"/>
        <v>0</v>
      </c>
      <c r="L54" s="21">
        <f t="shared" si="3"/>
        <v>0</v>
      </c>
      <c r="M54" s="21">
        <f t="shared" si="3"/>
        <v>69.975485149818326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0.20917204745840251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336.1536045636625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2264.28887420004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2264.28887420004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2019-08-12T08:39:14Z</dcterms:modified>
</cp:coreProperties>
</file>