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F16" i="16" s="1"/>
  <c r="R59" i="18"/>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I15" i="48" l="1"/>
  <c r="J30"/>
  <c r="J32"/>
  <c r="F30"/>
  <c r="F32"/>
  <c r="N30"/>
  <c r="N32"/>
  <c r="O20" i="59"/>
  <c r="N20"/>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O78" i="14" l="1"/>
  <c r="O9" i="59"/>
  <c r="O10" s="1"/>
  <c r="G78" i="14"/>
  <c r="G9" i="59"/>
  <c r="G10" s="1"/>
  <c r="K15" i="48"/>
  <c r="H90" i="14"/>
  <c r="H18" i="59"/>
  <c r="H20" s="1"/>
  <c r="I33" i="48"/>
  <c r="J27" i="14"/>
  <c r="K33" i="48"/>
  <c r="E78" i="14"/>
  <c r="E9" i="59"/>
  <c r="E10" s="1"/>
  <c r="H78" i="14"/>
  <c r="H9" i="59"/>
  <c r="H10" s="1"/>
  <c r="N78" i="14"/>
  <c r="N9" i="59"/>
  <c r="N10" s="1"/>
  <c r="M24" i="48"/>
  <c r="M32"/>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B48" i="13"/>
  <c r="C48" s="1"/>
  <c r="N5" s="1"/>
  <c r="N8" s="1"/>
  <c r="N4" i="48" s="1"/>
  <c r="N22" s="1"/>
  <c r="M30"/>
  <c r="M26"/>
  <c r="M25"/>
  <c r="C50" i="13"/>
  <c r="J5" s="1"/>
  <c r="J8" s="1"/>
  <c r="C5" i="48"/>
  <c r="F78" i="14" l="1"/>
  <c r="F8" i="59"/>
  <c r="F10" s="1"/>
  <c r="F90" i="14"/>
  <c r="F17" i="59"/>
  <c r="F20" s="1"/>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20" i="16"/>
  <c r="C22" s="1"/>
  <c r="D43" i="14" s="1"/>
  <c r="C18" i="15"/>
  <c r="C20" s="1"/>
  <c r="D40" i="14" s="1"/>
  <c r="C10" i="13"/>
  <c r="C12" s="1"/>
  <c r="C17" i="49"/>
  <c r="C10" i="17"/>
  <c r="C12" s="1"/>
  <c r="D54" i="14" s="1"/>
  <c r="D56" s="1"/>
  <c r="C16" i="22"/>
  <c r="C17" i="19"/>
  <c r="C19" s="1"/>
  <c r="D39" i="14" s="1"/>
  <c r="C56" i="22"/>
  <c r="C58" s="1"/>
  <c r="D49" i="14" s="1"/>
  <c r="D52"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C55" i="14" s="1"/>
  <c r="R55" s="1"/>
  <c r="B4" i="6"/>
  <c r="C33" i="48"/>
  <c r="B56" i="22"/>
  <c r="B58" s="1"/>
  <c r="B16"/>
  <c r="B18" s="1"/>
  <c r="B10" i="13"/>
  <c r="B17" i="49"/>
  <c r="B19" s="1"/>
  <c r="B10" i="17" l="1"/>
  <c r="B12" s="1"/>
  <c r="B18" i="15"/>
  <c r="B20" s="1"/>
  <c r="B20" i="16"/>
  <c r="B22" s="1"/>
  <c r="B17" i="19"/>
  <c r="B19" s="1"/>
  <c r="C12" i="59"/>
  <c r="B29" i="20"/>
  <c r="B31" s="1"/>
  <c r="C48" i="14" s="1"/>
  <c r="R48" s="1"/>
  <c r="B10" i="9"/>
  <c r="B12" s="1"/>
  <c r="C54" i="14"/>
  <c r="R54" s="1"/>
  <c r="R56" s="1"/>
  <c r="C43"/>
  <c r="R43" s="1"/>
  <c r="C49"/>
  <c r="R49" s="1"/>
  <c r="C39"/>
  <c r="R39" s="1"/>
  <c r="C42"/>
  <c r="R42"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<sst xmlns="http://schemas.openxmlformats.org/spreadsheetml/2006/main" count="2393" uniqueCount="892">
  <si>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</si>
  <si>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</si>
  <si>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</si>
  <si>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</si>
  <si>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</si>
  <si>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</si>
  <si>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</si>
  <si>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</si>
  <si>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</si>
  <si>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</si>
  <si>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</si>
  <si>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</si>
  <si>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</si>
  <si>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</si>
  <si>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</si>
  <si>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</si>
  <si>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</si>
  <si>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</si>
  <si>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</si>
  <si>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</si>
  <si>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</si>
  <si>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</si>
  <si>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</si>
  <si>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</si>
  <si>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</si>
  <si>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</si>
  <si>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</si>
  <si>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</si>
  <si>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</si>
  <si>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</si>
  <si>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</si>
  <si>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</si>
  <si>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</si>
  <si>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</si>
  <si>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</si>
  <si>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</si>
  <si>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</si>
  <si>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</si>
  <si>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</si>
  <si>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</si>
  <si>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</si>
  <si>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</si>
  <si>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</si>
  <si>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</si>
  <si>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</si>
  <si>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</si>
  <si>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</si>
  <si>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</si>
  <si>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</si>
  <si>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</si>
  <si>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</si>
  <si>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</si>
  <si>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</si>
  <si>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</si>
  <si>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</si>
  <si>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</si>
  <si>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</si>
  <si>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</si>
  <si>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</si>
  <si>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</si>
  <si>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</si>
  <si>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</si>
  <si>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</si>
  <si>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</si>
  <si>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</si>
  <si>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</si>
  <si>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</si>
  <si>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</si>
  <si>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</si>
  <si>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</si>
  <si>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</si>
  <si>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</si>
  <si>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</si>
  <si>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</si>
  <si>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</si>
  <si>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</si>
  <si>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</si>
  <si>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</si>
  <si>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</si>
  <si>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</si>
  <si>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</si>
  <si>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</si>
  <si>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</si>
  <si>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</si>
  <si>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</si>
  <si>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</si>
  <si>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</si>
  <si>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</si>
  <si>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</si>
  <si>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</si>
  <si>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</si>
  <si>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</si>
  <si>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</si>
  <si>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</si>
  <si>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</si>
  <si>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</si>
  <si>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</si>
  <si>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</si>
  <si>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</si>
  <si>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</si>
  <si>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</si>
  <si>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</si>
  <si>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</si>
  <si>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</si>
  <si>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</si>
  <si>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</si>
  <si>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</si>
  <si>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</si>
  <si>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</si>
  <si>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</si>
  <si>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</si>
  <si>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</si>
  <si>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</si>
  <si>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</si>
  <si>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</si>
  <si>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</si>
  <si>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</si>
  <si>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</si>
  <si>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</si>
  <si>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</si>
  <si>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</si>
  <si>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</si>
  <si>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</si>
  <si>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</si>
  <si>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</si>
  <si>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</si>
  <si>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</si>
  <si>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</si>
  <si>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</si>
  <si>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</si>
  <si>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</si>
  <si>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</si>
  <si>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</si>
  <si>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</si>
  <si>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</si>
  <si>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</si>
  <si>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</si>
  <si>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</si>
  <si>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</si>
  <si>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</si>
  <si>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</si>
  <si>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</si>
  <si>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</si>
  <si>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</si>
  <si>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</si>
  <si>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</si>
  <si>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</si>
  <si>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</si>
  <si>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</si>
  <si>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</si>
  <si>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</si>
  <si>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</si>
  <si>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</si>
  <si>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</si>
  <si>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</si>
  <si>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</si>
  <si>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</si>
  <si>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</si>
  <si>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</si>
  <si>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</si>
  <si>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</si>
  <si>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</si>
  <si>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</si>
  <si>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</si>
  <si>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</si>
  <si>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</si>
  <si>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</si>
  <si>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</si>
  <si>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</si>
  <si>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</si>
  <si>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</si>
  <si>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</si>
  <si>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</si>
  <si>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</si>
  <si>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</si>
  <si>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</si>
  <si>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</si>
  <si>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</si>
  <si>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</si>
  <si>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</si>
  <si>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</si>
  <si>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</si>
  <si>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</si>
  <si>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</si>
  <si>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</si>
  <si>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</si>
  <si>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</si>
  <si>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</si>
  <si>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</si>
  <si>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</si>
  <si>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</si>
  <si>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</si>
  <si>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</si>
  <si>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</si>
  <si>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</si>
  <si>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</si>
  <si>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</si>
  <si>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</si>
  <si>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</si>
  <si>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</si>
  <si>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</si>
  <si>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</si>
  <si>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</si>
  <si>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</si>
  <si>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</si>
  <si>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</si>
  <si>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</si>
  <si>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</si>
  <si>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</si>
  <si>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</si>
  <si>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</si>
  <si>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</si>
  <si>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</si>
  <si>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</si>
  <si>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</si>
  <si>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</si>
  <si>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</si>
  <si>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</si>
  <si>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</si>
  <si>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</si>
  <si>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</si>
  <si>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</si>
  <si>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</si>
  <si>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</si>
  <si>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</si>
  <si>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</si>
  <si>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</si>
  <si>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</si>
  <si>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</si>
  <si>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</si>
  <si>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</si>
  <si>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</si>
  <si>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</si>
  <si>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</si>
  <si>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</si>
  <si>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</si>
  <si>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</si>
  <si>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</si>
  <si>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</si>
  <si>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</si>
  <si>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</si>
  <si>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</si>
  <si>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</si>
  <si>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</si>
  <si>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</si>
  <si>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</si>
  <si>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</si>
  <si>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</si>
  <si>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</si>
  <si>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</si>
  <si>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</si>
  <si>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</si>
  <si>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</si>
  <si>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</si>
  <si>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</si>
  <si>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</si>
  <si>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</si>
  <si>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</si>
  <si>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</si>
  <si>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</si>
  <si>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</si>
  <si>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</si>
  <si>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</si>
  <si>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</si>
  <si>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</si>
  <si>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</si>
  <si>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</si>
  <si>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</si>
  <si>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</si>
  <si>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</si>
  <si>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</si>
  <si>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</si>
  <si>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</si>
  <si>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</si>
  <si>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</si>
  <si>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</si>
  <si>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</si>
  <si>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</si>
  <si>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</si>
  <si>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</si>
  <si>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</si>
  <si>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</si>
  <si>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</si>
  <si>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</si>
  <si>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</si>
  <si>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</si>
  <si>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</si>
  <si>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</si>
  <si>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</si>
  <si>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</si>
  <si>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</si>
  <si>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</si>
  <si>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</si>
  <si>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</si>
  <si>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</si>
  <si>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</si>
  <si>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</si>
  <si>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</si>
  <si>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</si>
  <si>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</si>
  <si>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</si>
  <si>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</si>
  <si>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</si>
  <si>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</si>
  <si>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</si>
  <si>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</si>
  <si>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</si>
  <si>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</si>
  <si>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</si>
  <si>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</si>
  <si>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</si>
  <si>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</si>
  <si>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</si>
  <si>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</si>
  <si>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</si>
  <si>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</si>
  <si>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</si>
  <si>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</si>
  <si>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</si>
  <si>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</si>
  <si>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</si>
  <si>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</si>
  <si>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</si>
  <si>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</si>
  <si>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</si>
  <si>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</si>
  <si>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</si>
  <si>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</si>
  <si>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</si>
  <si>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</si>
  <si>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</si>
  <si>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</si>
  <si>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</si>
  <si>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</si>
  <si>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</si>
  <si>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</si>
  <si>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</si>
  <si>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</si>
  <si>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</si>
  <si>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</si>
  <si>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</si>
  <si>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</si>
  <si>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</si>
  <si>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</si>
  <si>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</si>
  <si>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</si>
  <si>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</si>
  <si>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</si>
  <si>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</si>
  <si>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</si>
  <si>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</si>
  <si>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</si>
  <si>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</si>
  <si>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</si>
  <si>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</si>
  <si>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</si>
  <si>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</si>
  <si>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</si>
  <si>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</si>
  <si>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</si>
  <si>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</si>
  <si>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</si>
  <si>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</si>
  <si>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</si>
  <si>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</si>
  <si>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</si>
  <si>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</si>
  <si>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</si>
  <si>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</si>
  <si>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</si>
  <si>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</si>
  <si>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</si>
  <si>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</si>
  <si>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</si>
  <si>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</si>
  <si>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</si>
  <si>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</si>
  <si>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</si>
  <si>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</si>
  <si>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</si>
  <si>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</si>
  <si>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</si>
  <si>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</si>
  <si>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</si>
  <si>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</si>
  <si>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</si>
  <si>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</si>
  <si>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</si>
  <si>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</si>
  <si>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</si>
  <si>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</si>
  <si>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</si>
  <si>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</si>
  <si>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</si>
  <si>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</si>
  <si>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</si>
  <si>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</si>
  <si>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</si>
  <si>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</si>
  <si>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</si>
  <si>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</si>
  <si>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</si>
  <si>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</si>
  <si>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</si>
  <si>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</si>
  <si>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</si>
  <si>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</si>
  <si>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</si>
  <si>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</si>
  <si>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</si>
  <si>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</si>
  <si>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</si>
  <si>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</si>
  <si>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</si>
  <si>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</si>
  <si>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</si>
  <si>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</si>
  <si>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</si>
  <si>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</si>
  <si>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</si>
  <si>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</si>
  <si>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</si>
  <si>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</si>
  <si>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</si>
  <si>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</si>
  <si>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</si>
  <si>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</si>
  <si>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</si>
  <si>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</si>
  <si>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</si>
  <si>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</si>
  <si>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</si>
  <si>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</si>
  <si>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</si>
  <si>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</si>
  <si>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</si>
  <si>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</si>
  <si>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</si>
  <si>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</si>
  <si>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</si>
  <si>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</si>
  <si>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</si>
  <si>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</si>
  <si>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</si>
  <si>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</si>
  <si>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</si>
  <si>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</si>
  <si>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</si>
  <si>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</si>
  <si>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</si>
  <si>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</si>
  <si>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</si>
  <si>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</si>
  <si>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</si>
  <si>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</si>
  <si>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</si>
  <si>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</si>
  <si>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</si>
  <si>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</si>
  <si>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</si>
  <si>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</si>
  <si>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</si>
  <si>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</si>
  <si>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</si>
  <si>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</si>
  <si>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</si>
  <si>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</si>
  <si>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</si>
  <si>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</si>
  <si>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</si>
  <si>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</si>
  <si>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</si>
  <si>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</si>
  <si>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</si>
  <si>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</si>
  <si>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</si>
  <si>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</si>
  <si>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</si>
  <si>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</si>
  <si>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</si>
  <si>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</si>
  <si>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</si>
  <si>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</si>
  <si>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</si>
  <si>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</si>
  <si>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</si>
  <si>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</si>
  <si>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</si>
  <si>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</si>
  <si>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</si>
  <si>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</si>
  <si>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</si>
  <si>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</si>
  <si>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</si>
  <si>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</si>
  <si>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</si>
  <si>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</si>
  <si>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</si>
  <si>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</si>
  <si>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</si>
  <si>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</si>
  <si>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</si>
  <si>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</si>
  <si>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</si>
  <si>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</si>
  <si>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</si>
  <si>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</si>
  <si>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</si>
  <si>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</si>
  <si>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</si>
  <si>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</si>
  <si>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</si>
  <si>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</si>
  <si>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</si>
  <si>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</si>
  <si>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</si>
  <si>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</si>
  <si>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</si>
  <si>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</si>
  <si>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</si>
  <si>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</si>
  <si>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</si>
  <si>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</si>
  <si>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</si>
  <si>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</si>
  <si>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</si>
  <si>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</si>
  <si>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</si>
  <si>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</si>
  <si>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</si>
  <si>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</si>
  <si>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</si>
  <si>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</si>
  <si>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</si>
  <si>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</si>
  <si>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</si>
  <si>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</si>
  <si>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</si>
  <si>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</si>
  <si>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</si>
  <si>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</si>
  <si>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</si>
  <si>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</si>
  <si>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</si>
  <si>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</si>
  <si>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</si>
  <si>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</si>
  <si>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</si>
  <si>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</si>
  <si>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</si>
  <si>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</si>
  <si>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</si>
  <si>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</si>
  <si>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</si>
  <si>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</si>
  <si>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</si>
  <si>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</si>
  <si>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</si>
  <si>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</si>
  <si>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</si>
  <si>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</si>
  <si>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</si>
  <si>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</si>
  <si>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</si>
  <si>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</si>
  <si>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</si>
  <si>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</si>
  <si>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</si>
  <si>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</si>
  <si>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</si>
  <si>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</si>
  <si>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</si>
  <si>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</si>
  <si>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</si>
  <si>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</si>
  <si>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</si>
  <si>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</si>
  <si>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</si>
  <si>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</si>
  <si>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</si>
  <si>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</si>
  <si>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</si>
  <si>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</si>
  <si>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</si>
  <si>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</si>
  <si>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</si>
  <si>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</si>
  <si>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</si>
  <si>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</si>
  <si>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</si>
  <si>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</si>
  <si>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</si>
  <si>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</si>
  <si>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</si>
  <si>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</si>
  <si>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</si>
  <si>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</si>
  <si>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</si>
  <si>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</si>
  <si>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</si>
  <si>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</si>
  <si>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</si>
  <si>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</si>
  <si>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</si>
  <si>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</si>
  <si>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</si>
  <si>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</si>
  <si>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</si>
  <si>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</si>
  <si>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</si>
  <si>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</si>
  <si>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</si>
  <si>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</si>
  <si>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</si>
  <si>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</si>
  <si>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</si>
  <si>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</si>
  <si>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</si>
  <si>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</si>
  <si>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</si>
  <si>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</si>
  <si>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</si>
  <si>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</si>
  <si>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</si>
  <si>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</si>
  <si>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</si>
  <si>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</si>
  <si>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</si>
  <si>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</si>
  <si>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</si>
  <si>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</si>
  <si>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</si>
  <si>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</si>
  <si>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</si>
  <si>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</si>
  <si>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</si>
  <si>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</si>
  <si>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</si>
  <si>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</si>
  <si>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</si>
  <si>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</si>
  <si>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</si>
  <si>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</si>
  <si>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</si>
  <si>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</si>
  <si>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</si>
  <si>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</si>
  <si>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</si>
  <si>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</si>
  <si>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</si>
  <si>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</si>
  <si>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</si>
  <si>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</si>
  <si>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</si>
  <si>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</si>
  <si>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</si>
  <si>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</si>
  <si>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</si>
  <si>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</si>
  <si>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</si>
  <si>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</si>
  <si>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</si>
  <si>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</si>
  <si>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</si>
  <si>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</si>
  <si>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</si>
  <si>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</si>
  <si>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</si>
  <si>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</si>
  <si>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</si>
  <si>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</si>
  <si>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</si>
  <si>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</si>
  <si>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</si>
  <si>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</si>
  <si>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</si>
  <si>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</si>
  <si>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</si>
  <si>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</si>
  <si>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</si>
  <si>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</si>
  <si>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</si>
  <si>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</si>
  <si>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</si>
  <si>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</si>
  <si>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</si>
  <si>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</si>
  <si>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</si>
  <si>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</si>
  <si>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</si>
  <si>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</si>
  <si>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</si>
  <si>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</si>
  <si>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</si>
  <si>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</si>
  <si>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</si>
  <si>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</si>
  <si>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</si>
  <si>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</si>
  <si>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</si>
  <si>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</si>
  <si>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</si>
  <si>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</si>
  <si>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</si>
  <si>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</si>
  <si>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</si>
  <si>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</si>
  <si>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</si>
  <si>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</si>
  <si>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</si>
  <si>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</si>
  <si>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</si>
  <si>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</si>
  <si>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</si>
  <si>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</si>
  <si>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</si>
  <si>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</si>
  <si>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</si>
  <si>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</si>
  <si>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</si>
  <si>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</si>
  <si>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</si>
  <si>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</si>
  <si>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</si>
  <si>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</si>
  <si>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</si>
  <si>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</si>
  <si>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</si>
  <si>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</si>
  <si>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</si>
  <si>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</si>
  <si>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</si>
  <si>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</si>
  <si>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</si>
  <si>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</si>
  <si>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</si>
  <si>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</si>
  <si>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</si>
  <si>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</si>
  <si>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</si>
  <si>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</si>
  <si>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</si>
  <si>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</si>
  <si>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</si>
  <si>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</si>
  <si>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</si>
  <si>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</si>
  <si>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</si>
  <si>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</si>
  <si>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</si>
  <si>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</si>
  <si>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</si>
  <si>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</si>
  <si>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</si>
  <si>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</si>
  <si>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</si>
  <si>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</si>
  <si>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</si>
  <si>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</si>
  <si>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</si>
  <si>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</si>
  <si>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</si>
  <si>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</si>
  <si>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</si>
  <si>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</si>
  <si>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</si>
  <si>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</si>
  <si>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</si>
  <si>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</si>
  <si>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</si>
  <si>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</si>
  <si>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</si>
  <si>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</si>
  <si>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</si>
  <si>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</si>
  <si>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</si>
  <si>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</si>
  <si>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</si>
  <si>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</si>
  <si>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</si>
  <si>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</si>
  <si>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</si>
  <si>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</si>
  <si>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</si>
  <si>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</si>
  <si>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</si>
  <si>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</si>
  <si>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</si>
  <si>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</si>
  <si>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</si>
  <si>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</si>
  <si>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</si>
  <si>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</si>
  <si>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</si>
  <si>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</si>
  <si>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</si>
  <si>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</si>
  <si>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</si>
  <si>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</si>
  <si>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</si>
  <si>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</si>
  <si>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</si>
  <si>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</si>
  <si>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</si>
  <si>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</si>
  <si>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</si>
  <si>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</si>
  <si>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</si>
  <si>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</si>
  <si>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</si>
  <si>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</si>
  <si>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</si>
  <si>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</si>
  <si>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</si>
  <si>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</si>
  <si>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</si>
  <si>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</si>
  <si>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</si>
  <si>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</si>
  <si>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</si>
  <si>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</si>
  <si>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</si>
  <si>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</si>
  <si>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</si>
  <si>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</si>
  <si>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</si>
  <si>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</si>
  <si>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</si>
  <si>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</si>
  <si>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</si>
  <si>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</si>
  <si>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</si>
  <si>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</si>
  <si>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</si>
  <si>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</si>
  <si>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</si>
  <si>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</si>
  <si>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</si>
  <si>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</si>
  <si>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</si>
  <si>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</si>
  <si>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</si>
  <si>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</si>
  <si>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</si>
  <si>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</si>
  <si>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</si>
  <si>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</si>
  <si>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</si>
  <si>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</si>
  <si>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</si>
  <si>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</si>
  <si>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</si>
  <si>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</si>
  <si>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</si>
  <si>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</si>
  <si>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</si>
  <si>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</si>
  <si>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</si>
  <si>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</si>
  <si>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</si>
  <si>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</si>
  <si>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</si>
  <si>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</si>
  <si>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</si>
  <si>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</si>
  <si>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</si>
  <si>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</si>
  <si>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</si>
  <si>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</si>
  <si>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</si>
  <si>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</si>
  <si>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</si>
  <si>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</si>
  <si>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</si>
  <si>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</si>
  <si>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</si>
  <si>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</si>
  <si>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</si>
  <si>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24038</t>
  </si>
  <si>
    <t>HERENT</t>
  </si>
  <si>
    <t>Mestbank (maart 2019)</t>
  </si>
  <si>
    <t>Fluvius (februari 2019)</t>
  </si>
  <si>
    <t>referentietaak LNE (2017); Jaarverslag De Lijn (2018)</t>
  </si>
  <si>
    <t>VEA (30 april 2019)</t>
  </si>
  <si>
    <t>VEA (mei 2018)</t>
  </si>
  <si>
    <t>VEA (mei 2019)</t>
  </si>
  <si>
    <t>Middendorp Ronny</t>
  </si>
  <si>
    <t>Molenweg 11 , 3020 Veltem-Beisem</t>
  </si>
  <si>
    <t>WKK-0215 Middendorp Ronny</t>
  </si>
  <si>
    <t>interne verbrandingsmotor</t>
  </si>
  <si>
    <t>WKK interne verbrandinsgmotor (gas)</t>
  </si>
  <si>
    <t>IVERLEK</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</si>
</sst>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155256.31526091948</c:v>
                </c:pt>
                <c:pt idx="1">
                  <c:v>46999.171830676161</c:v>
                </c:pt>
                <c:pt idx="2">
                  <c:v>1256.568</c:v>
                </c:pt>
                <c:pt idx="3">
                  <c:v>15256.190545358068</c:v>
                </c:pt>
                <c:pt idx="4">
                  <c:v>20460.154394964036</c:v>
                </c:pt>
                <c:pt idx="5">
                  <c:v>98568.465473663207</c:v>
                </c:pt>
                <c:pt idx="6">
                  <c:v>4738.1189992508644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994624"/>
        <c:axId val="181996160"/>
      </c:barChart>
      <c:catAx>
        <c:axId val="181994624"/>
        <c:scaling>
          <c:orientation val="minMax"/>
        </c:scaling>
        <c:axPos val="b"/>
        <c:numFmt formatCode="General" sourceLinked="0"/>
        <c:tickLblPos val="nextTo"/>
        <c:crossAx val="181996160"/>
        <c:crosses val="autoZero"/>
        <c:auto val="1"/>
        <c:lblAlgn val="ctr"/>
        <c:lblOffset val="100"/>
      </c:catAx>
      <c:valAx>
        <c:axId val="181996160"/>
        <c:scaling>
          <c:orientation val="minMax"/>
        </c:scaling>
        <c:axPos val="l"/>
        <c:majorGridlines/>
        <c:numFmt formatCode="#,##0" sourceLinked="1"/>
        <c:tickLblPos val="nextTo"/>
        <c:crossAx val="1819946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155256.31526091948</c:v>
                </c:pt>
                <c:pt idx="1">
                  <c:v>46999.171830676161</c:v>
                </c:pt>
                <c:pt idx="2">
                  <c:v>1256.568</c:v>
                </c:pt>
                <c:pt idx="3">
                  <c:v>15256.190545358068</c:v>
                </c:pt>
                <c:pt idx="4">
                  <c:v>20460.154394964036</c:v>
                </c:pt>
                <c:pt idx="5">
                  <c:v>98568.465473663207</c:v>
                </c:pt>
                <c:pt idx="6">
                  <c:v>4738.1189992508644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29713.676517352542</c:v>
                </c:pt>
                <c:pt idx="1">
                  <c:v>9292.2325815868098</c:v>
                </c:pt>
                <c:pt idx="2">
                  <c:v>259.19326093119849</c:v>
                </c:pt>
                <c:pt idx="3">
                  <c:v>3675.2363083402802</c:v>
                </c:pt>
                <c:pt idx="4">
                  <c:v>4291.1847802568809</c:v>
                </c:pt>
                <c:pt idx="5">
                  <c:v>24461.192991217798</c:v>
                </c:pt>
                <c:pt idx="6">
                  <c:v>1198.4668525331174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493184"/>
        <c:axId val="182494720"/>
      </c:barChart>
      <c:catAx>
        <c:axId val="182493184"/>
        <c:scaling>
          <c:orientation val="minMax"/>
        </c:scaling>
        <c:axPos val="b"/>
        <c:numFmt formatCode="General" sourceLinked="0"/>
        <c:tickLblPos val="nextTo"/>
        <c:crossAx val="182494720"/>
        <c:crosses val="autoZero"/>
        <c:auto val="1"/>
        <c:lblAlgn val="ctr"/>
        <c:lblOffset val="100"/>
      </c:catAx>
      <c:valAx>
        <c:axId val="182494720"/>
        <c:scaling>
          <c:orientation val="minMax"/>
        </c:scaling>
        <c:axPos val="l"/>
        <c:majorGridlines/>
        <c:numFmt formatCode="#,##0" sourceLinked="1"/>
        <c:tickLblPos val="nextTo"/>
        <c:crossAx val="182493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29713.676517352542</c:v>
                </c:pt>
                <c:pt idx="1">
                  <c:v>9292.2325815868098</c:v>
                </c:pt>
                <c:pt idx="2">
                  <c:v>259.19326093119849</c:v>
                </c:pt>
                <c:pt idx="3">
                  <c:v>3675.2363083402802</c:v>
                </c:pt>
                <c:pt idx="4">
                  <c:v>4291.1847802568809</c:v>
                </c:pt>
                <c:pt idx="5">
                  <c:v>24461.192991217798</c:v>
                </c:pt>
                <c:pt idx="6">
                  <c:v>1198.4668525331174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24038</v>
      </c>
      <c r="B6" s="415"/>
      <c r="C6" s="416"/>
    </row>
    <row r="7" spans="1:7" s="413" customFormat="1" ht="15.75" customHeight="1">
      <c r="A7" s="417" t="str">
        <f>txtMunicipality</f>
        <v>HERENT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21348.978890999999</v>
      </c>
      <c r="D10" s="712">
        <f ca="1">tertiair!C16</f>
        <v>0</v>
      </c>
      <c r="E10" s="712">
        <f ca="1">tertiair!D16</f>
        <v>22132.074022761997</v>
      </c>
      <c r="F10" s="712">
        <f>tertiair!E16</f>
        <v>313.07283087592174</v>
      </c>
      <c r="G10" s="712">
        <f ca="1">tertiair!F16</f>
        <v>2269.6291337849143</v>
      </c>
      <c r="H10" s="712">
        <f>tertiair!G16</f>
        <v>0</v>
      </c>
      <c r="I10" s="712">
        <f>tertiair!H16</f>
        <v>0</v>
      </c>
      <c r="J10" s="712">
        <f>tertiair!I16</f>
        <v>0</v>
      </c>
      <c r="K10" s="712">
        <f>tertiair!J16</f>
        <v>5.0451740995085259E-2</v>
      </c>
      <c r="L10" s="712">
        <f>tertiair!K16</f>
        <v>0</v>
      </c>
      <c r="M10" s="712">
        <f ca="1">tertiair!L16</f>
        <v>0</v>
      </c>
      <c r="N10" s="712">
        <f>tertiair!M16</f>
        <v>0</v>
      </c>
      <c r="O10" s="712">
        <f ca="1">tertiair!N16</f>
        <v>1981.7779472863601</v>
      </c>
      <c r="P10" s="712">
        <f>tertiair!O16</f>
        <v>0</v>
      </c>
      <c r="Q10" s="713">
        <f>tertiair!P16</f>
        <v>210.15655322598008</v>
      </c>
      <c r="R10" s="715">
        <f ca="1">SUM(C10:Q10)</f>
        <v>48255.739830676161</v>
      </c>
      <c r="S10" s="67"/>
    </row>
    <row r="11" spans="1:19" s="474" customFormat="1">
      <c r="A11" s="834" t="s">
        <v>224</v>
      </c>
      <c r="B11" s="839"/>
      <c r="C11" s="712">
        <f>huishoudens!B8</f>
        <v>34981.245937522435</v>
      </c>
      <c r="D11" s="712">
        <f>huishoudens!C8</f>
        <v>0</v>
      </c>
      <c r="E11" s="712">
        <f>huishoudens!D8</f>
        <v>85135.660755419987</v>
      </c>
      <c r="F11" s="712">
        <f>huishoudens!E8</f>
        <v>9479.6087118943851</v>
      </c>
      <c r="G11" s="712">
        <f>huishoudens!F8</f>
        <v>11793.232200807714</v>
      </c>
      <c r="H11" s="712">
        <f>huishoudens!G8</f>
        <v>0</v>
      </c>
      <c r="I11" s="712">
        <f>huishoudens!H8</f>
        <v>0</v>
      </c>
      <c r="J11" s="712">
        <f>huishoudens!I8</f>
        <v>0</v>
      </c>
      <c r="K11" s="712">
        <f>huishoudens!J8</f>
        <v>0</v>
      </c>
      <c r="L11" s="712">
        <f>huishoudens!K8</f>
        <v>0</v>
      </c>
      <c r="M11" s="712">
        <f>huishoudens!L8</f>
        <v>0</v>
      </c>
      <c r="N11" s="712">
        <f>huishoudens!M8</f>
        <v>0</v>
      </c>
      <c r="O11" s="712">
        <f>huishoudens!N8</f>
        <v>12414.444476271867</v>
      </c>
      <c r="P11" s="712">
        <f>huishoudens!O8</f>
        <v>535.66871923449855</v>
      </c>
      <c r="Q11" s="713">
        <f>huishoudens!P8</f>
        <v>916.45445976859696</v>
      </c>
      <c r="R11" s="715">
        <f>SUM(C11:Q11)</f>
        <v>155256.31526091948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10035.997611000001</v>
      </c>
      <c r="D13" s="712">
        <f>industrie!C18</f>
        <v>0</v>
      </c>
      <c r="E13" s="712">
        <f>industrie!D18</f>
        <v>6764.2385938379994</v>
      </c>
      <c r="F13" s="712">
        <f>industrie!E18</f>
        <v>705.40464640215305</v>
      </c>
      <c r="G13" s="712">
        <f>industrie!F18</f>
        <v>2416.5155751597249</v>
      </c>
      <c r="H13" s="712">
        <f>industrie!G18</f>
        <v>0</v>
      </c>
      <c r="I13" s="712">
        <f>industrie!H18</f>
        <v>0</v>
      </c>
      <c r="J13" s="712">
        <f>industrie!I18</f>
        <v>0</v>
      </c>
      <c r="K13" s="712">
        <f>industrie!J18</f>
        <v>139.37576301985365</v>
      </c>
      <c r="L13" s="712">
        <f>industrie!K18</f>
        <v>0</v>
      </c>
      <c r="M13" s="712">
        <f>industrie!L18</f>
        <v>0</v>
      </c>
      <c r="N13" s="712">
        <f>industrie!M18</f>
        <v>0</v>
      </c>
      <c r="O13" s="712">
        <f>industrie!N18</f>
        <v>398.62220554430201</v>
      </c>
      <c r="P13" s="712">
        <f>industrie!O18</f>
        <v>0</v>
      </c>
      <c r="Q13" s="713">
        <f>industrie!P18</f>
        <v>0</v>
      </c>
      <c r="R13" s="715">
        <f>SUM(C13:Q13)</f>
        <v>20460.154394964036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66366.222439522433</v>
      </c>
      <c r="D16" s="748">
        <f t="shared" ref="D16:R16" ca="1" si="0">SUM(D9:D15)</f>
        <v>0</v>
      </c>
      <c r="E16" s="748">
        <f t="shared" ca="1" si="0"/>
        <v>114031.97337201999</v>
      </c>
      <c r="F16" s="748">
        <f t="shared" si="0"/>
        <v>10498.08618917246</v>
      </c>
      <c r="G16" s="748">
        <f t="shared" ca="1" si="0"/>
        <v>16479.376909752355</v>
      </c>
      <c r="H16" s="748">
        <f t="shared" si="0"/>
        <v>0</v>
      </c>
      <c r="I16" s="748">
        <f t="shared" si="0"/>
        <v>0</v>
      </c>
      <c r="J16" s="748">
        <f t="shared" si="0"/>
        <v>0</v>
      </c>
      <c r="K16" s="748">
        <f t="shared" si="0"/>
        <v>139.42621476084872</v>
      </c>
      <c r="L16" s="748">
        <f t="shared" si="0"/>
        <v>0</v>
      </c>
      <c r="M16" s="748">
        <f t="shared" ca="1" si="0"/>
        <v>0</v>
      </c>
      <c r="N16" s="748">
        <f t="shared" si="0"/>
        <v>0</v>
      </c>
      <c r="O16" s="748">
        <f t="shared" ca="1" si="0"/>
        <v>14794.844629102528</v>
      </c>
      <c r="P16" s="748">
        <f t="shared" si="0"/>
        <v>535.66871923449855</v>
      </c>
      <c r="Q16" s="748">
        <f t="shared" si="0"/>
        <v>1126.6110129945771</v>
      </c>
      <c r="R16" s="748">
        <f t="shared" ca="1" si="0"/>
        <v>223972.20948655967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4488.6398971277804</v>
      </c>
      <c r="I19" s="712">
        <f>transport!H54</f>
        <v>0</v>
      </c>
      <c r="J19" s="712">
        <f>transport!I54</f>
        <v>0</v>
      </c>
      <c r="K19" s="712">
        <f>transport!J54</f>
        <v>0</v>
      </c>
      <c r="L19" s="712">
        <f>transport!K54</f>
        <v>0</v>
      </c>
      <c r="M19" s="712">
        <f>transport!L54</f>
        <v>0</v>
      </c>
      <c r="N19" s="712">
        <f>transport!M54</f>
        <v>249.47910212308369</v>
      </c>
      <c r="O19" s="712">
        <f>transport!N54</f>
        <v>0</v>
      </c>
      <c r="P19" s="712">
        <f>transport!O54</f>
        <v>0</v>
      </c>
      <c r="Q19" s="713">
        <f>transport!P54</f>
        <v>0</v>
      </c>
      <c r="R19" s="715">
        <f>SUM(C19:Q19)</f>
        <v>4738.1189992508644</v>
      </c>
      <c r="S19" s="67"/>
    </row>
    <row r="20" spans="1:19" s="474" customFormat="1">
      <c r="A20" s="834" t="s">
        <v>306</v>
      </c>
      <c r="B20" s="839"/>
      <c r="C20" s="712">
        <f>transport!B14</f>
        <v>62.155809723611107</v>
      </c>
      <c r="D20" s="712">
        <f>transport!C14</f>
        <v>0</v>
      </c>
      <c r="E20" s="712">
        <f>transport!D14</f>
        <v>268.00177993833222</v>
      </c>
      <c r="F20" s="712">
        <f>transport!E14</f>
        <v>209.03739159075693</v>
      </c>
      <c r="G20" s="712">
        <f>transport!F14</f>
        <v>0</v>
      </c>
      <c r="H20" s="712">
        <f>transport!G14</f>
        <v>72565.132030850174</v>
      </c>
      <c r="I20" s="712">
        <f>transport!H14</f>
        <v>19967.445639422622</v>
      </c>
      <c r="J20" s="712">
        <f>transport!I14</f>
        <v>0</v>
      </c>
      <c r="K20" s="712">
        <f>transport!J14</f>
        <v>0</v>
      </c>
      <c r="L20" s="712">
        <f>transport!K14</f>
        <v>0</v>
      </c>
      <c r="M20" s="712">
        <f>transport!L14</f>
        <v>0</v>
      </c>
      <c r="N20" s="712">
        <f>transport!M14</f>
        <v>5496.6928221377029</v>
      </c>
      <c r="O20" s="712">
        <f>transport!N14</f>
        <v>0</v>
      </c>
      <c r="P20" s="712">
        <f>transport!O14</f>
        <v>0</v>
      </c>
      <c r="Q20" s="713">
        <f>transport!P14</f>
        <v>0</v>
      </c>
      <c r="R20" s="715">
        <f>SUM(C20:Q20)</f>
        <v>98568.465473663207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62.155809723611107</v>
      </c>
      <c r="D22" s="837">
        <f t="shared" ref="D22:R22" si="1">SUM(D18:D21)</f>
        <v>0</v>
      </c>
      <c r="E22" s="837">
        <f t="shared" si="1"/>
        <v>268.00177993833222</v>
      </c>
      <c r="F22" s="837">
        <f t="shared" si="1"/>
        <v>209.03739159075693</v>
      </c>
      <c r="G22" s="837">
        <f t="shared" si="1"/>
        <v>0</v>
      </c>
      <c r="H22" s="837">
        <f t="shared" si="1"/>
        <v>77053.771927977956</v>
      </c>
      <c r="I22" s="837">
        <f t="shared" si="1"/>
        <v>19967.445639422622</v>
      </c>
      <c r="J22" s="837">
        <f t="shared" si="1"/>
        <v>0</v>
      </c>
      <c r="K22" s="837">
        <f t="shared" si="1"/>
        <v>0</v>
      </c>
      <c r="L22" s="837">
        <f t="shared" si="1"/>
        <v>0</v>
      </c>
      <c r="M22" s="837">
        <f t="shared" si="1"/>
        <v>0</v>
      </c>
      <c r="N22" s="837">
        <f t="shared" si="1"/>
        <v>5746.1719242607869</v>
      </c>
      <c r="O22" s="837">
        <f t="shared" si="1"/>
        <v>0</v>
      </c>
      <c r="P22" s="837">
        <f t="shared" si="1"/>
        <v>0</v>
      </c>
      <c r="Q22" s="837">
        <f t="shared" si="1"/>
        <v>0</v>
      </c>
      <c r="R22" s="837">
        <f t="shared" si="1"/>
        <v>103306.58447291407</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476.99442799999997</v>
      </c>
      <c r="D24" s="712">
        <f>+landbouw!C8</f>
        <v>12947.142857142855</v>
      </c>
      <c r="E24" s="712">
        <f>+landbouw!D8</f>
        <v>0</v>
      </c>
      <c r="F24" s="712">
        <f>+landbouw!E8</f>
        <v>14.886838804522592</v>
      </c>
      <c r="G24" s="712">
        <f>+landbouw!F8</f>
        <v>1685.7511485693215</v>
      </c>
      <c r="H24" s="712">
        <f>+landbouw!G8</f>
        <v>0</v>
      </c>
      <c r="I24" s="712">
        <f>+landbouw!H8</f>
        <v>0</v>
      </c>
      <c r="J24" s="712">
        <f>+landbouw!I8</f>
        <v>0</v>
      </c>
      <c r="K24" s="712">
        <f>+landbouw!J8</f>
        <v>131.41527284136771</v>
      </c>
      <c r="L24" s="712">
        <f>+landbouw!K8</f>
        <v>0</v>
      </c>
      <c r="M24" s="712">
        <f>+landbouw!L8</f>
        <v>0</v>
      </c>
      <c r="N24" s="712">
        <f>+landbouw!M8</f>
        <v>0</v>
      </c>
      <c r="O24" s="712">
        <f>+landbouw!N8</f>
        <v>0</v>
      </c>
      <c r="P24" s="712">
        <f>+landbouw!O8</f>
        <v>0</v>
      </c>
      <c r="Q24" s="713">
        <f>+landbouw!P8</f>
        <v>0</v>
      </c>
      <c r="R24" s="715">
        <f>SUM(C24:Q24)</f>
        <v>15256.190545358068</v>
      </c>
      <c r="S24" s="67"/>
    </row>
    <row r="25" spans="1:19" s="474" customFormat="1" ht="15" thickBot="1">
      <c r="A25" s="856" t="s">
        <v>734</v>
      </c>
      <c r="B25" s="982"/>
      <c r="C25" s="983">
        <f>IF(Onbekend_ele_kWh="---",0,Onbekend_ele_kWh)/1000+IF(REST_rest_ele_kWh="---",0,REST_rest_ele_kWh)/1000</f>
        <v>1154.0786329999999</v>
      </c>
      <c r="D25" s="983"/>
      <c r="E25" s="983">
        <f>IF(onbekend_gas_kWh="---",0,onbekend_gas_kWh)/1000+IF(REST_rest_gas_kWh="---",0,REST_rest_gas_kWh)/1000</f>
        <v>2573.1817500000002</v>
      </c>
      <c r="F25" s="983"/>
      <c r="G25" s="983"/>
      <c r="H25" s="983"/>
      <c r="I25" s="983"/>
      <c r="J25" s="983"/>
      <c r="K25" s="983"/>
      <c r="L25" s="983"/>
      <c r="M25" s="983"/>
      <c r="N25" s="983"/>
      <c r="O25" s="983"/>
      <c r="P25" s="983"/>
      <c r="Q25" s="984"/>
      <c r="R25" s="715">
        <f>SUM(C25:Q25)</f>
        <v>3727.2603829999998</v>
      </c>
      <c r="S25" s="67"/>
    </row>
    <row r="26" spans="1:19" s="474" customFormat="1" ht="15.75" thickBot="1">
      <c r="A26" s="720" t="s">
        <v>735</v>
      </c>
      <c r="B26" s="842"/>
      <c r="C26" s="837">
        <f>SUM(C24:C25)</f>
        <v>1631.0730609999998</v>
      </c>
      <c r="D26" s="837">
        <f t="shared" ref="D26:R26" si="2">SUM(D24:D25)</f>
        <v>12947.142857142855</v>
      </c>
      <c r="E26" s="837">
        <f t="shared" si="2"/>
        <v>2573.1817500000002</v>
      </c>
      <c r="F26" s="837">
        <f t="shared" si="2"/>
        <v>14.886838804522592</v>
      </c>
      <c r="G26" s="837">
        <f t="shared" si="2"/>
        <v>1685.7511485693215</v>
      </c>
      <c r="H26" s="837">
        <f t="shared" si="2"/>
        <v>0</v>
      </c>
      <c r="I26" s="837">
        <f t="shared" si="2"/>
        <v>0</v>
      </c>
      <c r="J26" s="837">
        <f t="shared" si="2"/>
        <v>0</v>
      </c>
      <c r="K26" s="837">
        <f t="shared" si="2"/>
        <v>131.41527284136771</v>
      </c>
      <c r="L26" s="837">
        <f t="shared" si="2"/>
        <v>0</v>
      </c>
      <c r="M26" s="837">
        <f t="shared" si="2"/>
        <v>0</v>
      </c>
      <c r="N26" s="837">
        <f t="shared" si="2"/>
        <v>0</v>
      </c>
      <c r="O26" s="837">
        <f t="shared" si="2"/>
        <v>0</v>
      </c>
      <c r="P26" s="837">
        <f t="shared" si="2"/>
        <v>0</v>
      </c>
      <c r="Q26" s="837">
        <f t="shared" si="2"/>
        <v>0</v>
      </c>
      <c r="R26" s="837">
        <f t="shared" si="2"/>
        <v>18983.450928358066</v>
      </c>
      <c r="S26" s="67"/>
    </row>
    <row r="27" spans="1:19" s="474" customFormat="1" ht="17.25" thickTop="1" thickBot="1">
      <c r="A27" s="721" t="s">
        <v>115</v>
      </c>
      <c r="B27" s="829"/>
      <c r="C27" s="722">
        <f ca="1">C22+C16+C26</f>
        <v>68059.451310246048</v>
      </c>
      <c r="D27" s="722">
        <f t="shared" ref="D27:R27" ca="1" si="3">D22+D16+D26</f>
        <v>12947.142857142855</v>
      </c>
      <c r="E27" s="722">
        <f t="shared" ca="1" si="3"/>
        <v>116873.15690195833</v>
      </c>
      <c r="F27" s="722">
        <f t="shared" si="3"/>
        <v>10722.01041956774</v>
      </c>
      <c r="G27" s="722">
        <f t="shared" ca="1" si="3"/>
        <v>18165.128058321676</v>
      </c>
      <c r="H27" s="722">
        <f t="shared" si="3"/>
        <v>77053.771927977956</v>
      </c>
      <c r="I27" s="722">
        <f t="shared" si="3"/>
        <v>19967.445639422622</v>
      </c>
      <c r="J27" s="722">
        <f t="shared" si="3"/>
        <v>0</v>
      </c>
      <c r="K27" s="722">
        <f t="shared" si="3"/>
        <v>270.84148760221643</v>
      </c>
      <c r="L27" s="722">
        <f t="shared" si="3"/>
        <v>0</v>
      </c>
      <c r="M27" s="722">
        <f t="shared" ca="1" si="3"/>
        <v>0</v>
      </c>
      <c r="N27" s="722">
        <f t="shared" si="3"/>
        <v>5746.1719242607869</v>
      </c>
      <c r="O27" s="722">
        <f t="shared" ca="1" si="3"/>
        <v>14794.844629102528</v>
      </c>
      <c r="P27" s="722">
        <f t="shared" si="3"/>
        <v>535.66871923449855</v>
      </c>
      <c r="Q27" s="722">
        <f t="shared" si="3"/>
        <v>1126.6110129945771</v>
      </c>
      <c r="R27" s="722">
        <f t="shared" ca="1" si="3"/>
        <v>346262.2448878318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4403.6705186743666</v>
      </c>
      <c r="D40" s="712">
        <f ca="1">tertiair!C20</f>
        <v>0</v>
      </c>
      <c r="E40" s="712">
        <f ca="1">tertiair!D20</f>
        <v>4470.6789525979239</v>
      </c>
      <c r="F40" s="712">
        <f>tertiair!E20</f>
        <v>71.067532608834242</v>
      </c>
      <c r="G40" s="712">
        <f ca="1">tertiair!F20</f>
        <v>605.99097872057212</v>
      </c>
      <c r="H40" s="712">
        <f>tertiair!G20</f>
        <v>0</v>
      </c>
      <c r="I40" s="712">
        <f>tertiair!H20</f>
        <v>0</v>
      </c>
      <c r="J40" s="712">
        <f>tertiair!I20</f>
        <v>0</v>
      </c>
      <c r="K40" s="712">
        <f>tertiair!J20</f>
        <v>1.785991631226018E-2</v>
      </c>
      <c r="L40" s="712">
        <f>tertiair!K20</f>
        <v>0</v>
      </c>
      <c r="M40" s="712">
        <f ca="1">tertiair!L20</f>
        <v>0</v>
      </c>
      <c r="N40" s="712">
        <f>tertiair!M20</f>
        <v>0</v>
      </c>
      <c r="O40" s="712">
        <f ca="1">tertiair!N20</f>
        <v>0</v>
      </c>
      <c r="P40" s="712">
        <f>tertiair!O20</f>
        <v>0</v>
      </c>
      <c r="Q40" s="795">
        <f>tertiair!P20</f>
        <v>0</v>
      </c>
      <c r="R40" s="875">
        <f t="shared" ca="1" si="4"/>
        <v>9551.4258425180087</v>
      </c>
    </row>
    <row r="41" spans="1:18">
      <c r="A41" s="847" t="s">
        <v>224</v>
      </c>
      <c r="B41" s="854"/>
      <c r="C41" s="712">
        <f ca="1">huishoudens!B12</f>
        <v>7215.6088695420221</v>
      </c>
      <c r="D41" s="712">
        <f ca="1">huishoudens!C12</f>
        <v>0</v>
      </c>
      <c r="E41" s="712">
        <f>huishoudens!D12</f>
        <v>17197.403472594837</v>
      </c>
      <c r="F41" s="712">
        <f>huishoudens!E12</f>
        <v>2151.8711776000255</v>
      </c>
      <c r="G41" s="712">
        <f>huishoudens!F12</f>
        <v>3148.7929976156597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29713.676517352542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2070.1330508916412</v>
      </c>
      <c r="D43" s="712">
        <f ca="1">industrie!C22</f>
        <v>0</v>
      </c>
      <c r="E43" s="712">
        <f>industrie!D22</f>
        <v>1366.376195955276</v>
      </c>
      <c r="F43" s="712">
        <f>industrie!E22</f>
        <v>160.12685473328875</v>
      </c>
      <c r="G43" s="712">
        <f>industrie!F22</f>
        <v>645.20965856764656</v>
      </c>
      <c r="H43" s="712">
        <f>industrie!G22</f>
        <v>0</v>
      </c>
      <c r="I43" s="712">
        <f>industrie!H22</f>
        <v>0</v>
      </c>
      <c r="J43" s="712">
        <f>industrie!I22</f>
        <v>0</v>
      </c>
      <c r="K43" s="712">
        <f>industrie!J22</f>
        <v>49.339020109028191</v>
      </c>
      <c r="L43" s="712">
        <f>industrie!K22</f>
        <v>0</v>
      </c>
      <c r="M43" s="712">
        <f>industrie!L22</f>
        <v>0</v>
      </c>
      <c r="N43" s="712">
        <f>industrie!M22</f>
        <v>0</v>
      </c>
      <c r="O43" s="712">
        <f>industrie!N22</f>
        <v>0</v>
      </c>
      <c r="P43" s="712">
        <f>industrie!O22</f>
        <v>0</v>
      </c>
      <c r="Q43" s="795">
        <f>industrie!P22</f>
        <v>0</v>
      </c>
      <c r="R43" s="874">
        <f t="shared" ca="1" si="4"/>
        <v>4291.1847802568809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13689.412439108031</v>
      </c>
      <c r="D46" s="748">
        <f t="shared" ref="D46:Q46" ca="1" si="5">SUM(D39:D45)</f>
        <v>0</v>
      </c>
      <c r="E46" s="748">
        <f t="shared" ca="1" si="5"/>
        <v>23034.458621148038</v>
      </c>
      <c r="F46" s="748">
        <f t="shared" si="5"/>
        <v>2383.0655649421487</v>
      </c>
      <c r="G46" s="748">
        <f t="shared" ca="1" si="5"/>
        <v>4399.993634903878</v>
      </c>
      <c r="H46" s="748">
        <f t="shared" si="5"/>
        <v>0</v>
      </c>
      <c r="I46" s="748">
        <f t="shared" si="5"/>
        <v>0</v>
      </c>
      <c r="J46" s="748">
        <f t="shared" si="5"/>
        <v>0</v>
      </c>
      <c r="K46" s="748">
        <f t="shared" si="5"/>
        <v>49.356880025340452</v>
      </c>
      <c r="L46" s="748">
        <f t="shared" si="5"/>
        <v>0</v>
      </c>
      <c r="M46" s="748">
        <f t="shared" ca="1" si="5"/>
        <v>0</v>
      </c>
      <c r="N46" s="748">
        <f t="shared" si="5"/>
        <v>0</v>
      </c>
      <c r="O46" s="748">
        <f t="shared" ca="1" si="5"/>
        <v>0</v>
      </c>
      <c r="P46" s="748">
        <f t="shared" si="5"/>
        <v>0</v>
      </c>
      <c r="Q46" s="748">
        <f t="shared" si="5"/>
        <v>0</v>
      </c>
      <c r="R46" s="748">
        <f ca="1">SUM(R39:R45)</f>
        <v>43556.287140127431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1198.4668525331174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1198.4668525331174</v>
      </c>
    </row>
    <row r="50" spans="1:18">
      <c r="A50" s="850" t="s">
        <v>306</v>
      </c>
      <c r="B50" s="860"/>
      <c r="C50" s="718">
        <f ca="1">transport!B18</f>
        <v>12.820927325924151</v>
      </c>
      <c r="D50" s="718">
        <f>transport!C18</f>
        <v>0</v>
      </c>
      <c r="E50" s="718">
        <f>transport!D18</f>
        <v>54.136359547543115</v>
      </c>
      <c r="F50" s="718">
        <f>transport!E18</f>
        <v>47.45148789110182</v>
      </c>
      <c r="G50" s="718">
        <f>transport!F18</f>
        <v>0</v>
      </c>
      <c r="H50" s="718">
        <f>transport!G18</f>
        <v>19374.890252236997</v>
      </c>
      <c r="I50" s="718">
        <f>transport!H18</f>
        <v>4971.8939642162331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24461.192991217798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12.820927325924151</v>
      </c>
      <c r="D52" s="748">
        <f t="shared" ref="D52:Q52" ca="1" si="6">SUM(D48:D51)</f>
        <v>0</v>
      </c>
      <c r="E52" s="748">
        <f t="shared" si="6"/>
        <v>54.136359547543115</v>
      </c>
      <c r="F52" s="748">
        <f t="shared" si="6"/>
        <v>47.45148789110182</v>
      </c>
      <c r="G52" s="748">
        <f t="shared" si="6"/>
        <v>0</v>
      </c>
      <c r="H52" s="748">
        <f t="shared" si="6"/>
        <v>20573.357104770115</v>
      </c>
      <c r="I52" s="748">
        <f t="shared" si="6"/>
        <v>4971.8939642162331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25659.659843750916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98.390012509734262</v>
      </c>
      <c r="D54" s="718">
        <f ca="1">+landbouw!C12</f>
        <v>3076.8504201680662</v>
      </c>
      <c r="E54" s="718">
        <f>+landbouw!D12</f>
        <v>0</v>
      </c>
      <c r="F54" s="718">
        <f>+landbouw!E12</f>
        <v>3.3793124086266286</v>
      </c>
      <c r="G54" s="718">
        <f>+landbouw!F12</f>
        <v>450.09555666800884</v>
      </c>
      <c r="H54" s="718">
        <f>+landbouw!G12</f>
        <v>0</v>
      </c>
      <c r="I54" s="718">
        <f>+landbouw!H12</f>
        <v>0</v>
      </c>
      <c r="J54" s="718">
        <f>+landbouw!I12</f>
        <v>0</v>
      </c>
      <c r="K54" s="718">
        <f>+landbouw!J12</f>
        <v>46.521006585844169</v>
      </c>
      <c r="L54" s="718">
        <f>+landbouw!K12</f>
        <v>0</v>
      </c>
      <c r="M54" s="718">
        <f>+landbouw!L12</f>
        <v>0</v>
      </c>
      <c r="N54" s="718">
        <f>+landbouw!M12</f>
        <v>0</v>
      </c>
      <c r="O54" s="718">
        <f>+landbouw!N12</f>
        <v>0</v>
      </c>
      <c r="P54" s="718">
        <f>+landbouw!O12</f>
        <v>0</v>
      </c>
      <c r="Q54" s="719">
        <f>+landbouw!P12</f>
        <v>0</v>
      </c>
      <c r="R54" s="747">
        <f ca="1">SUM(C54:Q54)</f>
        <v>3675.2363083402802</v>
      </c>
    </row>
    <row r="55" spans="1:18" ht="15" thickBot="1">
      <c r="A55" s="850" t="s">
        <v>734</v>
      </c>
      <c r="B55" s="860"/>
      <c r="C55" s="718">
        <f ca="1">C25*'EF ele_warmte'!B12</f>
        <v>238.052699303412</v>
      </c>
      <c r="D55" s="718"/>
      <c r="E55" s="718">
        <f>E25*EF_CO2_aardgas</f>
        <v>519.78271350000011</v>
      </c>
      <c r="F55" s="718"/>
      <c r="G55" s="718"/>
      <c r="H55" s="718"/>
      <c r="I55" s="718"/>
      <c r="J55" s="718"/>
      <c r="K55" s="718"/>
      <c r="L55" s="718"/>
      <c r="M55" s="718"/>
      <c r="N55" s="718"/>
      <c r="O55" s="718"/>
      <c r="P55" s="718"/>
      <c r="Q55" s="719"/>
      <c r="R55" s="747">
        <f ca="1">SUM(C55:Q55)</f>
        <v>757.83541280341205</v>
      </c>
    </row>
    <row r="56" spans="1:18" ht="15.75" thickBot="1">
      <c r="A56" s="848" t="s">
        <v>735</v>
      </c>
      <c r="B56" s="861"/>
      <c r="C56" s="748">
        <f ca="1">SUM(C54:C55)</f>
        <v>336.44271181314627</v>
      </c>
      <c r="D56" s="748">
        <f t="shared" ref="D56:Q56" ca="1" si="7">SUM(D54:D55)</f>
        <v>3076.8504201680662</v>
      </c>
      <c r="E56" s="748">
        <f t="shared" si="7"/>
        <v>519.78271350000011</v>
      </c>
      <c r="F56" s="748">
        <f t="shared" si="7"/>
        <v>3.3793124086266286</v>
      </c>
      <c r="G56" s="748">
        <f t="shared" si="7"/>
        <v>450.09555666800884</v>
      </c>
      <c r="H56" s="748">
        <f t="shared" si="7"/>
        <v>0</v>
      </c>
      <c r="I56" s="748">
        <f t="shared" si="7"/>
        <v>0</v>
      </c>
      <c r="J56" s="748">
        <f t="shared" si="7"/>
        <v>0</v>
      </c>
      <c r="K56" s="748">
        <f t="shared" si="7"/>
        <v>46.521006585844169</v>
      </c>
      <c r="L56" s="748">
        <f t="shared" si="7"/>
        <v>0</v>
      </c>
      <c r="M56" s="748">
        <f t="shared" si="7"/>
        <v>0</v>
      </c>
      <c r="N56" s="748">
        <f t="shared" si="7"/>
        <v>0</v>
      </c>
      <c r="O56" s="748">
        <f t="shared" si="7"/>
        <v>0</v>
      </c>
      <c r="P56" s="748">
        <f t="shared" si="7"/>
        <v>0</v>
      </c>
      <c r="Q56" s="749">
        <f t="shared" si="7"/>
        <v>0</v>
      </c>
      <c r="R56" s="750">
        <f ca="1">SUM(R54:R55)</f>
        <v>4433.0717211436922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14038.676078247101</v>
      </c>
      <c r="D61" s="756">
        <f t="shared" ref="D61:Q61" ca="1" si="8">D46+D52+D56</f>
        <v>3076.8504201680662</v>
      </c>
      <c r="E61" s="756">
        <f t="shared" ca="1" si="8"/>
        <v>23608.37769419558</v>
      </c>
      <c r="F61" s="756">
        <f t="shared" si="8"/>
        <v>2433.896365241877</v>
      </c>
      <c r="G61" s="756">
        <f t="shared" ca="1" si="8"/>
        <v>4850.0891915718867</v>
      </c>
      <c r="H61" s="756">
        <f t="shared" si="8"/>
        <v>20573.357104770115</v>
      </c>
      <c r="I61" s="756">
        <f t="shared" si="8"/>
        <v>4971.8939642162331</v>
      </c>
      <c r="J61" s="756">
        <f t="shared" si="8"/>
        <v>0</v>
      </c>
      <c r="K61" s="756">
        <f t="shared" si="8"/>
        <v>95.877886611184621</v>
      </c>
      <c r="L61" s="756">
        <f t="shared" si="8"/>
        <v>0</v>
      </c>
      <c r="M61" s="756">
        <f t="shared" ca="1" si="8"/>
        <v>0</v>
      </c>
      <c r="N61" s="756">
        <f t="shared" si="8"/>
        <v>0</v>
      </c>
      <c r="O61" s="756">
        <f t="shared" ca="1" si="8"/>
        <v>0</v>
      </c>
      <c r="P61" s="756">
        <f t="shared" si="8"/>
        <v>0</v>
      </c>
      <c r="Q61" s="756">
        <f t="shared" si="8"/>
        <v>0</v>
      </c>
      <c r="R61" s="756">
        <f ca="1">R46+R52+R56</f>
        <v>73649.018705022041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0.20627077956083434</v>
      </c>
      <c r="D63" s="802">
        <f t="shared" ca="1" si="9"/>
        <v>0.23764705882352938</v>
      </c>
      <c r="E63" s="1008">
        <f t="shared" ca="1" si="9"/>
        <v>0.20199999999999999</v>
      </c>
      <c r="F63" s="802">
        <f t="shared" si="9"/>
        <v>0.22700000000000001</v>
      </c>
      <c r="G63" s="802">
        <f t="shared" ca="1" si="9"/>
        <v>0.26699999999999996</v>
      </c>
      <c r="H63" s="802">
        <f t="shared" si="9"/>
        <v>0.26700000000000002</v>
      </c>
      <c r="I63" s="802">
        <f t="shared" si="9"/>
        <v>0.24900000000000003</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5218.7102055878813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9062.9999999999982</v>
      </c>
      <c r="D76" s="991">
        <f>'lokale energieproductie'!C8</f>
        <v>10662.352941176468</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2153.7952941176468</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5218.7102055878813</v>
      </c>
      <c r="C78" s="774">
        <f>SUM(C72:C77)</f>
        <v>9062.9999999999982</v>
      </c>
      <c r="D78" s="775">
        <f t="shared" ref="D78:H78" si="10">SUM(D76:D77)</f>
        <v>10662.352941176468</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2153.7952941176468</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12947.142857142855</v>
      </c>
      <c r="D87" s="798">
        <f>'lokale energieproductie'!C17</f>
        <v>15231.932773109238</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3076.8504201680662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12947.142857142855</v>
      </c>
      <c r="D90" s="774">
        <f t="shared" ref="D90:H90" si="12">SUM(D87:D89)</f>
        <v>15231.932773109238</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3076.8504201680662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34981.245937522435</v>
      </c>
      <c r="C4" s="478">
        <f>huishoudens!C8</f>
        <v>0</v>
      </c>
      <c r="D4" s="478">
        <f>huishoudens!D8</f>
        <v>85135.660755419987</v>
      </c>
      <c r="E4" s="478">
        <f>huishoudens!E8</f>
        <v>9479.6087118943851</v>
      </c>
      <c r="F4" s="478">
        <f>huishoudens!F8</f>
        <v>11793.232200807714</v>
      </c>
      <c r="G4" s="478">
        <f>huishoudens!G8</f>
        <v>0</v>
      </c>
      <c r="H4" s="478">
        <f>huishoudens!H8</f>
        <v>0</v>
      </c>
      <c r="I4" s="478">
        <f>huishoudens!I8</f>
        <v>0</v>
      </c>
      <c r="J4" s="478">
        <f>huishoudens!J8</f>
        <v>0</v>
      </c>
      <c r="K4" s="478">
        <f>huishoudens!K8</f>
        <v>0</v>
      </c>
      <c r="L4" s="478">
        <f>huishoudens!L8</f>
        <v>0</v>
      </c>
      <c r="M4" s="478">
        <f>huishoudens!M8</f>
        <v>0</v>
      </c>
      <c r="N4" s="478">
        <f>huishoudens!N8</f>
        <v>12414.444476271867</v>
      </c>
      <c r="O4" s="478">
        <f>huishoudens!O8</f>
        <v>535.66871923449855</v>
      </c>
      <c r="P4" s="479">
        <f>huishoudens!P8</f>
        <v>916.45445976859696</v>
      </c>
      <c r="Q4" s="480">
        <f>SUM(B4:P4)</f>
        <v>155256.31526091948</v>
      </c>
    </row>
    <row r="5" spans="1:17">
      <c r="A5" s="477" t="s">
        <v>155</v>
      </c>
      <c r="B5" s="478">
        <f ca="1">tertiair!B16</f>
        <v>20092.410891</v>
      </c>
      <c r="C5" s="478">
        <f ca="1">tertiair!C16</f>
        <v>0</v>
      </c>
      <c r="D5" s="478">
        <f ca="1">tertiair!D16</f>
        <v>22132.074022761997</v>
      </c>
      <c r="E5" s="478">
        <f>tertiair!E16</f>
        <v>313.07283087592174</v>
      </c>
      <c r="F5" s="478">
        <f ca="1">tertiair!F16</f>
        <v>2269.6291337849143</v>
      </c>
      <c r="G5" s="478">
        <f>tertiair!G16</f>
        <v>0</v>
      </c>
      <c r="H5" s="478">
        <f>tertiair!H16</f>
        <v>0</v>
      </c>
      <c r="I5" s="478">
        <f>tertiair!I16</f>
        <v>0</v>
      </c>
      <c r="J5" s="478">
        <f>tertiair!J16</f>
        <v>5.0451740995085259E-2</v>
      </c>
      <c r="K5" s="478">
        <f>tertiair!K16</f>
        <v>0</v>
      </c>
      <c r="L5" s="478">
        <f ca="1">tertiair!L16</f>
        <v>0</v>
      </c>
      <c r="M5" s="478">
        <f>tertiair!M16</f>
        <v>0</v>
      </c>
      <c r="N5" s="478">
        <f ca="1">tertiair!N16</f>
        <v>1981.7779472863601</v>
      </c>
      <c r="O5" s="478">
        <f>tertiair!O16</f>
        <v>0</v>
      </c>
      <c r="P5" s="479">
        <f>tertiair!P16</f>
        <v>210.15655322598008</v>
      </c>
      <c r="Q5" s="477">
        <f t="shared" ref="Q5:Q14" ca="1" si="0">SUM(B5:P5)</f>
        <v>46999.171830676161</v>
      </c>
    </row>
    <row r="6" spans="1:17">
      <c r="A6" s="477" t="s">
        <v>193</v>
      </c>
      <c r="B6" s="478">
        <f>'openbare verlichting'!B8</f>
        <v>1256.568</v>
      </c>
      <c r="C6" s="478"/>
      <c r="D6" s="478"/>
      <c r="E6" s="478"/>
      <c r="F6" s="478"/>
      <c r="G6" s="478"/>
      <c r="H6" s="478"/>
      <c r="I6" s="478"/>
      <c r="J6" s="478"/>
      <c r="K6" s="478"/>
      <c r="L6" s="478"/>
      <c r="M6" s="478"/>
      <c r="N6" s="478"/>
      <c r="O6" s="478"/>
      <c r="P6" s="479"/>
      <c r="Q6" s="477">
        <f t="shared" si="0"/>
        <v>1256.568</v>
      </c>
    </row>
    <row r="7" spans="1:17">
      <c r="A7" s="477" t="s">
        <v>111</v>
      </c>
      <c r="B7" s="478">
        <f>landbouw!B8</f>
        <v>476.99442799999997</v>
      </c>
      <c r="C7" s="478">
        <f>landbouw!C8</f>
        <v>12947.142857142855</v>
      </c>
      <c r="D7" s="478">
        <f>landbouw!D8</f>
        <v>0</v>
      </c>
      <c r="E7" s="478">
        <f>landbouw!E8</f>
        <v>14.886838804522592</v>
      </c>
      <c r="F7" s="478">
        <f>landbouw!F8</f>
        <v>1685.7511485693215</v>
      </c>
      <c r="G7" s="478">
        <f>landbouw!G8</f>
        <v>0</v>
      </c>
      <c r="H7" s="478">
        <f>landbouw!H8</f>
        <v>0</v>
      </c>
      <c r="I7" s="478">
        <f>landbouw!I8</f>
        <v>0</v>
      </c>
      <c r="J7" s="478">
        <f>landbouw!J8</f>
        <v>131.41527284136771</v>
      </c>
      <c r="K7" s="478">
        <f>landbouw!K8</f>
        <v>0</v>
      </c>
      <c r="L7" s="478">
        <f>landbouw!L8</f>
        <v>0</v>
      </c>
      <c r="M7" s="478">
        <f>landbouw!M8</f>
        <v>0</v>
      </c>
      <c r="N7" s="478">
        <f>landbouw!N8</f>
        <v>0</v>
      </c>
      <c r="O7" s="478">
        <f>landbouw!O8</f>
        <v>0</v>
      </c>
      <c r="P7" s="479">
        <f>landbouw!P8</f>
        <v>0</v>
      </c>
      <c r="Q7" s="477">
        <f t="shared" si="0"/>
        <v>15256.190545358068</v>
      </c>
    </row>
    <row r="8" spans="1:17">
      <c r="A8" s="477" t="s">
        <v>629</v>
      </c>
      <c r="B8" s="478">
        <f>industrie!B18</f>
        <v>10035.997611000001</v>
      </c>
      <c r="C8" s="478">
        <f>industrie!C18</f>
        <v>0</v>
      </c>
      <c r="D8" s="478">
        <f>industrie!D18</f>
        <v>6764.2385938379994</v>
      </c>
      <c r="E8" s="478">
        <f>industrie!E18</f>
        <v>705.40464640215305</v>
      </c>
      <c r="F8" s="478">
        <f>industrie!F18</f>
        <v>2416.5155751597249</v>
      </c>
      <c r="G8" s="478">
        <f>industrie!G18</f>
        <v>0</v>
      </c>
      <c r="H8" s="478">
        <f>industrie!H18</f>
        <v>0</v>
      </c>
      <c r="I8" s="478">
        <f>industrie!I18</f>
        <v>0</v>
      </c>
      <c r="J8" s="478">
        <f>industrie!J18</f>
        <v>139.37576301985365</v>
      </c>
      <c r="K8" s="478">
        <f>industrie!K18</f>
        <v>0</v>
      </c>
      <c r="L8" s="478">
        <f>industrie!L18</f>
        <v>0</v>
      </c>
      <c r="M8" s="478">
        <f>industrie!M18</f>
        <v>0</v>
      </c>
      <c r="N8" s="478">
        <f>industrie!N18</f>
        <v>398.62220554430201</v>
      </c>
      <c r="O8" s="478">
        <f>industrie!O18</f>
        <v>0</v>
      </c>
      <c r="P8" s="479">
        <f>industrie!P18</f>
        <v>0</v>
      </c>
      <c r="Q8" s="477">
        <f t="shared" si="0"/>
        <v>20460.154394964036</v>
      </c>
    </row>
    <row r="9" spans="1:17" s="483" customFormat="1">
      <c r="A9" s="481" t="s">
        <v>555</v>
      </c>
      <c r="B9" s="482">
        <f>transport!B14</f>
        <v>62.155809723611107</v>
      </c>
      <c r="C9" s="482">
        <f>transport!C14</f>
        <v>0</v>
      </c>
      <c r="D9" s="482">
        <f>transport!D14</f>
        <v>268.00177993833222</v>
      </c>
      <c r="E9" s="482">
        <f>transport!E14</f>
        <v>209.03739159075693</v>
      </c>
      <c r="F9" s="482">
        <f>transport!F14</f>
        <v>0</v>
      </c>
      <c r="G9" s="482">
        <f>transport!G14</f>
        <v>72565.132030850174</v>
      </c>
      <c r="H9" s="482">
        <f>transport!H14</f>
        <v>19967.445639422622</v>
      </c>
      <c r="I9" s="482">
        <f>transport!I14</f>
        <v>0</v>
      </c>
      <c r="J9" s="482">
        <f>transport!J14</f>
        <v>0</v>
      </c>
      <c r="K9" s="482">
        <f>transport!K14</f>
        <v>0</v>
      </c>
      <c r="L9" s="482">
        <f>transport!L14</f>
        <v>0</v>
      </c>
      <c r="M9" s="482">
        <f>transport!M14</f>
        <v>5496.6928221377029</v>
      </c>
      <c r="N9" s="482">
        <f>transport!N14</f>
        <v>0</v>
      </c>
      <c r="O9" s="482">
        <f>transport!O14</f>
        <v>0</v>
      </c>
      <c r="P9" s="482">
        <f>transport!P14</f>
        <v>0</v>
      </c>
      <c r="Q9" s="481">
        <f>SUM(B9:P9)</f>
        <v>98568.465473663207</v>
      </c>
    </row>
    <row r="10" spans="1:17">
      <c r="A10" s="477" t="s">
        <v>545</v>
      </c>
      <c r="B10" s="478">
        <f>transport!B54</f>
        <v>0</v>
      </c>
      <c r="C10" s="478">
        <f>transport!C54</f>
        <v>0</v>
      </c>
      <c r="D10" s="478">
        <f>transport!D54</f>
        <v>0</v>
      </c>
      <c r="E10" s="478">
        <f>transport!E54</f>
        <v>0</v>
      </c>
      <c r="F10" s="478">
        <f>transport!F54</f>
        <v>0</v>
      </c>
      <c r="G10" s="478">
        <f>transport!G54</f>
        <v>4488.6398971277804</v>
      </c>
      <c r="H10" s="478">
        <f>transport!H54</f>
        <v>0</v>
      </c>
      <c r="I10" s="478">
        <f>transport!I54</f>
        <v>0</v>
      </c>
      <c r="J10" s="478">
        <f>transport!J54</f>
        <v>0</v>
      </c>
      <c r="K10" s="478">
        <f>transport!K54</f>
        <v>0</v>
      </c>
      <c r="L10" s="478">
        <f>transport!L54</f>
        <v>0</v>
      </c>
      <c r="M10" s="478">
        <f>transport!M54</f>
        <v>249.47910212308369</v>
      </c>
      <c r="N10" s="478">
        <f>transport!N54</f>
        <v>0</v>
      </c>
      <c r="O10" s="478">
        <f>transport!O54</f>
        <v>0</v>
      </c>
      <c r="P10" s="479">
        <f>transport!P54</f>
        <v>0</v>
      </c>
      <c r="Q10" s="477">
        <f t="shared" si="0"/>
        <v>4738.1189992508644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1154.0786329999999</v>
      </c>
      <c r="C14" s="485"/>
      <c r="D14" s="485">
        <f>'SEAP template'!E25</f>
        <v>2573.1817500000002</v>
      </c>
      <c r="E14" s="485"/>
      <c r="F14" s="485"/>
      <c r="G14" s="485"/>
      <c r="H14" s="485"/>
      <c r="I14" s="485"/>
      <c r="J14" s="485"/>
      <c r="K14" s="485"/>
      <c r="L14" s="485"/>
      <c r="M14" s="485"/>
      <c r="N14" s="485"/>
      <c r="O14" s="485"/>
      <c r="P14" s="486"/>
      <c r="Q14" s="477">
        <f t="shared" si="0"/>
        <v>3727.2603829999998</v>
      </c>
    </row>
    <row r="15" spans="1:17" s="489" customFormat="1">
      <c r="A15" s="487" t="s">
        <v>549</v>
      </c>
      <c r="B15" s="488">
        <f ca="1">SUM(B4:B14)</f>
        <v>68059.451310246048</v>
      </c>
      <c r="C15" s="488">
        <f t="shared" ref="C15:Q15" ca="1" si="1">SUM(C4:C14)</f>
        <v>12947.142857142855</v>
      </c>
      <c r="D15" s="488">
        <f t="shared" ca="1" si="1"/>
        <v>116873.15690195833</v>
      </c>
      <c r="E15" s="488">
        <f t="shared" si="1"/>
        <v>10722.01041956774</v>
      </c>
      <c r="F15" s="488">
        <f t="shared" ca="1" si="1"/>
        <v>18165.128058321672</v>
      </c>
      <c r="G15" s="488">
        <f t="shared" si="1"/>
        <v>77053.771927977956</v>
      </c>
      <c r="H15" s="488">
        <f t="shared" si="1"/>
        <v>19967.445639422622</v>
      </c>
      <c r="I15" s="488">
        <f t="shared" si="1"/>
        <v>0</v>
      </c>
      <c r="J15" s="488">
        <f t="shared" si="1"/>
        <v>270.84148760221643</v>
      </c>
      <c r="K15" s="488">
        <f t="shared" si="1"/>
        <v>0</v>
      </c>
      <c r="L15" s="488">
        <f t="shared" ca="1" si="1"/>
        <v>0</v>
      </c>
      <c r="M15" s="488">
        <f t="shared" si="1"/>
        <v>5746.1719242607869</v>
      </c>
      <c r="N15" s="488">
        <f t="shared" ca="1" si="1"/>
        <v>14794.844629102528</v>
      </c>
      <c r="O15" s="488">
        <f t="shared" si="1"/>
        <v>535.66871923449855</v>
      </c>
      <c r="P15" s="488">
        <f t="shared" si="1"/>
        <v>1126.6110129945771</v>
      </c>
      <c r="Q15" s="488">
        <f t="shared" ca="1" si="1"/>
        <v>346262.24488783185</v>
      </c>
    </row>
    <row r="17" spans="1:17">
      <c r="A17" s="490" t="s">
        <v>550</v>
      </c>
      <c r="B17" s="807">
        <f ca="1">huishoudens!B10</f>
        <v>0.20627077956083434</v>
      </c>
      <c r="C17" s="807">
        <f ca="1">huishoudens!C10</f>
        <v>0.23764705882352938</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7215.6088695420221</v>
      </c>
      <c r="C22" s="478">
        <f t="shared" ref="C22:C32" ca="1" si="3">C4*$C$17</f>
        <v>0</v>
      </c>
      <c r="D22" s="478">
        <f t="shared" ref="D22:D32" si="4">D4*$D$17</f>
        <v>17197.403472594837</v>
      </c>
      <c r="E22" s="478">
        <f t="shared" ref="E22:E32" si="5">E4*$E$17</f>
        <v>2151.8711776000255</v>
      </c>
      <c r="F22" s="478">
        <f t="shared" ref="F22:F32" si="6">F4*$F$17</f>
        <v>3148.7929976156597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29713.676517352542</v>
      </c>
    </row>
    <row r="23" spans="1:17">
      <c r="A23" s="477" t="s">
        <v>155</v>
      </c>
      <c r="B23" s="478">
        <f t="shared" ca="1" si="2"/>
        <v>4144.4772577431677</v>
      </c>
      <c r="C23" s="478">
        <f t="shared" ca="1" si="3"/>
        <v>0</v>
      </c>
      <c r="D23" s="478">
        <f t="shared" ca="1" si="4"/>
        <v>4470.6789525979239</v>
      </c>
      <c r="E23" s="478">
        <f t="shared" si="5"/>
        <v>71.067532608834242</v>
      </c>
      <c r="F23" s="478">
        <f t="shared" ca="1" si="6"/>
        <v>605.99097872057212</v>
      </c>
      <c r="G23" s="478">
        <f t="shared" si="7"/>
        <v>0</v>
      </c>
      <c r="H23" s="478">
        <f t="shared" si="8"/>
        <v>0</v>
      </c>
      <c r="I23" s="478">
        <f t="shared" si="9"/>
        <v>0</v>
      </c>
      <c r="J23" s="478">
        <f t="shared" si="10"/>
        <v>1.785991631226018E-2</v>
      </c>
      <c r="K23" s="478">
        <f t="shared" si="11"/>
        <v>0</v>
      </c>
      <c r="L23" s="478">
        <f t="shared" ca="1" si="12"/>
        <v>0</v>
      </c>
      <c r="M23" s="478">
        <f t="shared" si="13"/>
        <v>0</v>
      </c>
      <c r="N23" s="478">
        <f t="shared" ca="1" si="14"/>
        <v>0</v>
      </c>
      <c r="O23" s="478">
        <f t="shared" si="15"/>
        <v>0</v>
      </c>
      <c r="P23" s="479">
        <f t="shared" si="16"/>
        <v>0</v>
      </c>
      <c r="Q23" s="477">
        <f t="shared" ref="Q23:Q31" ca="1" si="17">SUM(B23:P23)</f>
        <v>9292.2325815868098</v>
      </c>
    </row>
    <row r="24" spans="1:17">
      <c r="A24" s="477" t="s">
        <v>193</v>
      </c>
      <c r="B24" s="478">
        <f t="shared" ca="1" si="2"/>
        <v>259.19326093119849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259.19326093119849</v>
      </c>
    </row>
    <row r="25" spans="1:17">
      <c r="A25" s="477" t="s">
        <v>111</v>
      </c>
      <c r="B25" s="478">
        <f t="shared" ca="1" si="2"/>
        <v>98.390012509734262</v>
      </c>
      <c r="C25" s="478">
        <f t="shared" ca="1" si="3"/>
        <v>3076.8504201680662</v>
      </c>
      <c r="D25" s="478">
        <f t="shared" si="4"/>
        <v>0</v>
      </c>
      <c r="E25" s="478">
        <f t="shared" si="5"/>
        <v>3.3793124086266286</v>
      </c>
      <c r="F25" s="478">
        <f t="shared" si="6"/>
        <v>450.09555666800884</v>
      </c>
      <c r="G25" s="478">
        <f t="shared" si="7"/>
        <v>0</v>
      </c>
      <c r="H25" s="478">
        <f t="shared" si="8"/>
        <v>0</v>
      </c>
      <c r="I25" s="478">
        <f t="shared" si="9"/>
        <v>0</v>
      </c>
      <c r="J25" s="478">
        <f t="shared" si="10"/>
        <v>46.521006585844169</v>
      </c>
      <c r="K25" s="478">
        <f t="shared" si="11"/>
        <v>0</v>
      </c>
      <c r="L25" s="478">
        <f t="shared" si="12"/>
        <v>0</v>
      </c>
      <c r="M25" s="478">
        <f t="shared" si="13"/>
        <v>0</v>
      </c>
      <c r="N25" s="478">
        <f t="shared" si="14"/>
        <v>0</v>
      </c>
      <c r="O25" s="478">
        <f t="shared" si="15"/>
        <v>0</v>
      </c>
      <c r="P25" s="479">
        <f t="shared" si="16"/>
        <v>0</v>
      </c>
      <c r="Q25" s="477">
        <f t="shared" ca="1" si="17"/>
        <v>3675.2363083402802</v>
      </c>
    </row>
    <row r="26" spans="1:17">
      <c r="A26" s="477" t="s">
        <v>629</v>
      </c>
      <c r="B26" s="478">
        <f t="shared" ca="1" si="2"/>
        <v>2070.1330508916412</v>
      </c>
      <c r="C26" s="478">
        <f t="shared" ca="1" si="3"/>
        <v>0</v>
      </c>
      <c r="D26" s="478">
        <f t="shared" si="4"/>
        <v>1366.376195955276</v>
      </c>
      <c r="E26" s="478">
        <f t="shared" si="5"/>
        <v>160.12685473328875</v>
      </c>
      <c r="F26" s="478">
        <f t="shared" si="6"/>
        <v>645.20965856764656</v>
      </c>
      <c r="G26" s="478">
        <f t="shared" si="7"/>
        <v>0</v>
      </c>
      <c r="H26" s="478">
        <f t="shared" si="8"/>
        <v>0</v>
      </c>
      <c r="I26" s="478">
        <f t="shared" si="9"/>
        <v>0</v>
      </c>
      <c r="J26" s="478">
        <f t="shared" si="10"/>
        <v>49.339020109028191</v>
      </c>
      <c r="K26" s="478">
        <f t="shared" si="11"/>
        <v>0</v>
      </c>
      <c r="L26" s="478">
        <f t="shared" si="12"/>
        <v>0</v>
      </c>
      <c r="M26" s="478">
        <f t="shared" si="13"/>
        <v>0</v>
      </c>
      <c r="N26" s="478">
        <f t="shared" si="14"/>
        <v>0</v>
      </c>
      <c r="O26" s="478">
        <f t="shared" si="15"/>
        <v>0</v>
      </c>
      <c r="P26" s="479">
        <f t="shared" si="16"/>
        <v>0</v>
      </c>
      <c r="Q26" s="477">
        <f t="shared" ca="1" si="17"/>
        <v>4291.1847802568809</v>
      </c>
    </row>
    <row r="27" spans="1:17" s="483" customFormat="1">
      <c r="A27" s="481" t="s">
        <v>555</v>
      </c>
      <c r="B27" s="801">
        <f t="shared" ca="1" si="2"/>
        <v>12.820927325924151</v>
      </c>
      <c r="C27" s="482">
        <f t="shared" ca="1" si="3"/>
        <v>0</v>
      </c>
      <c r="D27" s="482">
        <f t="shared" si="4"/>
        <v>54.136359547543115</v>
      </c>
      <c r="E27" s="482">
        <f t="shared" si="5"/>
        <v>47.45148789110182</v>
      </c>
      <c r="F27" s="482">
        <f t="shared" si="6"/>
        <v>0</v>
      </c>
      <c r="G27" s="482">
        <f t="shared" si="7"/>
        <v>19374.890252236997</v>
      </c>
      <c r="H27" s="482">
        <f t="shared" si="8"/>
        <v>4971.8939642162331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24461.192991217798</v>
      </c>
    </row>
    <row r="28" spans="1:17" ht="16.5" customHeight="1">
      <c r="A28" s="477" t="s">
        <v>545</v>
      </c>
      <c r="B28" s="478">
        <f t="shared" ca="1" si="2"/>
        <v>0</v>
      </c>
      <c r="C28" s="478">
        <f t="shared" ca="1" si="3"/>
        <v>0</v>
      </c>
      <c r="D28" s="478">
        <f t="shared" si="4"/>
        <v>0</v>
      </c>
      <c r="E28" s="478">
        <f t="shared" si="5"/>
        <v>0</v>
      </c>
      <c r="F28" s="478">
        <f t="shared" si="6"/>
        <v>0</v>
      </c>
      <c r="G28" s="478">
        <f t="shared" si="7"/>
        <v>1198.4668525331174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1198.4668525331174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238.052699303412</v>
      </c>
      <c r="C32" s="478">
        <f t="shared" ca="1" si="3"/>
        <v>0</v>
      </c>
      <c r="D32" s="478">
        <f t="shared" si="4"/>
        <v>519.78271350000011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757.83541280341205</v>
      </c>
    </row>
    <row r="33" spans="1:17" s="489" customFormat="1">
      <c r="A33" s="487" t="s">
        <v>549</v>
      </c>
      <c r="B33" s="488">
        <f ca="1">SUM(B22:B32)</f>
        <v>14038.676078247101</v>
      </c>
      <c r="C33" s="488">
        <f t="shared" ref="C33:Q33" ca="1" si="19">SUM(C22:C32)</f>
        <v>3076.8504201680662</v>
      </c>
      <c r="D33" s="488">
        <f t="shared" ca="1" si="19"/>
        <v>23608.37769419558</v>
      </c>
      <c r="E33" s="488">
        <f t="shared" si="19"/>
        <v>2433.896365241877</v>
      </c>
      <c r="F33" s="488">
        <f t="shared" ca="1" si="19"/>
        <v>4850.0891915718867</v>
      </c>
      <c r="G33" s="488">
        <f t="shared" si="19"/>
        <v>20573.357104770115</v>
      </c>
      <c r="H33" s="488">
        <f t="shared" si="19"/>
        <v>4971.8939642162331</v>
      </c>
      <c r="I33" s="488">
        <f t="shared" si="19"/>
        <v>0</v>
      </c>
      <c r="J33" s="488">
        <f t="shared" si="19"/>
        <v>95.877886611184621</v>
      </c>
      <c r="K33" s="488">
        <f t="shared" si="19"/>
        <v>0</v>
      </c>
      <c r="L33" s="488">
        <f t="shared" ca="1" si="19"/>
        <v>0</v>
      </c>
      <c r="M33" s="488">
        <f t="shared" si="19"/>
        <v>0</v>
      </c>
      <c r="N33" s="488">
        <f t="shared" ca="1" si="19"/>
        <v>0</v>
      </c>
      <c r="O33" s="488">
        <f t="shared" si="19"/>
        <v>0</v>
      </c>
      <c r="P33" s="488">
        <f t="shared" si="19"/>
        <v>0</v>
      </c>
      <c r="Q33" s="488">
        <f t="shared" ca="1" si="19"/>
        <v>73649.018705022041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5218.7102055878813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9062.9999999999982</v>
      </c>
      <c r="D8" s="1062">
        <f>'SEAP template'!D76</f>
        <v>10662.352941176468</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2153.7952941176468</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5218.7102055878813</v>
      </c>
      <c r="C10" s="1064">
        <f>SUM(C4:C9)</f>
        <v>9062.9999999999982</v>
      </c>
      <c r="D10" s="1064">
        <f t="shared" ref="D10:H10" si="0">SUM(D8:D9)</f>
        <v>10662.352941176468</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2153.7952941176468</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0.20627077956083434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12947.142857142855</v>
      </c>
      <c r="D17" s="1063">
        <f>'SEAP template'!D87</f>
        <v>15231.932773109238</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3076.8504201680662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12947.142857142855</v>
      </c>
      <c r="D20" s="1064">
        <f t="shared" ref="D20:H20" si="2">SUM(D17:D19)</f>
        <v>15231.932773109238</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3076.8504201680662</v>
      </c>
    </row>
    <row r="21" spans="1:16">
      <c r="B21" s="913"/>
    </row>
    <row r="22" spans="1:16">
      <c r="A22" s="490" t="s">
        <v>814</v>
      </c>
      <c r="B22" s="807" t="s">
        <v>812</v>
      </c>
      <c r="C22" s="807">
        <f ca="1">'EF ele_warmte'!B22</f>
        <v>0.23764705882352938</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0.20627077956083434</v>
      </c>
      <c r="C17" s="527">
        <f ca="1">'EF ele_warmte'!B22</f>
        <v>0.23764705882352938</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0.20627077956083434</v>
      </c>
      <c r="C17" s="527">
        <f ca="1">'EF ele_warmte'!B22</f>
        <v>0.23764705882352938</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0.20627077956083434</v>
      </c>
      <c r="C29" s="528">
        <f ca="1">'EF ele_warmte'!B22</f>
        <v>0.23764705882352938</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24038</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8629</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1508.87</v>
      </c>
    </row>
    <row r="15" spans="1:6">
      <c r="A15" s="348" t="s">
        <v>183</v>
      </c>
      <c r="B15" s="334">
        <v>9</v>
      </c>
    </row>
    <row r="16" spans="1:6">
      <c r="A16" s="348" t="s">
        <v>6</v>
      </c>
      <c r="B16" s="334">
        <v>79</v>
      </c>
    </row>
    <row r="17" spans="1:6">
      <c r="A17" s="348" t="s">
        <v>7</v>
      </c>
      <c r="B17" s="334">
        <v>338</v>
      </c>
    </row>
    <row r="18" spans="1:6">
      <c r="A18" s="348" t="s">
        <v>8</v>
      </c>
      <c r="B18" s="334">
        <v>297</v>
      </c>
    </row>
    <row r="19" spans="1:6">
      <c r="A19" s="348" t="s">
        <v>9</v>
      </c>
      <c r="B19" s="334">
        <v>364</v>
      </c>
    </row>
    <row r="20" spans="1:6">
      <c r="A20" s="348" t="s">
        <v>10</v>
      </c>
      <c r="B20" s="334">
        <v>207</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2</v>
      </c>
    </row>
    <row r="26" spans="1:6">
      <c r="A26" s="348" t="s">
        <v>16</v>
      </c>
      <c r="B26" s="334">
        <v>201</v>
      </c>
    </row>
    <row r="27" spans="1:6">
      <c r="A27" s="348" t="s">
        <v>17</v>
      </c>
      <c r="B27" s="334">
        <v>24</v>
      </c>
    </row>
    <row r="28" spans="1:6" s="356" customFormat="1">
      <c r="A28" s="355" t="s">
        <v>18</v>
      </c>
      <c r="B28" s="355">
        <v>0</v>
      </c>
    </row>
    <row r="29" spans="1:6">
      <c r="A29" s="355" t="s">
        <v>713</v>
      </c>
      <c r="B29" s="355">
        <v>86</v>
      </c>
      <c r="C29" s="356"/>
      <c r="D29" s="356"/>
      <c r="E29" s="356"/>
      <c r="F29" s="356"/>
    </row>
    <row r="30" spans="1:6">
      <c r="A30" s="341" t="s">
        <v>714</v>
      </c>
      <c r="B30" s="341">
        <v>45</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7759</v>
      </c>
    </row>
    <row r="37" spans="1:6">
      <c r="A37" s="348" t="s">
        <v>24</v>
      </c>
      <c r="B37" s="348" t="s">
        <v>27</v>
      </c>
      <c r="C37" s="334">
        <v>0</v>
      </c>
      <c r="D37" s="334">
        <v>0</v>
      </c>
      <c r="E37" s="334">
        <v>0</v>
      </c>
      <c r="F37" s="334">
        <v>0</v>
      </c>
    </row>
    <row r="38" spans="1:6">
      <c r="A38" s="348" t="s">
        <v>24</v>
      </c>
      <c r="B38" s="348" t="s">
        <v>28</v>
      </c>
      <c r="C38" s="334">
        <v>0</v>
      </c>
      <c r="D38" s="334">
        <v>0</v>
      </c>
      <c r="E38" s="334">
        <v>2</v>
      </c>
      <c r="F38" s="334">
        <v>4528</v>
      </c>
    </row>
    <row r="39" spans="1:6">
      <c r="A39" s="348" t="s">
        <v>29</v>
      </c>
      <c r="B39" s="348" t="s">
        <v>30</v>
      </c>
      <c r="C39" s="334">
        <v>5931</v>
      </c>
      <c r="D39" s="334">
        <v>94385433.209999993</v>
      </c>
      <c r="E39" s="334">
        <v>8392</v>
      </c>
      <c r="F39" s="334">
        <v>30372731.32</v>
      </c>
    </row>
    <row r="40" spans="1:6">
      <c r="A40" s="348" t="s">
        <v>29</v>
      </c>
      <c r="B40" s="348" t="s">
        <v>28</v>
      </c>
      <c r="C40" s="334">
        <v>0</v>
      </c>
      <c r="D40" s="334">
        <v>0</v>
      </c>
      <c r="E40" s="334">
        <v>0</v>
      </c>
      <c r="F40" s="334">
        <v>0</v>
      </c>
    </row>
    <row r="41" spans="1:6">
      <c r="A41" s="348" t="s">
        <v>31</v>
      </c>
      <c r="B41" s="348" t="s">
        <v>32</v>
      </c>
      <c r="C41" s="334">
        <v>51</v>
      </c>
      <c r="D41" s="334">
        <v>1128414.4820000001</v>
      </c>
      <c r="E41" s="334">
        <v>114</v>
      </c>
      <c r="F41" s="334">
        <v>1175381.3600000001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4</v>
      </c>
      <c r="F44" s="334">
        <v>68941.240000000005</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110817.452</v>
      </c>
      <c r="E47" s="334">
        <v>6</v>
      </c>
      <c r="F47" s="334">
        <v>669376.45600000001</v>
      </c>
    </row>
    <row r="48" spans="1:6">
      <c r="A48" s="348" t="s">
        <v>31</v>
      </c>
      <c r="B48" s="348" t="s">
        <v>28</v>
      </c>
      <c r="C48" s="334">
        <v>18</v>
      </c>
      <c r="D48" s="334">
        <v>6259923.9349999996</v>
      </c>
      <c r="E48" s="334">
        <v>27</v>
      </c>
      <c r="F48" s="334">
        <v>7997963.4390000002</v>
      </c>
    </row>
    <row r="49" spans="1:6">
      <c r="A49" s="348" t="s">
        <v>31</v>
      </c>
      <c r="B49" s="348" t="s">
        <v>39</v>
      </c>
      <c r="C49" s="334">
        <v>0</v>
      </c>
      <c r="D49" s="334">
        <v>0</v>
      </c>
      <c r="E49" s="334">
        <v>0</v>
      </c>
      <c r="F49" s="334">
        <v>0</v>
      </c>
    </row>
    <row r="50" spans="1:6">
      <c r="A50" s="348" t="s">
        <v>31</v>
      </c>
      <c r="B50" s="348" t="s">
        <v>40</v>
      </c>
      <c r="C50" s="334">
        <v>0</v>
      </c>
      <c r="D50" s="334">
        <v>0</v>
      </c>
      <c r="E50" s="334">
        <v>3</v>
      </c>
      <c r="F50" s="334">
        <v>124335.11599999999</v>
      </c>
    </row>
    <row r="51" spans="1:6">
      <c r="A51" s="348" t="s">
        <v>41</v>
      </c>
      <c r="B51" s="348" t="s">
        <v>42</v>
      </c>
      <c r="C51" s="334">
        <v>0</v>
      </c>
      <c r="D51" s="334">
        <v>0</v>
      </c>
      <c r="E51" s="334">
        <v>27</v>
      </c>
      <c r="F51" s="334">
        <v>209817.715</v>
      </c>
    </row>
    <row r="52" spans="1:6">
      <c r="A52" s="348" t="s">
        <v>41</v>
      </c>
      <c r="B52" s="348" t="s">
        <v>28</v>
      </c>
      <c r="C52" s="334">
        <v>3</v>
      </c>
      <c r="D52" s="334">
        <v>24395679.460000001</v>
      </c>
      <c r="E52" s="334">
        <v>9</v>
      </c>
      <c r="F52" s="334">
        <v>267176.71299999999</v>
      </c>
    </row>
    <row r="53" spans="1:6">
      <c r="A53" s="348" t="s">
        <v>43</v>
      </c>
      <c r="B53" s="348" t="s">
        <v>44</v>
      </c>
      <c r="C53" s="334">
        <v>145</v>
      </c>
      <c r="D53" s="334">
        <v>2573181.75</v>
      </c>
      <c r="E53" s="334">
        <v>288</v>
      </c>
      <c r="F53" s="334">
        <v>1154078.6329999999</v>
      </c>
    </row>
    <row r="54" spans="1:6">
      <c r="A54" s="348" t="s">
        <v>45</v>
      </c>
      <c r="B54" s="348" t="s">
        <v>46</v>
      </c>
      <c r="C54" s="334">
        <v>0</v>
      </c>
      <c r="D54" s="334">
        <v>0</v>
      </c>
      <c r="E54" s="334">
        <v>1</v>
      </c>
      <c r="F54" s="334">
        <v>1256568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59</v>
      </c>
      <c r="D57" s="334">
        <v>2969220.59</v>
      </c>
      <c r="E57" s="334">
        <v>141</v>
      </c>
      <c r="F57" s="334">
        <v>2576289.926</v>
      </c>
    </row>
    <row r="58" spans="1:6">
      <c r="A58" s="348" t="s">
        <v>48</v>
      </c>
      <c r="B58" s="348" t="s">
        <v>50</v>
      </c>
      <c r="C58" s="334">
        <v>44</v>
      </c>
      <c r="D58" s="334">
        <v>1269676.102</v>
      </c>
      <c r="E58" s="334">
        <v>62</v>
      </c>
      <c r="F58" s="334">
        <v>766780.48499999999</v>
      </c>
    </row>
    <row r="59" spans="1:6">
      <c r="A59" s="348" t="s">
        <v>48</v>
      </c>
      <c r="B59" s="348" t="s">
        <v>51</v>
      </c>
      <c r="C59" s="334">
        <v>64</v>
      </c>
      <c r="D59" s="334">
        <v>3840702.8119999999</v>
      </c>
      <c r="E59" s="334">
        <v>177</v>
      </c>
      <c r="F59" s="334">
        <v>7940898.4960000003</v>
      </c>
    </row>
    <row r="60" spans="1:6">
      <c r="A60" s="348" t="s">
        <v>48</v>
      </c>
      <c r="B60" s="348" t="s">
        <v>52</v>
      </c>
      <c r="C60" s="334">
        <v>30</v>
      </c>
      <c r="D60" s="334">
        <v>961898.51699999999</v>
      </c>
      <c r="E60" s="334">
        <v>48</v>
      </c>
      <c r="F60" s="334">
        <v>896706.72</v>
      </c>
    </row>
    <row r="61" spans="1:6">
      <c r="A61" s="348" t="s">
        <v>48</v>
      </c>
      <c r="B61" s="348" t="s">
        <v>53</v>
      </c>
      <c r="C61" s="334">
        <v>174</v>
      </c>
      <c r="D61" s="334">
        <v>6341086.568</v>
      </c>
      <c r="E61" s="334">
        <v>360</v>
      </c>
      <c r="F61" s="334">
        <v>4165116.3739999998</v>
      </c>
    </row>
    <row r="62" spans="1:6">
      <c r="A62" s="348" t="s">
        <v>48</v>
      </c>
      <c r="B62" s="348" t="s">
        <v>54</v>
      </c>
      <c r="C62" s="334">
        <v>14</v>
      </c>
      <c r="D62" s="334">
        <v>606444.52899999998</v>
      </c>
      <c r="E62" s="334">
        <v>23</v>
      </c>
      <c r="F62" s="334">
        <v>241955.228</v>
      </c>
    </row>
    <row r="63" spans="1:6">
      <c r="A63" s="348" t="s">
        <v>48</v>
      </c>
      <c r="B63" s="348" t="s">
        <v>28</v>
      </c>
      <c r="C63" s="334">
        <v>103</v>
      </c>
      <c r="D63" s="334">
        <v>8547638.3129999992</v>
      </c>
      <c r="E63" s="334">
        <v>90</v>
      </c>
      <c r="F63" s="334">
        <v>3504663.662</v>
      </c>
    </row>
    <row r="64" spans="1:6">
      <c r="A64" s="348" t="s">
        <v>55</v>
      </c>
      <c r="B64" s="348" t="s">
        <v>56</v>
      </c>
      <c r="C64" s="334">
        <v>0</v>
      </c>
      <c r="D64" s="334">
        <v>0</v>
      </c>
      <c r="E64" s="334">
        <v>0</v>
      </c>
      <c r="F64" s="334">
        <v>0</v>
      </c>
    </row>
    <row r="65" spans="1:6">
      <c r="A65" s="348" t="s">
        <v>55</v>
      </c>
      <c r="B65" s="348" t="s">
        <v>28</v>
      </c>
      <c r="C65" s="334">
        <v>3</v>
      </c>
      <c r="D65" s="334">
        <v>70316.322</v>
      </c>
      <c r="E65" s="334">
        <v>2</v>
      </c>
      <c r="F65" s="334">
        <v>4792.7359999999999</v>
      </c>
    </row>
    <row r="66" spans="1:6">
      <c r="A66" s="348" t="s">
        <v>55</v>
      </c>
      <c r="B66" s="348" t="s">
        <v>57</v>
      </c>
      <c r="C66" s="334">
        <v>0</v>
      </c>
      <c r="D66" s="334">
        <v>0</v>
      </c>
      <c r="E66" s="334">
        <v>17</v>
      </c>
      <c r="F66" s="334">
        <v>673002.87</v>
      </c>
    </row>
    <row r="67" spans="1:6">
      <c r="A67" s="355" t="s">
        <v>55</v>
      </c>
      <c r="B67" s="355" t="s">
        <v>58</v>
      </c>
      <c r="C67" s="334">
        <v>0</v>
      </c>
      <c r="D67" s="334">
        <v>0</v>
      </c>
      <c r="E67" s="334">
        <v>0</v>
      </c>
      <c r="F67" s="334">
        <v>0</v>
      </c>
    </row>
    <row r="68" spans="1:6">
      <c r="A68" s="341" t="s">
        <v>55</v>
      </c>
      <c r="B68" s="341" t="s">
        <v>59</v>
      </c>
      <c r="C68" s="334">
        <v>0</v>
      </c>
      <c r="D68" s="334">
        <v>0</v>
      </c>
      <c r="E68" s="334">
        <v>5</v>
      </c>
      <c r="F68" s="334">
        <v>139663.193</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67345298</v>
      </c>
      <c r="E73" s="476"/>
    </row>
    <row r="74" spans="1:6">
      <c r="A74" s="348" t="s">
        <v>63</v>
      </c>
      <c r="B74" s="348" t="s">
        <v>651</v>
      </c>
      <c r="C74" s="1307" t="s">
        <v>653</v>
      </c>
      <c r="D74" s="476">
        <v>4683116</v>
      </c>
      <c r="E74" s="476"/>
    </row>
    <row r="75" spans="1:6">
      <c r="A75" s="348" t="s">
        <v>64</v>
      </c>
      <c r="B75" s="348" t="s">
        <v>650</v>
      </c>
      <c r="C75" s="1307" t="s">
        <v>654</v>
      </c>
      <c r="D75" s="476">
        <v>34985180</v>
      </c>
      <c r="E75" s="476"/>
    </row>
    <row r="76" spans="1:6">
      <c r="A76" s="348" t="s">
        <v>64</v>
      </c>
      <c r="B76" s="348" t="s">
        <v>651</v>
      </c>
      <c r="C76" s="1307" t="s">
        <v>655</v>
      </c>
      <c r="D76" s="476">
        <v>860070</v>
      </c>
      <c r="E76" s="476"/>
    </row>
    <row r="77" spans="1:6">
      <c r="A77" s="348" t="s">
        <v>65</v>
      </c>
      <c r="B77" s="348" t="s">
        <v>650</v>
      </c>
      <c r="C77" s="1307" t="s">
        <v>656</v>
      </c>
      <c r="D77" s="476">
        <v>12125233</v>
      </c>
      <c r="E77" s="476"/>
    </row>
    <row r="78" spans="1:6">
      <c r="A78" s="341" t="s">
        <v>65</v>
      </c>
      <c r="B78" s="341" t="s">
        <v>651</v>
      </c>
      <c r="C78" s="341" t="s">
        <v>657</v>
      </c>
      <c r="D78" s="1308">
        <v>1142356</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1316310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4608.514617522439</v>
      </c>
    </row>
    <row r="92" spans="1:6">
      <c r="A92" s="341" t="s">
        <v>68</v>
      </c>
      <c r="B92" s="342">
        <v>610.19558806544205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3149</v>
      </c>
    </row>
    <row r="98" spans="1:6">
      <c r="A98" s="348" t="s">
        <v>71</v>
      </c>
      <c r="B98" s="334">
        <v>2</v>
      </c>
    </row>
    <row r="99" spans="1:6">
      <c r="A99" s="348" t="s">
        <v>72</v>
      </c>
      <c r="B99" s="334">
        <v>74</v>
      </c>
    </row>
    <row r="100" spans="1:6">
      <c r="A100" s="348" t="s">
        <v>73</v>
      </c>
      <c r="B100" s="334">
        <v>495</v>
      </c>
    </row>
    <row r="101" spans="1:6">
      <c r="A101" s="348" t="s">
        <v>74</v>
      </c>
      <c r="B101" s="334">
        <v>56</v>
      </c>
    </row>
    <row r="102" spans="1:6">
      <c r="A102" s="348" t="s">
        <v>75</v>
      </c>
      <c r="B102" s="334">
        <v>86</v>
      </c>
    </row>
    <row r="103" spans="1:6">
      <c r="A103" s="348" t="s">
        <v>76</v>
      </c>
      <c r="B103" s="334">
        <v>107</v>
      </c>
    </row>
    <row r="104" spans="1:6">
      <c r="A104" s="348" t="s">
        <v>77</v>
      </c>
      <c r="B104" s="334">
        <v>3071</v>
      </c>
    </row>
    <row r="105" spans="1:6">
      <c r="A105" s="341" t="s">
        <v>78</v>
      </c>
      <c r="B105" s="341">
        <v>8</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58</v>
      </c>
      <c r="C123" s="334">
        <v>54</v>
      </c>
    </row>
    <row r="124" spans="1:6">
      <c r="A124" s="341" t="s">
        <v>88</v>
      </c>
      <c r="B124" s="334">
        <v>2</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215</v>
      </c>
    </row>
    <row r="130" spans="1:6">
      <c r="A130" s="348" t="s">
        <v>294</v>
      </c>
      <c r="B130" s="334">
        <v>0</v>
      </c>
    </row>
    <row r="131" spans="1:6">
      <c r="A131" s="348" t="s">
        <v>295</v>
      </c>
      <c r="B131" s="334">
        <v>4</v>
      </c>
    </row>
    <row r="132" spans="1:6">
      <c r="A132" s="341" t="s">
        <v>296</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68059.451310246048</v>
      </c>
      <c r="C3" s="43" t="s">
        <v>169</v>
      </c>
      <c r="D3" s="43"/>
      <c r="E3" s="154"/>
      <c r="F3" s="43"/>
      <c r="G3" s="43"/>
      <c r="H3" s="43"/>
      <c r="I3" s="43"/>
      <c r="J3" s="43"/>
      <c r="K3" s="96"/>
    </row>
    <row r="4" spans="1:11">
      <c r="A4" s="383" t="s">
        <v>170</v>
      </c>
      <c r="B4" s="49">
        <f>IF(ISERROR('SEAP template'!B78+'SEAP template'!C78),0,'SEAP template'!B78+'SEAP template'!C78)</f>
        <v>14281.710205587879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2153.7952941176468</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0.20627077956083434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3076.8504201680662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12947.142857142855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0.23764705882352938</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1256.568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1256.568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0.20627077956083434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259.19326093119849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30372.731319999999</v>
      </c>
      <c r="C5" s="17">
        <f>IF(ISERROR('Eigen informatie GS &amp; warmtenet'!B59),0,'Eigen informatie GS &amp; warmtenet'!B59)</f>
        <v>0</v>
      </c>
      <c r="D5" s="30">
        <f>(SUM(HH_hh_gas_kWh,HH_rest_gas_kWh)/1000)*0.902</f>
        <v>85135.660755419987</v>
      </c>
      <c r="E5" s="17">
        <f>B46*B57</f>
        <v>9479.6087118943851</v>
      </c>
      <c r="F5" s="17">
        <f>B51*B62</f>
        <v>11793.232200807714</v>
      </c>
      <c r="G5" s="18"/>
      <c r="H5" s="17"/>
      <c r="I5" s="17"/>
      <c r="J5" s="17">
        <f>B50*B61+C50*C61</f>
        <v>0</v>
      </c>
      <c r="K5" s="17"/>
      <c r="L5" s="17"/>
      <c r="M5" s="17"/>
      <c r="N5" s="17">
        <f>B48*B59+C48*C59</f>
        <v>12414.444476271867</v>
      </c>
      <c r="O5" s="17">
        <f>B69*B70*B71</f>
        <v>535.66871923449855</v>
      </c>
      <c r="P5" s="17">
        <f>B77*B78*B79/1000-B77*B78*B79/1000/B80</f>
        <v>916.45445976859696</v>
      </c>
    </row>
    <row r="6" spans="1:16">
      <c r="A6" s="16" t="s">
        <v>615</v>
      </c>
      <c r="B6" s="809">
        <f>kWh_PV_kleiner_dan_10kW</f>
        <v>4608.514617522439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34981.245937522435</v>
      </c>
      <c r="C8" s="21">
        <f>C5</f>
        <v>0</v>
      </c>
      <c r="D8" s="21">
        <f>D5</f>
        <v>85135.660755419987</v>
      </c>
      <c r="E8" s="21">
        <f>E5</f>
        <v>9479.6087118943851</v>
      </c>
      <c r="F8" s="21">
        <f>F5</f>
        <v>11793.232200807714</v>
      </c>
      <c r="G8" s="21"/>
      <c r="H8" s="21"/>
      <c r="I8" s="21"/>
      <c r="J8" s="21">
        <f>J5</f>
        <v>0</v>
      </c>
      <c r="K8" s="21"/>
      <c r="L8" s="21">
        <f>L5</f>
        <v>0</v>
      </c>
      <c r="M8" s="21">
        <f>M5</f>
        <v>0</v>
      </c>
      <c r="N8" s="21">
        <f>N5</f>
        <v>12414.444476271867</v>
      </c>
      <c r="O8" s="21">
        <f>O5</f>
        <v>535.66871923449855</v>
      </c>
      <c r="P8" s="21">
        <f>P5</f>
        <v>916.45445976859696</v>
      </c>
    </row>
    <row r="9" spans="1:16">
      <c r="B9" s="19"/>
      <c r="C9" s="19"/>
      <c r="D9" s="258"/>
      <c r="E9" s="19"/>
      <c r="F9" s="19"/>
      <c r="G9" s="19"/>
      <c r="H9" s="19"/>
      <c r="I9" s="19"/>
      <c r="J9" s="19"/>
      <c r="K9" s="19"/>
      <c r="L9" s="19"/>
      <c r="M9" s="19"/>
      <c r="N9" s="19"/>
      <c r="O9" s="19"/>
      <c r="P9" s="19"/>
    </row>
    <row r="10" spans="1:16">
      <c r="A10" s="24" t="s">
        <v>213</v>
      </c>
      <c r="B10" s="25">
        <f ca="1">'EF ele_warmte'!B12</f>
        <v>0.20627077956083434</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7215.6088695420221</v>
      </c>
      <c r="C12" s="23">
        <f ca="1">C10*C8</f>
        <v>0</v>
      </c>
      <c r="D12" s="23">
        <f>D8*D10</f>
        <v>17197.403472594837</v>
      </c>
      <c r="E12" s="23">
        <f>E10*E8</f>
        <v>2151.8711776000255</v>
      </c>
      <c r="F12" s="23">
        <f>F10*F8</f>
        <v>3148.7929976156597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3149</v>
      </c>
      <c r="C18" s="166" t="s">
        <v>110</v>
      </c>
      <c r="D18" s="228"/>
      <c r="E18" s="15"/>
    </row>
    <row r="19" spans="1:7">
      <c r="A19" s="171" t="s">
        <v>71</v>
      </c>
      <c r="B19" s="37">
        <f>aantalw2001_ander</f>
        <v>2</v>
      </c>
      <c r="C19" s="166" t="s">
        <v>110</v>
      </c>
      <c r="D19" s="229"/>
      <c r="E19" s="15"/>
    </row>
    <row r="20" spans="1:7">
      <c r="A20" s="171" t="s">
        <v>72</v>
      </c>
      <c r="B20" s="37">
        <f>aantalw2001_propaan</f>
        <v>74</v>
      </c>
      <c r="C20" s="167">
        <f>IF(ISERROR(B20/SUM($B$20,$B$21,$B$22)*100),0,B20/SUM($B$20,$B$21,$B$22)*100)</f>
        <v>11.84</v>
      </c>
      <c r="D20" s="229"/>
      <c r="E20" s="15"/>
    </row>
    <row r="21" spans="1:7">
      <c r="A21" s="171" t="s">
        <v>73</v>
      </c>
      <c r="B21" s="37">
        <f>aantalw2001_elektriciteit</f>
        <v>495</v>
      </c>
      <c r="C21" s="167">
        <f>IF(ISERROR(B21/SUM($B$20,$B$21,$B$22)*100),0,B21/SUM($B$20,$B$21,$B$22)*100)</f>
        <v>79.2</v>
      </c>
      <c r="D21" s="229"/>
      <c r="E21" s="15"/>
    </row>
    <row r="22" spans="1:7">
      <c r="A22" s="171" t="s">
        <v>74</v>
      </c>
      <c r="B22" s="37">
        <f>aantalw2001_hout</f>
        <v>56</v>
      </c>
      <c r="C22" s="167">
        <f>IF(ISERROR(B22/SUM($B$20,$B$21,$B$22)*100),0,B22/SUM($B$20,$B$21,$B$22)*100)</f>
        <v>8.9599999999999991</v>
      </c>
      <c r="D22" s="229"/>
      <c r="E22" s="15"/>
    </row>
    <row r="23" spans="1:7">
      <c r="A23" s="171" t="s">
        <v>75</v>
      </c>
      <c r="B23" s="37">
        <f>aantalw2001_niet_gespec</f>
        <v>86</v>
      </c>
      <c r="C23" s="166" t="s">
        <v>110</v>
      </c>
      <c r="D23" s="228"/>
      <c r="E23" s="15"/>
    </row>
    <row r="24" spans="1:7">
      <c r="A24" s="171" t="s">
        <v>76</v>
      </c>
      <c r="B24" s="37">
        <f>aantalw2001_steenkool</f>
        <v>107</v>
      </c>
      <c r="C24" s="166" t="s">
        <v>110</v>
      </c>
      <c r="D24" s="229"/>
      <c r="E24" s="15"/>
    </row>
    <row r="25" spans="1:7">
      <c r="A25" s="171" t="s">
        <v>77</v>
      </c>
      <c r="B25" s="37">
        <f>aantalw2001_stookolie</f>
        <v>3071</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836</v>
      </c>
      <c r="B28" s="37">
        <f>aantalHuishoudens2011</f>
        <v>8629</v>
      </c>
      <c r="C28" s="36"/>
      <c r="D28" s="228"/>
    </row>
    <row r="29" spans="1:7" s="15" customFormat="1">
      <c r="A29" s="230" t="s">
        <v>837</v>
      </c>
      <c r="B29" s="37">
        <f>SUM(HH_hh_gas_aantal,HH_rest_gas_aantal)</f>
        <v>5931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5931</v>
      </c>
      <c r="C32" s="167">
        <f>IF(ISERROR(B32/SUM($B$32,$B$34,$B$35,$B$36,$B$38,$B$39)*100),0,B32/SUM($B$32,$B$34,$B$35,$B$36,$B$38,$B$39)*100)</f>
        <v>69.433387965347691</v>
      </c>
      <c r="D32" s="233"/>
      <c r="G32" s="15"/>
    </row>
    <row r="33" spans="1:7">
      <c r="A33" s="171" t="s">
        <v>71</v>
      </c>
      <c r="B33" s="34" t="s">
        <v>110</v>
      </c>
      <c r="C33" s="167"/>
      <c r="D33" s="233"/>
      <c r="G33" s="15"/>
    </row>
    <row r="34" spans="1:7">
      <c r="A34" s="171" t="s">
        <v>72</v>
      </c>
      <c r="B34" s="33">
        <f>IF((($B$28-$B$32-$B$39-$B$77-$B$38)*C20/100)&lt;0,0,($B$28-$B$32-$B$39-$B$77-$B$38)*C20/100)</f>
        <v>241.98591999999999</v>
      </c>
      <c r="C34" s="167">
        <f>IF(ISERROR(B34/SUM($B$32,$B$34,$B$35,$B$36,$B$38,$B$39)*100),0,B34/SUM($B$32,$B$34,$B$35,$B$36,$B$38,$B$39)*100)</f>
        <v>2.8328953406696322</v>
      </c>
      <c r="D34" s="233"/>
      <c r="G34" s="15"/>
    </row>
    <row r="35" spans="1:7">
      <c r="A35" s="171" t="s">
        <v>73</v>
      </c>
      <c r="B35" s="33">
        <f>IF((($B$28-$B$32-$B$39-$B$77-$B$38)*C21/100)&lt;0,0,($B$28-$B$32-$B$39-$B$77-$B$38)*C21/100)</f>
        <v>1618.6896000000002</v>
      </c>
      <c r="C35" s="167">
        <f>IF(ISERROR(B35/SUM($B$32,$B$34,$B$35,$B$36,$B$38,$B$39)*100),0,B35/SUM($B$32,$B$34,$B$35,$B$36,$B$38,$B$39)*100)</f>
        <v>18.949772886911731</v>
      </c>
      <c r="D35" s="233"/>
      <c r="G35" s="15"/>
    </row>
    <row r="36" spans="1:7">
      <c r="A36" s="171" t="s">
        <v>74</v>
      </c>
      <c r="B36" s="33">
        <f>IF((($B$28-$B$32-$B$39-$B$77-$B$38)*C22/100)&lt;0,0,($B$28-$B$32-$B$39-$B$77-$B$38)*C22/100)</f>
        <v>183.12448000000001</v>
      </c>
      <c r="C36" s="167">
        <f>IF(ISERROR(B36/SUM($B$32,$B$34,$B$35,$B$36,$B$38,$B$39)*100),0,B36/SUM($B$32,$B$34,$B$35,$B$36,$B$38,$B$39)*100)</f>
        <v>2.1438126902364787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567.19999999999982</v>
      </c>
      <c r="C39" s="167">
        <f>IF(ISERROR(B39/SUM($B$32,$B$34,$B$35,$B$36,$B$38,$B$39)*100),0,B39/SUM($B$32,$B$34,$B$35,$B$36,$B$38,$B$39)*100)</f>
        <v>6.6401311168344632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5931</v>
      </c>
      <c r="C44" s="34" t="s">
        <v>110</v>
      </c>
      <c r="D44" s="174"/>
    </row>
    <row r="45" spans="1:7">
      <c r="A45" s="171" t="s">
        <v>71</v>
      </c>
      <c r="B45" s="33" t="str">
        <f t="shared" si="0"/>
        <v>-</v>
      </c>
      <c r="C45" s="34" t="s">
        <v>110</v>
      </c>
      <c r="D45" s="174"/>
    </row>
    <row r="46" spans="1:7">
      <c r="A46" s="171" t="s">
        <v>72</v>
      </c>
      <c r="B46" s="33">
        <f t="shared" si="0"/>
        <v>241.98591999999999</v>
      </c>
      <c r="C46" s="34" t="s">
        <v>110</v>
      </c>
      <c r="D46" s="174"/>
    </row>
    <row r="47" spans="1:7">
      <c r="A47" s="171" t="s">
        <v>73</v>
      </c>
      <c r="B47" s="33">
        <f t="shared" si="0"/>
        <v>1618.6896000000002</v>
      </c>
      <c r="C47" s="34" t="s">
        <v>110</v>
      </c>
      <c r="D47" s="174"/>
    </row>
    <row r="48" spans="1:7">
      <c r="A48" s="171" t="s">
        <v>74</v>
      </c>
      <c r="B48" s="33">
        <f t="shared" si="0"/>
        <v>183.12448000000001</v>
      </c>
      <c r="C48" s="33">
        <f>B48*10</f>
        <v>1831.2447999999999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567.19999999999982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270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20092.410891</v>
      </c>
      <c r="C5" s="17">
        <f>IF(ISERROR('Eigen informatie GS &amp; warmtenet'!B60),0,'Eigen informatie GS &amp; warmtenet'!B60)</f>
        <v>0</v>
      </c>
      <c r="D5" s="30">
        <f>SUM(D6:D12)</f>
        <v>22132.074022761997</v>
      </c>
      <c r="E5" s="17">
        <f>SUM(E6:E12)</f>
        <v>313.07283087592174</v>
      </c>
      <c r="F5" s="17">
        <f>SUM(F6:F12)</f>
        <v>2269.6291337849143</v>
      </c>
      <c r="G5" s="18"/>
      <c r="H5" s="17"/>
      <c r="I5" s="17"/>
      <c r="J5" s="17">
        <f>SUM(J6:J12)</f>
        <v>5.0451740995085259E-2</v>
      </c>
      <c r="K5" s="17"/>
      <c r="L5" s="17"/>
      <c r="M5" s="17"/>
      <c r="N5" s="17">
        <f>SUM(N6:N12)</f>
        <v>1981.7779472863601</v>
      </c>
      <c r="O5" s="17">
        <f>B38*B39*B40</f>
        <v>0</v>
      </c>
      <c r="P5" s="17">
        <f>B46*B47*B48/1000-B46*B47*B48/1000/B49</f>
        <v>210.15655322598008</v>
      </c>
      <c r="R5" s="32"/>
    </row>
    <row r="6" spans="1:18">
      <c r="A6" s="32" t="s">
        <v>53</v>
      </c>
      <c r="B6" s="37">
        <f>B26</f>
        <v>4165.1163740000002</v>
      </c>
      <c r="C6" s="33"/>
      <c r="D6" s="37">
        <f>IF(ISERROR(TER_kantoor_gas_kWh/1000),0,TER_kantoor_gas_kWh/1000)*0.902</f>
        <v>5719.6600843360002</v>
      </c>
      <c r="E6" s="33">
        <f>$C$26*'E Balans VL '!I12/100/3.6*1000000</f>
        <v>33.515356020059215</v>
      </c>
      <c r="F6" s="33">
        <f>$C$26*('E Balans VL '!L12+'E Balans VL '!N12)/100/3.6*1000000</f>
        <v>509.22929234296868</v>
      </c>
      <c r="G6" s="34"/>
      <c r="H6" s="33"/>
      <c r="I6" s="33"/>
      <c r="J6" s="33">
        <f>$C$26*('E Balans VL '!D12+'E Balans VL '!E12)/100/3.6*1000000</f>
        <v>0</v>
      </c>
      <c r="K6" s="33"/>
      <c r="L6" s="33"/>
      <c r="M6" s="33"/>
      <c r="N6" s="33">
        <f>$C$26*'E Balans VL '!Y12/100/3.6*1000000</f>
        <v>2.2385449412435348</v>
      </c>
      <c r="O6" s="33"/>
      <c r="P6" s="33"/>
      <c r="R6" s="32"/>
    </row>
    <row r="7" spans="1:18">
      <c r="A7" s="32" t="s">
        <v>52</v>
      </c>
      <c r="B7" s="37">
        <f t="shared" ref="B7:B12" si="0">B27</f>
        <v>896.70672000000002</v>
      </c>
      <c r="C7" s="33"/>
      <c r="D7" s="37">
        <f>IF(ISERROR(TER_horeca_gas_kWh/1000),0,TER_horeca_gas_kWh/1000)*0.902</f>
        <v>867.63246233400002</v>
      </c>
      <c r="E7" s="33">
        <f>$C$27*'E Balans VL '!I9/100/3.6*1000000</f>
        <v>9.628428246054721</v>
      </c>
      <c r="F7" s="33">
        <f>$C$27*('E Balans VL '!L9+'E Balans VL '!N9)/100/3.6*1000000</f>
        <v>107.85207445029982</v>
      </c>
      <c r="G7" s="34"/>
      <c r="H7" s="33"/>
      <c r="I7" s="33"/>
      <c r="J7" s="33">
        <f>$C$27*('E Balans VL '!D9+'E Balans VL '!E9)/100/3.6*1000000</f>
        <v>0</v>
      </c>
      <c r="K7" s="33"/>
      <c r="L7" s="33"/>
      <c r="M7" s="33"/>
      <c r="N7" s="33">
        <f>$C$27*'E Balans VL '!Y9/100/3.6*1000000</f>
        <v>0.13443451146322394</v>
      </c>
      <c r="O7" s="33"/>
      <c r="P7" s="33"/>
      <c r="R7" s="32"/>
    </row>
    <row r="8" spans="1:18">
      <c r="A8" s="6" t="s">
        <v>51</v>
      </c>
      <c r="B8" s="37">
        <f t="shared" si="0"/>
        <v>7940.8984960000007</v>
      </c>
      <c r="C8" s="33"/>
      <c r="D8" s="37">
        <f>IF(ISERROR(TER_handel_gas_kWh/1000),0,TER_handel_gas_kWh/1000)*0.902</f>
        <v>3464.3139364240001</v>
      </c>
      <c r="E8" s="33">
        <f>$C$28*'E Balans VL '!I13/100/3.6*1000000</f>
        <v>213.10940480772882</v>
      </c>
      <c r="F8" s="33">
        <f>$C$28*('E Balans VL '!L13+'E Balans VL '!N13)/100/3.6*1000000</f>
        <v>757.80646132073116</v>
      </c>
      <c r="G8" s="34"/>
      <c r="H8" s="33"/>
      <c r="I8" s="33"/>
      <c r="J8" s="33">
        <f>$C$28*('E Balans VL '!D13+'E Balans VL '!E13)/100/3.6*1000000</f>
        <v>0</v>
      </c>
      <c r="K8" s="33"/>
      <c r="L8" s="33"/>
      <c r="M8" s="33"/>
      <c r="N8" s="33">
        <f>$C$28*'E Balans VL '!Y13/100/3.6*1000000</f>
        <v>3.1478624548913627</v>
      </c>
      <c r="O8" s="33"/>
      <c r="P8" s="33"/>
      <c r="R8" s="32"/>
    </row>
    <row r="9" spans="1:18">
      <c r="A9" s="32" t="s">
        <v>50</v>
      </c>
      <c r="B9" s="37">
        <f t="shared" si="0"/>
        <v>766.780485</v>
      </c>
      <c r="C9" s="33"/>
      <c r="D9" s="37">
        <f>IF(ISERROR(TER_gezond_gas_kWh/1000),0,TER_gezond_gas_kWh/1000)*0.902</f>
        <v>1145.2478440039999</v>
      </c>
      <c r="E9" s="33">
        <f>$C$29*'E Balans VL '!I10/100/3.6*1000000</f>
        <v>1.437196303457734</v>
      </c>
      <c r="F9" s="33">
        <f>$C$29*('E Balans VL '!L10+'E Balans VL '!N10)/100/3.6*1000000</f>
        <v>63.036352199835008</v>
      </c>
      <c r="G9" s="34"/>
      <c r="H9" s="33"/>
      <c r="I9" s="33"/>
      <c r="J9" s="33">
        <f>$C$29*('E Balans VL '!D10+'E Balans VL '!E10)/100/3.6*1000000</f>
        <v>0</v>
      </c>
      <c r="K9" s="33"/>
      <c r="L9" s="33"/>
      <c r="M9" s="33"/>
      <c r="N9" s="33">
        <f>$C$29*'E Balans VL '!Y10/100/3.6*1000000</f>
        <v>5.966124273745181</v>
      </c>
      <c r="O9" s="33"/>
      <c r="P9" s="33"/>
      <c r="R9" s="32"/>
    </row>
    <row r="10" spans="1:18">
      <c r="A10" s="32" t="s">
        <v>49</v>
      </c>
      <c r="B10" s="37">
        <f t="shared" si="0"/>
        <v>2576.2899259999999</v>
      </c>
      <c r="C10" s="33"/>
      <c r="D10" s="37">
        <f>IF(ISERROR(TER_ander_gas_kWh/1000),0,TER_ander_gas_kWh/1000)*0.902</f>
        <v>2678.2369721800001</v>
      </c>
      <c r="E10" s="33">
        <f>$C$30*'E Balans VL '!I14/100/3.6*1000000</f>
        <v>3.9713770260714618</v>
      </c>
      <c r="F10" s="33">
        <f>$C$30*('E Balans VL '!L14+'E Balans VL '!N14)/100/3.6*1000000</f>
        <v>399.96972223543628</v>
      </c>
      <c r="G10" s="34"/>
      <c r="H10" s="33"/>
      <c r="I10" s="33"/>
      <c r="J10" s="33">
        <f>$C$30*('E Balans VL '!D14+'E Balans VL '!E14)/100/3.6*1000000</f>
        <v>4.3735238513097519E-2</v>
      </c>
      <c r="K10" s="33"/>
      <c r="L10" s="33"/>
      <c r="M10" s="33"/>
      <c r="N10" s="33">
        <f>$C$30*'E Balans VL '!Y14/100/3.6*1000000</f>
        <v>1704.390845569269</v>
      </c>
      <c r="O10" s="33"/>
      <c r="P10" s="33"/>
      <c r="R10" s="32"/>
    </row>
    <row r="11" spans="1:18">
      <c r="A11" s="32" t="s">
        <v>54</v>
      </c>
      <c r="B11" s="37">
        <f t="shared" si="0"/>
        <v>241.95522800000001</v>
      </c>
      <c r="C11" s="33"/>
      <c r="D11" s="37">
        <f>IF(ISERROR(TER_onderwijs_gas_kWh/1000),0,TER_onderwijs_gas_kWh/1000)*0.902</f>
        <v>547.01296515800004</v>
      </c>
      <c r="E11" s="33">
        <f>$C$31*'E Balans VL '!I11/100/3.6*1000000</f>
        <v>6.1715108818615851</v>
      </c>
      <c r="F11" s="33">
        <f>$C$31*('E Balans VL '!L11+'E Balans VL '!N11)/100/3.6*1000000</f>
        <v>29.097393536331197</v>
      </c>
      <c r="G11" s="34"/>
      <c r="H11" s="33"/>
      <c r="I11" s="33"/>
      <c r="J11" s="33">
        <f>$C$31*('E Balans VL '!D11+'E Balans VL '!E11)/100/3.6*1000000</f>
        <v>0</v>
      </c>
      <c r="K11" s="33"/>
      <c r="L11" s="33"/>
      <c r="M11" s="33"/>
      <c r="N11" s="33">
        <f>$C$31*'E Balans VL '!Y11/100/3.6*1000000</f>
        <v>0.53810252331356612</v>
      </c>
      <c r="O11" s="33"/>
      <c r="P11" s="33"/>
      <c r="R11" s="32"/>
    </row>
    <row r="12" spans="1:18">
      <c r="A12" s="32" t="s">
        <v>259</v>
      </c>
      <c r="B12" s="37">
        <f t="shared" si="0"/>
        <v>3504.6636619999999</v>
      </c>
      <c r="C12" s="33"/>
      <c r="D12" s="37">
        <f>IF(ISERROR(TER_rest_gas_kWh/1000),0,TER_rest_gas_kWh/1000)*0.902</f>
        <v>7709.9697583259995</v>
      </c>
      <c r="E12" s="33">
        <f>$C$32*'E Balans VL '!I8/100/3.6*1000000</f>
        <v>45.239557590688221</v>
      </c>
      <c r="F12" s="33">
        <f>$C$32*('E Balans VL '!L8+'E Balans VL '!N8)/100/3.6*1000000</f>
        <v>402.63783769931212</v>
      </c>
      <c r="G12" s="34"/>
      <c r="H12" s="33"/>
      <c r="I12" s="33"/>
      <c r="J12" s="33">
        <f>$C$32*('E Balans VL '!D8+'E Balans VL '!E8)/100/3.6*1000000</f>
        <v>6.7165024819877423E-3</v>
      </c>
      <c r="K12" s="33"/>
      <c r="L12" s="33"/>
      <c r="M12" s="33"/>
      <c r="N12" s="33">
        <f>$C$32*'E Balans VL '!Y8/100/3.6*1000000</f>
        <v>265.36203301243427</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20092.410891</v>
      </c>
      <c r="C16" s="21">
        <f t="shared" ca="1" si="1"/>
        <v>0</v>
      </c>
      <c r="D16" s="21">
        <f t="shared" ca="1" si="1"/>
        <v>22132.074022761997</v>
      </c>
      <c r="E16" s="21">
        <f t="shared" si="1"/>
        <v>313.07283087592174</v>
      </c>
      <c r="F16" s="21">
        <f t="shared" ca="1" si="1"/>
        <v>2269.6291337849143</v>
      </c>
      <c r="G16" s="21">
        <f t="shared" si="1"/>
        <v>0</v>
      </c>
      <c r="H16" s="21">
        <f t="shared" si="1"/>
        <v>0</v>
      </c>
      <c r="I16" s="21">
        <f t="shared" si="1"/>
        <v>0</v>
      </c>
      <c r="J16" s="21">
        <f t="shared" si="1"/>
        <v>5.0451740995085259E-2</v>
      </c>
      <c r="K16" s="21">
        <f t="shared" si="1"/>
        <v>0</v>
      </c>
      <c r="L16" s="21">
        <f t="shared" ca="1" si="1"/>
        <v>0</v>
      </c>
      <c r="M16" s="21">
        <f t="shared" si="1"/>
        <v>0</v>
      </c>
      <c r="N16" s="21">
        <f t="shared" ca="1" si="1"/>
        <v>1981.7779472863601</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0.20627077956083434</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4144.4772577431677</v>
      </c>
      <c r="C20" s="23">
        <f t="shared" ref="C20:P20" ca="1" si="2">C16*C18</f>
        <v>0</v>
      </c>
      <c r="D20" s="23">
        <f t="shared" ca="1" si="2"/>
        <v>4470.6789525979239</v>
      </c>
      <c r="E20" s="23">
        <f t="shared" si="2"/>
        <v>71.067532608834242</v>
      </c>
      <c r="F20" s="23">
        <f t="shared" ca="1" si="2"/>
        <v>605.99097872057212</v>
      </c>
      <c r="G20" s="23">
        <f t="shared" si="2"/>
        <v>0</v>
      </c>
      <c r="H20" s="23">
        <f t="shared" si="2"/>
        <v>0</v>
      </c>
      <c r="I20" s="23">
        <f t="shared" si="2"/>
        <v>0</v>
      </c>
      <c r="J20" s="23">
        <f t="shared" si="2"/>
        <v>1.785991631226018E-2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4165.1163740000002</v>
      </c>
      <c r="C26" s="39">
        <f>IF(ISERROR(B26*3.6/1000000/'E Balans VL '!Z12*100),0,B26*3.6/1000000/'E Balans VL '!Z12*100)</f>
        <v>8.8359133230518014E-2</v>
      </c>
      <c r="D26" s="237" t="s">
        <v>716</v>
      </c>
      <c r="F26" s="6"/>
    </row>
    <row r="27" spans="1:18">
      <c r="A27" s="231" t="s">
        <v>52</v>
      </c>
      <c r="B27" s="33">
        <f>IF(ISERROR(TER_horeca_ele_kWh/1000),0,TER_horeca_ele_kWh/1000)</f>
        <v>896.70672000000002</v>
      </c>
      <c r="C27" s="39">
        <f>IF(ISERROR(B27*3.6/1000000/'E Balans VL '!Z9*100),0,B27*3.6/1000000/'E Balans VL '!Z9*100)</f>
        <v>6.7529959498359354E-2</v>
      </c>
      <c r="D27" s="237" t="s">
        <v>716</v>
      </c>
      <c r="F27" s="6"/>
    </row>
    <row r="28" spans="1:18">
      <c r="A28" s="171" t="s">
        <v>51</v>
      </c>
      <c r="B28" s="33">
        <f>IF(ISERROR(TER_handel_ele_kWh/1000),0,TER_handel_ele_kWh/1000)</f>
        <v>7940.8984960000007</v>
      </c>
      <c r="C28" s="39">
        <f>IF(ISERROR(B28*3.6/1000000/'E Balans VL '!Z13*100),0,B28*3.6/1000000/'E Balans VL '!Z13*100)</f>
        <v>0.23049614654022493</v>
      </c>
      <c r="D28" s="237" t="s">
        <v>716</v>
      </c>
      <c r="F28" s="6"/>
    </row>
    <row r="29" spans="1:18">
      <c r="A29" s="231" t="s">
        <v>50</v>
      </c>
      <c r="B29" s="33">
        <f>IF(ISERROR(TER_gezond_ele_kWh/1000),0,TER_gezond_ele_kWh/1000)</f>
        <v>766.780485</v>
      </c>
      <c r="C29" s="39">
        <f>IF(ISERROR(B29*3.6/1000000/'E Balans VL '!Z10*100),0,B29*3.6/1000000/'E Balans VL '!Z10*100)</f>
        <v>7.7330726335222005E-2</v>
      </c>
      <c r="D29" s="237" t="s">
        <v>716</v>
      </c>
      <c r="F29" s="6"/>
    </row>
    <row r="30" spans="1:18">
      <c r="A30" s="231" t="s">
        <v>49</v>
      </c>
      <c r="B30" s="33">
        <f>IF(ISERROR(TER_ander_ele_kWh/1000),0,TER_ander_ele_kWh/1000)</f>
        <v>2576.2899259999999</v>
      </c>
      <c r="C30" s="39">
        <f>IF(ISERROR(B30*3.6/1000000/'E Balans VL '!Z14*100),0,B30*3.6/1000000/'E Balans VL '!Z14*100)</f>
        <v>0.18694498117027891</v>
      </c>
      <c r="D30" s="237" t="s">
        <v>716</v>
      </c>
      <c r="F30" s="6"/>
    </row>
    <row r="31" spans="1:18">
      <c r="A31" s="231" t="s">
        <v>54</v>
      </c>
      <c r="B31" s="33">
        <f>IF(ISERROR(TER_onderwijs_ele_kWh/1000),0,TER_onderwijs_ele_kWh/1000)</f>
        <v>241.95522800000001</v>
      </c>
      <c r="C31" s="39">
        <f>IF(ISERROR(B31*3.6/1000000/'E Balans VL '!Z11*100),0,B31*3.6/1000000/'E Balans VL '!Z11*100)</f>
        <v>6.8967092855669793E-2</v>
      </c>
      <c r="D31" s="237" t="s">
        <v>716</v>
      </c>
    </row>
    <row r="32" spans="1:18">
      <c r="A32" s="231" t="s">
        <v>259</v>
      </c>
      <c r="B32" s="33">
        <f>IF(ISERROR(TER_rest_ele_kWh/1000),0,TER_rest_ele_kWh/1000)</f>
        <v>3504.6636619999999</v>
      </c>
      <c r="C32" s="39">
        <f>IF(ISERROR(B32*3.6/1000000/'E Balans VL '!Z8*100),0,B32*3.6/1000000/'E Balans VL '!Z8*100)</f>
        <v>2.8709490852537753E-2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10035.997611000001</v>
      </c>
      <c r="C5" s="17">
        <f>IF(ISERROR('Eigen informatie GS &amp; warmtenet'!B61),0,'Eigen informatie GS &amp; warmtenet'!B61)</f>
        <v>0</v>
      </c>
      <c r="D5" s="30">
        <f>SUM(D6:D15)</f>
        <v>6764.2385938379994</v>
      </c>
      <c r="E5" s="17">
        <f>SUM(E6:E15)</f>
        <v>705.40464640215305</v>
      </c>
      <c r="F5" s="17">
        <f>SUM(F6:F15)</f>
        <v>2416.5155751597249</v>
      </c>
      <c r="G5" s="18"/>
      <c r="H5" s="17"/>
      <c r="I5" s="17"/>
      <c r="J5" s="17">
        <f>SUM(J6:J15)</f>
        <v>139.37576301985365</v>
      </c>
      <c r="K5" s="17"/>
      <c r="L5" s="17"/>
      <c r="M5" s="17"/>
      <c r="N5" s="17">
        <f>SUM(N6:N15)</f>
        <v>398.62220554430201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68.941240000000008</v>
      </c>
      <c r="C8" s="33"/>
      <c r="D8" s="37">
        <f>IF( ISERROR(IND_metaal_Gas_kWH/1000),0,IND_metaal_Gas_kWH/1000)*0.902</f>
        <v>0</v>
      </c>
      <c r="E8" s="33">
        <f>C30*'E Balans VL '!I18/100/3.6*1000000</f>
        <v>0.49736265911549493</v>
      </c>
      <c r="F8" s="33">
        <f>C30*'E Balans VL '!L18/100/3.6*1000000+C30*'E Balans VL '!N18/100/3.6*1000000</f>
        <v>6.5205701165813501</v>
      </c>
      <c r="G8" s="34"/>
      <c r="H8" s="33"/>
      <c r="I8" s="33"/>
      <c r="J8" s="40">
        <f>C30*'E Balans VL '!D18/100/3.6*1000000+C30*'E Balans VL '!E18/100/3.6*1000000</f>
        <v>6.9341499823204089E-2</v>
      </c>
      <c r="K8" s="33"/>
      <c r="L8" s="33"/>
      <c r="M8" s="33"/>
      <c r="N8" s="33">
        <f>C30*'E Balans VL '!Y18/100/3.6*1000000</f>
        <v>0.87159967411328487</v>
      </c>
      <c r="O8" s="33"/>
      <c r="P8" s="33"/>
      <c r="R8" s="32"/>
    </row>
    <row r="9" spans="1:18">
      <c r="A9" s="6" t="s">
        <v>32</v>
      </c>
      <c r="B9" s="37">
        <f t="shared" si="0"/>
        <v>1175.3813600000001</v>
      </c>
      <c r="C9" s="33"/>
      <c r="D9" s="37">
        <f>IF( ISERROR(IND_andere_gas_kWh/1000),0,IND_andere_gas_kWh/1000)*0.902</f>
        <v>1017.8298627640002</v>
      </c>
      <c r="E9" s="33">
        <f>C31*'E Balans VL '!I19/100/3.6*1000000</f>
        <v>325.71389167382125</v>
      </c>
      <c r="F9" s="33">
        <f>C31*'E Balans VL '!L19/100/3.6*1000000+C31*'E Balans VL '!N19/100/3.6*1000000</f>
        <v>974.15861118669477</v>
      </c>
      <c r="G9" s="34"/>
      <c r="H9" s="33"/>
      <c r="I9" s="33"/>
      <c r="J9" s="40">
        <f>C31*'E Balans VL '!D19/100/3.6*1000000+C31*'E Balans VL '!E19/100/3.6*1000000</f>
        <v>0</v>
      </c>
      <c r="K9" s="33"/>
      <c r="L9" s="33"/>
      <c r="M9" s="33"/>
      <c r="N9" s="33">
        <f>C31*'E Balans VL '!Y19/100/3.6*1000000</f>
        <v>85.318310265595485</v>
      </c>
      <c r="O9" s="33"/>
      <c r="P9" s="33"/>
      <c r="R9" s="32"/>
    </row>
    <row r="10" spans="1:18">
      <c r="A10" s="6" t="s">
        <v>40</v>
      </c>
      <c r="B10" s="37">
        <f t="shared" si="0"/>
        <v>124.335116</v>
      </c>
      <c r="C10" s="33"/>
      <c r="D10" s="37">
        <f>IF( ISERROR(IND_voed_gas_kWh/1000),0,IND_voed_gas_kWh/1000)*0.902</f>
        <v>0</v>
      </c>
      <c r="E10" s="33">
        <f>C32*'E Balans VL '!I20/100/3.6*1000000</f>
        <v>0.22011527032390266</v>
      </c>
      <c r="F10" s="33">
        <f>C32*'E Balans VL '!L20/100/3.6*1000000+C32*'E Balans VL '!N20/100/3.6*1000000</f>
        <v>6.7151982362482538</v>
      </c>
      <c r="G10" s="34"/>
      <c r="H10" s="33"/>
      <c r="I10" s="33"/>
      <c r="J10" s="40">
        <f>C32*'E Balans VL '!D20/100/3.6*1000000+C32*'E Balans VL '!E20/100/3.6*1000000</f>
        <v>0</v>
      </c>
      <c r="K10" s="33"/>
      <c r="L10" s="33"/>
      <c r="M10" s="33"/>
      <c r="N10" s="33">
        <f>C32*'E Balans VL '!Y20/100/3.6*1000000</f>
        <v>7.2248197987132405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669.37645599999996</v>
      </c>
      <c r="C13" s="33"/>
      <c r="D13" s="37">
        <f>IF( ISERROR(IND_papier_gas_kWh/1000),0,IND_papier_gas_kWh/1000)*0.902</f>
        <v>99.957341704000001</v>
      </c>
      <c r="E13" s="33">
        <f>C35*'E Balans VL '!I23/100/3.6*1000000</f>
        <v>0.98488261738132787</v>
      </c>
      <c r="F13" s="33">
        <f>C35*'E Balans VL '!L23/100/3.6*1000000+C35*'E Balans VL '!N23/100/3.6*1000000</f>
        <v>7.1672188967189454</v>
      </c>
      <c r="G13" s="34"/>
      <c r="H13" s="33"/>
      <c r="I13" s="33"/>
      <c r="J13" s="40">
        <f>C35*'E Balans VL '!D23/100/3.6*1000000+C35*'E Balans VL '!E23/100/3.6*1000000</f>
        <v>73.23353795313902</v>
      </c>
      <c r="K13" s="33"/>
      <c r="L13" s="33"/>
      <c r="M13" s="33"/>
      <c r="N13" s="33">
        <f>C35*'E Balans VL '!Y23/100/3.6*1000000</f>
        <v>-6.0639771243080611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7997.9634390000001</v>
      </c>
      <c r="C15" s="33"/>
      <c r="D15" s="37">
        <f>IF( ISERROR(IND_rest_gas_kWh/1000),0,IND_rest_gas_kWh/1000)*0.902</f>
        <v>5646.4513893699996</v>
      </c>
      <c r="E15" s="33">
        <f>C37*'E Balans VL '!I15/100/3.6*1000000</f>
        <v>377.98839418151107</v>
      </c>
      <c r="F15" s="33">
        <f>C37*'E Balans VL '!L15/100/3.6*1000000+C37*'E Balans VL '!N15/100/3.6*1000000</f>
        <v>1421.9539767234814</v>
      </c>
      <c r="G15" s="34"/>
      <c r="H15" s="33"/>
      <c r="I15" s="33"/>
      <c r="J15" s="40">
        <f>C37*'E Balans VL '!D15/100/3.6*1000000+C37*'E Balans VL '!E15/100/3.6*1000000</f>
        <v>66.072883566891406</v>
      </c>
      <c r="K15" s="33"/>
      <c r="L15" s="33"/>
      <c r="M15" s="33"/>
      <c r="N15" s="33">
        <f>C37*'E Balans VL '!Y15/100/3.6*1000000</f>
        <v>311.27145293018805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10035.997611000001</v>
      </c>
      <c r="C18" s="21">
        <f>C5+C16</f>
        <v>0</v>
      </c>
      <c r="D18" s="21">
        <f>MAX((D5+D16),0)</f>
        <v>6764.2385938379994</v>
      </c>
      <c r="E18" s="21">
        <f>MAX((E5+E16),0)</f>
        <v>705.40464640215305</v>
      </c>
      <c r="F18" s="21">
        <f>MAX((F5+F16),0)</f>
        <v>2416.5155751597249</v>
      </c>
      <c r="G18" s="21"/>
      <c r="H18" s="21"/>
      <c r="I18" s="21"/>
      <c r="J18" s="21">
        <f>MAX((J5+J16),0)</f>
        <v>139.37576301985365</v>
      </c>
      <c r="K18" s="21"/>
      <c r="L18" s="21">
        <f>MAX((L5+L16),0)</f>
        <v>0</v>
      </c>
      <c r="M18" s="21"/>
      <c r="N18" s="21">
        <f>MAX((N5+N16),0)</f>
        <v>398.62220554430201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0.20627077956083434</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2070.1330508916412</v>
      </c>
      <c r="C22" s="23">
        <f ca="1">C18*C20</f>
        <v>0</v>
      </c>
      <c r="D22" s="23">
        <f>D18*D20</f>
        <v>1366.376195955276</v>
      </c>
      <c r="E22" s="23">
        <f>E18*E20</f>
        <v>160.12685473328875</v>
      </c>
      <c r="F22" s="23">
        <f>F18*F20</f>
        <v>645.20965856764656</v>
      </c>
      <c r="G22" s="23"/>
      <c r="H22" s="23"/>
      <c r="I22" s="23"/>
      <c r="J22" s="23">
        <f>J18*J20</f>
        <v>49.339020109028191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68.941240000000008</v>
      </c>
      <c r="C30" s="39">
        <f>IF(ISERROR(B30*3.6/1000000/'E Balans VL '!Z18*100),0,B30*3.6/1000000/'E Balans VL '!Z18*100)</f>
        <v>3.9798702128969517E-3</v>
      </c>
      <c r="D30" s="237" t="s">
        <v>716</v>
      </c>
    </row>
    <row r="31" spans="1:18">
      <c r="A31" s="6" t="s">
        <v>32</v>
      </c>
      <c r="B31" s="37">
        <f>IF( ISERROR(IND_ander_ele_kWh/1000),0,IND_ander_ele_kWh/1000)</f>
        <v>1175.3813600000001</v>
      </c>
      <c r="C31" s="39">
        <f>IF(ISERROR(B31*3.6/1000000/'E Balans VL '!Z19*100),0,B31*3.6/1000000/'E Balans VL '!Z19*100)</f>
        <v>5.911787255684272E-2</v>
      </c>
      <c r="D31" s="237" t="s">
        <v>716</v>
      </c>
    </row>
    <row r="32" spans="1:18">
      <c r="A32" s="171" t="s">
        <v>40</v>
      </c>
      <c r="B32" s="37">
        <f>IF( ISERROR(IND_voed_ele_kWh/1000),0,IND_voed_ele_kWh/1000)</f>
        <v>124.335116</v>
      </c>
      <c r="C32" s="39">
        <f>IF(ISERROR(B32*3.6/1000000/'E Balans VL '!Z20*100),0,B32*3.6/1000000/'E Balans VL '!Z20*100)</f>
        <v>4.1410976955645303E-3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669.37645599999996</v>
      </c>
      <c r="C35" s="39">
        <f>IF(ISERROR(B35*3.6/1000000/'E Balans VL '!Z22*100),0,B35*3.6/1000000/'E Balans VL '!Z22*100)</f>
        <v>0.12486131814299735</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7997.9634390000001</v>
      </c>
      <c r="C37" s="39">
        <f>IF(ISERROR(B37*3.6/1000000/'E Balans VL '!Z15*100),0,B37*3.6/1000000/'E Balans VL '!Z15*100)</f>
        <v>6.240598630450165E-2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476.99442799999997</v>
      </c>
      <c r="C5" s="17">
        <f>'Eigen informatie GS &amp; warmtenet'!B62</f>
        <v>0</v>
      </c>
      <c r="D5" s="30">
        <f>IF(ISERROR(SUM(LB_lb_gas_kWh,LB_rest_gas_kWh)/1000),0,SUM(LB_lb_gas_kWh,LB_rest_gas_kWh)/1000)*0.902</f>
        <v>22004.90287292</v>
      </c>
      <c r="E5" s="17">
        <f>B17*'E Balans VL '!I25/3.6*1000000/100</f>
        <v>14.886838804522592</v>
      </c>
      <c r="F5" s="17">
        <f>B17*('E Balans VL '!L25/3.6*1000000+'E Balans VL '!N25/3.6*1000000)/100</f>
        <v>1685.7511485693215</v>
      </c>
      <c r="G5" s="18"/>
      <c r="H5" s="17"/>
      <c r="I5" s="17"/>
      <c r="J5" s="17">
        <f>('E Balans VL '!D25+'E Balans VL '!E25)/3.6*1000000*landbouw!B17/100</f>
        <v>131.41527284136771</v>
      </c>
      <c r="K5" s="17"/>
      <c r="L5" s="17">
        <f>L6*(-1)</f>
        <v>0</v>
      </c>
      <c r="M5" s="17"/>
      <c r="N5" s="17">
        <f>N6*(-1)</f>
        <v>0</v>
      </c>
      <c r="O5" s="17"/>
      <c r="P5" s="17"/>
      <c r="R5" s="32"/>
    </row>
    <row r="6" spans="1:18">
      <c r="A6" s="16" t="s">
        <v>482</v>
      </c>
      <c r="B6" s="17" t="s">
        <v>210</v>
      </c>
      <c r="C6" s="17">
        <f>'lokale energieproductie'!O92+'lokale energieproductie'!O61</f>
        <v>12947.142857142855</v>
      </c>
      <c r="D6" s="310">
        <f>('lokale energieproductie'!P61+'lokale energieproductie'!P92)*(-1)</f>
        <v>-25894.28571428571</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476.99442799999997</v>
      </c>
      <c r="C8" s="21">
        <f>C5+C6</f>
        <v>12947.142857142855</v>
      </c>
      <c r="D8" s="21">
        <f>MAX((D5+D6),0)</f>
        <v>0</v>
      </c>
      <c r="E8" s="21">
        <f>MAX((E5+E6),0)</f>
        <v>14.886838804522592</v>
      </c>
      <c r="F8" s="21">
        <f>MAX((F5+F6),0)</f>
        <v>1685.7511485693215</v>
      </c>
      <c r="G8" s="21"/>
      <c r="H8" s="21"/>
      <c r="I8" s="21"/>
      <c r="J8" s="21">
        <f>MAX((J5+J6),0)</f>
        <v>131.41527284136771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0.20627077956083434</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98.390012509734262</v>
      </c>
      <c r="C12" s="23">
        <f ca="1">C8*C10</f>
        <v>3076.8504201680662</v>
      </c>
      <c r="D12" s="23">
        <f>D8*D10</f>
        <v>0</v>
      </c>
      <c r="E12" s="23">
        <f>E8*E10</f>
        <v>3.3793124086266286</v>
      </c>
      <c r="F12" s="23">
        <f>F8*F10</f>
        <v>450.09555666800884</v>
      </c>
      <c r="G12" s="23"/>
      <c r="H12" s="23"/>
      <c r="I12" s="23"/>
      <c r="J12" s="23">
        <f>J8*J10</f>
        <v>46.521006585844169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7.0908641142154796E-2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84.618415414649789</v>
      </c>
      <c r="C26" s="247">
        <f>B26*'GWP N2O_CH4'!B5</f>
        <v>1776.9867237076455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7.2169296898010771</v>
      </c>
      <c r="C27" s="247">
        <f>B27*'GWP N2O_CH4'!B5</f>
        <v>151.55552348582262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1.17099177316329</v>
      </c>
      <c r="C28" s="247">
        <f>B28*'GWP N2O_CH4'!B4</f>
        <v>363.00744968061986</v>
      </c>
      <c r="D28" s="50"/>
    </row>
    <row r="29" spans="1:4">
      <c r="A29" s="41" t="s">
        <v>276</v>
      </c>
      <c r="B29" s="247">
        <f>B34*'ha_N2O bodem landbouw'!B4</f>
        <v>10.18767693146189</v>
      </c>
      <c r="C29" s="247">
        <f>B29*'GWP N2O_CH4'!B4</f>
        <v>3158.179848753186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2.2339741260707191E-3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2.2376091500499998E-4</v>
      </c>
      <c r="C5" s="463" t="s">
        <v>210</v>
      </c>
      <c r="D5" s="448">
        <f>SUM(D6:D11)</f>
        <v>9.6480640777799607E-4</v>
      </c>
      <c r="E5" s="448">
        <f>SUM(E6:E11)</f>
        <v>7.5253460972672496E-4</v>
      </c>
      <c r="F5" s="461" t="s">
        <v>210</v>
      </c>
      <c r="G5" s="448">
        <f>SUM(G6:G11)</f>
        <v>0.26123447531106064</v>
      </c>
      <c r="H5" s="448">
        <f>SUM(H6:H11)</f>
        <v>7.1882804301921441E-2</v>
      </c>
      <c r="I5" s="463" t="s">
        <v>210</v>
      </c>
      <c r="J5" s="463" t="s">
        <v>210</v>
      </c>
      <c r="K5" s="463" t="s">
        <v>210</v>
      </c>
      <c r="L5" s="463" t="s">
        <v>210</v>
      </c>
      <c r="M5" s="448">
        <f>SUM(M6:M11)</f>
        <v>1.9788094159695728E-2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1.3166005758999999E-4</v>
      </c>
      <c r="C6" s="449"/>
      <c r="D6" s="917">
        <f>vkm_2011_GW_PW*SUMIFS(TableVerdeelsleutelVkm[CNG],TableVerdeelsleutelVkm[Voertuigtype],"Lichte voertuigen")*SUMIFS(TableECFTransport[EnergieConsumptieFactor (PJ per km)],TableECFTransport[Index],CONCATENATE($A6,"_CNG_CNG"))</f>
        <v>4.5780444622466401E-4</v>
      </c>
      <c r="E6" s="917">
        <f>vkm_2011_GW_PW*SUMIFS(TableVerdeelsleutelVkm[LPG],TableVerdeelsleutelVkm[Voertuigtype],"Lichte voertuigen")*SUMIFS(TableECFTransport[EnergieConsumptieFactor (PJ per km)],TableECFTransport[Index],CONCATENATE($A6,"_LPG_LPG"))</f>
        <v>3.6067447796879997E-4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9.8179786624241386E-2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3.4356404370309825E-2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7.919870448021395E-3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4.4302985063332592E-2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1.1161349594855969E-5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2.5546485309158248E-3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6.8396026899999996E-5</v>
      </c>
      <c r="C8" s="449"/>
      <c r="D8" s="451">
        <f>vkm_2011_NGW_PW*SUMIFS(TableVerdeelsleutelVkm[CNG],TableVerdeelsleutelVkm[Voertuigtype],"Lichte voertuigen")*SUMIFS(TableECFTransport[EnergieConsumptieFactor (PJ per km)],TableECFTransport[Index],CONCATENATE($A8,"_CNG_CNG"))</f>
        <v>4.2088850828640002E-4</v>
      </c>
      <c r="E8" s="451">
        <f>vkm_2011_NGW_PW*SUMIFS(TableVerdeelsleutelVkm[LPG],TableVerdeelsleutelVkm[Voertuigtype],"Lichte voertuigen")*SUMIFS(TableECFTransport[EnergieConsumptieFactor (PJ per km)],TableECFTransport[Index],CONCATENATE($A8,"_LPG_LPG"))</f>
        <v>3.0740515573549998E-4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7.7651800616233016E-2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3.0777657808104618E-2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6.5010741496152689E-3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1.0409168286106532E-2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2.4743825398150797E-6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6.00215426194774E-4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2.3704830514999999E-5</v>
      </c>
      <c r="C10" s="449"/>
      <c r="D10" s="451">
        <f>vkm_2011_SW_PW*SUMIFS(TableVerdeelsleutelVkm[CNG],TableVerdeelsleutelVkm[Voertuigtype],"Lichte voertuigen")*SUMIFS(TableECFTransport[EnergieConsumptieFactor (PJ per km)],TableECFTransport[Index],CONCATENATE($A10,"_CNG_CNG"))</f>
        <v>8.6113453266931997E-5</v>
      </c>
      <c r="E10" s="451">
        <f>vkm_2011_SW_PW*SUMIFS(TableVerdeelsleutelVkm[LPG],TableVerdeelsleutelVkm[Voertuigtype],"Lichte voertuigen")*SUMIFS(TableECFTransport[EnergieConsumptieFactor (PJ per km)],TableECFTransport[Index],CONCATENATE($A10,"_LPG_LPG"))</f>
        <v>8.4454976022424992E-5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2.0421663953316949E-2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6.7323043455921596E-3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1.6201247620515626E-3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1.0269070767830178E-2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2.8020457801542075E-6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5.9216084289690169E-4</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62.155809723611107</v>
      </c>
      <c r="C14" s="21"/>
      <c r="D14" s="21">
        <f t="shared" ref="D14:M14" si="0">((D5)*10^9/3600)+D12</f>
        <v>268.00177993833222</v>
      </c>
      <c r="E14" s="21">
        <f t="shared" si="0"/>
        <v>209.03739159075693</v>
      </c>
      <c r="F14" s="21"/>
      <c r="G14" s="21">
        <f t="shared" si="0"/>
        <v>72565.132030850174</v>
      </c>
      <c r="H14" s="21">
        <f t="shared" si="0"/>
        <v>19967.445639422622</v>
      </c>
      <c r="I14" s="21"/>
      <c r="J14" s="21"/>
      <c r="K14" s="21"/>
      <c r="L14" s="21"/>
      <c r="M14" s="21">
        <f t="shared" si="0"/>
        <v>5496.6928221377029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0.20627077956083434</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12.820927325924151</v>
      </c>
      <c r="C18" s="23"/>
      <c r="D18" s="23">
        <f t="shared" ref="D18:M18" si="1">D14*D16</f>
        <v>54.136359547543115</v>
      </c>
      <c r="E18" s="23">
        <f t="shared" si="1"/>
        <v>47.45148789110182</v>
      </c>
      <c r="F18" s="23"/>
      <c r="G18" s="23">
        <f t="shared" si="1"/>
        <v>19374.890252236997</v>
      </c>
      <c r="H18" s="23">
        <f t="shared" si="1"/>
        <v>4971.8939642162331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1.6159103629660009E-2</v>
      </c>
      <c r="H50" s="321">
        <f t="shared" si="2"/>
        <v>0</v>
      </c>
      <c r="I50" s="321">
        <f t="shared" si="2"/>
        <v>0</v>
      </c>
      <c r="J50" s="321">
        <f t="shared" si="2"/>
        <v>0</v>
      </c>
      <c r="K50" s="321">
        <f t="shared" si="2"/>
        <v>0</v>
      </c>
      <c r="L50" s="321">
        <f t="shared" si="2"/>
        <v>0</v>
      </c>
      <c r="M50" s="321">
        <f t="shared" si="2"/>
        <v>8.9812476764310125E-4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1.6159103629660009E-2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8.9812476764310125E-4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4488.6398971277804</v>
      </c>
      <c r="H54" s="21">
        <f t="shared" si="3"/>
        <v>0</v>
      </c>
      <c r="I54" s="21">
        <f t="shared" si="3"/>
        <v>0</v>
      </c>
      <c r="J54" s="21">
        <f t="shared" si="3"/>
        <v>0</v>
      </c>
      <c r="K54" s="21">
        <f t="shared" si="3"/>
        <v>0</v>
      </c>
      <c r="L54" s="21">
        <f t="shared" si="3"/>
        <v>0</v>
      </c>
      <c r="M54" s="21">
        <f t="shared" si="3"/>
        <v>249.47910212308369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0.20627077956083434</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1198.4668525331174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5218.7102055878813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9062.9999999999982</v>
      </c>
      <c r="C8" s="574">
        <f>B101</f>
        <v>10662.352941176468</v>
      </c>
      <c r="D8" s="575"/>
      <c r="E8" s="575">
        <f>E101</f>
        <v>0</v>
      </c>
      <c r="F8" s="576"/>
      <c r="G8" s="577"/>
      <c r="H8" s="575">
        <f>I101</f>
        <v>0</v>
      </c>
      <c r="I8" s="575">
        <f>G101+F101</f>
        <v>0</v>
      </c>
      <c r="J8" s="575">
        <f>H101+D101+C101</f>
        <v>0</v>
      </c>
      <c r="K8" s="575"/>
      <c r="L8" s="575"/>
      <c r="M8" s="575"/>
      <c r="N8" s="578"/>
      <c r="O8" s="579">
        <f>C8*$C$12+D8*$D$12+E8*$E$12+F8*$F$12+G8*$G$12+H8*$H$12+I8*$I$12+J8*$J$12</f>
        <v>2153.7952941176468</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14281.710205587879</v>
      </c>
      <c r="C10" s="589">
        <f t="shared" ref="C10:L10" si="0">SUM(C8:C9)</f>
        <v>10662.352941176468</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2153.7952941176468</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12947.142857142855</v>
      </c>
      <c r="C17" s="605">
        <f>B102</f>
        <v>15231.932773109238</v>
      </c>
      <c r="D17" s="606"/>
      <c r="E17" s="606">
        <f>E102</f>
        <v>0</v>
      </c>
      <c r="F17" s="607"/>
      <c r="G17" s="608"/>
      <c r="H17" s="605">
        <f>I102</f>
        <v>0</v>
      </c>
      <c r="I17" s="606">
        <f>G102+F102</f>
        <v>0</v>
      </c>
      <c r="J17" s="606">
        <f>H102+D102+C102</f>
        <v>0</v>
      </c>
      <c r="K17" s="606"/>
      <c r="L17" s="606"/>
      <c r="M17" s="606"/>
      <c r="N17" s="1005"/>
      <c r="O17" s="609">
        <f>C17*$C$22+E17*$E$22+H17*$H$22+I17*$I$22+J17*$J$22+D17*$D$22+F17*$F$22+G17*$G$22+K17*$K$22+L17*$L$22</f>
        <v>3076.8504201680662</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12947.142857142855</v>
      </c>
      <c r="C20" s="588">
        <f>SUM(C17:C19)</f>
        <v>15231.932773109238</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3076.8504201680662</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24038</v>
      </c>
      <c r="C28" s="817">
        <v>3020</v>
      </c>
      <c r="D28" s="666" t="s">
        <v>886</v>
      </c>
      <c r="E28" s="665" t="s">
        <v>887</v>
      </c>
      <c r="F28" s="665" t="s">
        <v>888</v>
      </c>
      <c r="G28" s="665" t="s">
        <v>889</v>
      </c>
      <c r="H28" s="665" t="s">
        <v>890</v>
      </c>
      <c r="I28" s="665" t="s">
        <v>887</v>
      </c>
      <c r="J28" s="816">
        <v>40091</v>
      </c>
      <c r="K28" s="816">
        <v>40091</v>
      </c>
      <c r="L28" s="665" t="s">
        <v>891</v>
      </c>
      <c r="M28" s="665">
        <v>2014</v>
      </c>
      <c r="N28" s="665">
        <v>9062.9999999999982</v>
      </c>
      <c r="O28" s="665">
        <v>12947.142857142855</v>
      </c>
      <c r="P28" s="665">
        <v>25894.28571428571</v>
      </c>
      <c r="Q28" s="665">
        <v>0</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2014</v>
      </c>
      <c r="N58" s="623">
        <f>SUM(N28:N57)</f>
        <v>9062.9999999999982</v>
      </c>
      <c r="O58" s="623">
        <f t="shared" ref="O58:W58" si="2">SUM(O28:O57)</f>
        <v>12947.142857142855</v>
      </c>
      <c r="P58" s="623">
        <f t="shared" si="2"/>
        <v>25894.28571428571</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2014</v>
      </c>
      <c r="N61" s="628">
        <f t="shared" si="4"/>
        <v>9062.9999999999982</v>
      </c>
      <c r="O61" s="628">
        <f t="shared" si="4"/>
        <v>12947.142857142855</v>
      </c>
      <c r="P61" s="628">
        <f t="shared" si="4"/>
        <v>25894.28571428571</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0.58823529411764697</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10662.352941176468</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15231.932773109238</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2019-08-12T08:39:11Z</dcterms:modified>
</cp:coreProperties>
</file>