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<sst xmlns="http://schemas.openxmlformats.org/spreadsheetml/2006/main" count="2384" uniqueCount="886">
  <si>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</si>
  <si>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</si>
  <si>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</si>
  <si>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</si>
  <si>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</si>
  <si>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</si>
  <si>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</si>
  <si>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</si>
  <si>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</si>
  <si>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</si>
  <si>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</si>
  <si>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</si>
  <si>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</si>
  <si>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</si>
  <si>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</si>
  <si>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</si>
  <si>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</si>
  <si>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</si>
  <si>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</si>
  <si>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</si>
  <si>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</si>
  <si>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</si>
  <si>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</si>
  <si>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</si>
  <si>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</si>
  <si>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</si>
  <si>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</si>
  <si>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</si>
  <si>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</si>
  <si>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</si>
  <si>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</si>
  <si>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</si>
  <si>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</si>
  <si>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</si>
  <si>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</si>
  <si>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</si>
  <si>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</si>
  <si>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</si>
  <si>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</si>
  <si>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</si>
  <si>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</si>
  <si>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</si>
  <si>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</si>
  <si>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</si>
  <si>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</si>
  <si>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</si>
  <si>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</si>
  <si>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</si>
  <si>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</si>
  <si>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</si>
  <si>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</si>
  <si>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</si>
  <si>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</si>
  <si>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</si>
  <si>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</si>
  <si>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</si>
  <si>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</si>
  <si>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</si>
  <si>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</si>
  <si>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</si>
  <si>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</si>
  <si>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</si>
  <si>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</si>
  <si>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</si>
  <si>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</si>
  <si>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</si>
  <si>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</si>
  <si>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</si>
  <si>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</si>
  <si>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</si>
  <si>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</si>
  <si>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</si>
  <si>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</si>
  <si>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</si>
  <si>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</si>
  <si>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</si>
  <si>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</si>
  <si>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</si>
  <si>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</si>
  <si>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</si>
  <si>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</si>
  <si>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</si>
  <si>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</si>
  <si>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</si>
  <si>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</si>
  <si>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</si>
  <si>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</si>
  <si>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</si>
  <si>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</si>
  <si>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</si>
  <si>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</si>
  <si>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</si>
  <si>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</si>
  <si>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</si>
  <si>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</si>
  <si>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</si>
  <si>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</si>
  <si>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</si>
  <si>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</si>
  <si>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</si>
  <si>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</si>
  <si>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</si>
  <si>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</si>
  <si>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</si>
  <si>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</si>
  <si>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</si>
  <si>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</si>
  <si>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</si>
  <si>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</si>
  <si>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</si>
  <si>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</si>
  <si>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</si>
  <si>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</si>
  <si>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</si>
  <si>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</si>
  <si>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</si>
  <si>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</si>
  <si>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</si>
  <si>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</si>
  <si>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</si>
  <si>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</si>
  <si>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</si>
  <si>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</si>
  <si>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</si>
  <si>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</si>
  <si>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</si>
  <si>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</si>
  <si>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</si>
  <si>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</si>
  <si>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</si>
  <si>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</si>
  <si>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</si>
  <si>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</si>
  <si>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</si>
  <si>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</si>
  <si>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</si>
  <si>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</si>
  <si>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</si>
  <si>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</si>
  <si>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</si>
  <si>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</si>
  <si>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</si>
  <si>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</si>
  <si>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</si>
  <si>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</si>
  <si>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</si>
  <si>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</si>
  <si>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</si>
  <si>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</si>
  <si>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</si>
  <si>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</si>
  <si>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</si>
  <si>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</si>
  <si>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</si>
  <si>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</si>
  <si>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</si>
  <si>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</si>
  <si>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</si>
  <si>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</si>
  <si>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</si>
  <si>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</si>
  <si>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</si>
  <si>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</si>
  <si>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</si>
  <si>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</si>
  <si>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</si>
  <si>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</si>
  <si>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</si>
  <si>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</si>
  <si>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</si>
  <si>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</si>
  <si>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</si>
  <si>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</si>
  <si>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</si>
  <si>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</si>
  <si>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</si>
  <si>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</si>
  <si>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</si>
  <si>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</si>
  <si>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</si>
  <si>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</si>
  <si>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</si>
  <si>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</si>
  <si>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</si>
  <si>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</si>
  <si>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</si>
  <si>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</si>
  <si>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</si>
  <si>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</si>
  <si>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</si>
  <si>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</si>
  <si>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</si>
  <si>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</si>
  <si>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</si>
  <si>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</si>
  <si>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</si>
  <si>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</si>
  <si>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</si>
  <si>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</si>
  <si>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</si>
  <si>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</si>
  <si>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</si>
  <si>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</si>
  <si>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</si>
  <si>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</si>
  <si>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</si>
  <si>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</si>
  <si>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</si>
  <si>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</si>
  <si>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</si>
  <si>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</si>
  <si>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</si>
  <si>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</si>
  <si>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</si>
  <si>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</si>
  <si>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</si>
  <si>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</si>
  <si>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</si>
  <si>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</si>
  <si>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</si>
  <si>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</si>
  <si>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</si>
  <si>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</si>
  <si>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</si>
  <si>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</si>
  <si>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</si>
  <si>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</si>
  <si>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</si>
  <si>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</si>
  <si>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</si>
  <si>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</si>
  <si>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</si>
  <si>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</si>
  <si>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</si>
  <si>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</si>
  <si>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</si>
  <si>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</si>
  <si>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</si>
  <si>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</si>
  <si>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</si>
  <si>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</si>
  <si>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</si>
  <si>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</si>
  <si>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</si>
  <si>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</si>
  <si>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</si>
  <si>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</si>
  <si>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</si>
  <si>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</si>
  <si>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</si>
  <si>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</si>
  <si>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</si>
  <si>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</si>
  <si>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</si>
  <si>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</si>
  <si>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</si>
  <si>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</si>
  <si>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</si>
  <si>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</si>
  <si>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</si>
  <si>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</si>
  <si>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</si>
  <si>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</si>
  <si>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</si>
  <si>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</si>
  <si>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</si>
  <si>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</si>
  <si>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</si>
  <si>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</si>
  <si>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</si>
  <si>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</si>
  <si>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</si>
  <si>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</si>
  <si>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</si>
  <si>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</si>
  <si>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</si>
  <si>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</si>
  <si>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</si>
  <si>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</si>
  <si>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</si>
  <si>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</si>
  <si>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</si>
  <si>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</si>
  <si>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</si>
  <si>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</si>
  <si>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</si>
  <si>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</si>
  <si>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</si>
  <si>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</si>
  <si>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</si>
  <si>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</si>
  <si>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</si>
  <si>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</si>
  <si>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</si>
  <si>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</si>
  <si>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</si>
  <si>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</si>
  <si>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</si>
  <si>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</si>
  <si>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</si>
  <si>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</si>
  <si>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</si>
  <si>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</si>
  <si>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</si>
  <si>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</si>
  <si>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</si>
  <si>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</si>
  <si>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</si>
  <si>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</si>
  <si>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</si>
  <si>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</si>
  <si>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</si>
  <si>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</si>
  <si>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</si>
  <si>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</si>
  <si>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</si>
  <si>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</si>
  <si>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</si>
  <si>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</si>
  <si>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</si>
  <si>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</si>
  <si>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</si>
  <si>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</si>
  <si>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</si>
  <si>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</si>
  <si>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</si>
  <si>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</si>
  <si>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</si>
  <si>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</si>
  <si>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</si>
  <si>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</si>
  <si>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</si>
  <si>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</si>
  <si>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</si>
  <si>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</si>
  <si>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</si>
  <si>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</si>
  <si>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</si>
  <si>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</si>
  <si>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</si>
  <si>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</si>
  <si>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</si>
  <si>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</si>
  <si>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</si>
  <si>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</si>
  <si>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</si>
  <si>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</si>
  <si>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</si>
  <si>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</si>
  <si>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</si>
  <si>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</si>
  <si>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</si>
  <si>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</si>
  <si>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</si>
  <si>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</si>
  <si>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</si>
  <si>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</si>
  <si>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</si>
  <si>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</si>
  <si>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</si>
  <si>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</si>
  <si>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</si>
  <si>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</si>
  <si>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</si>
  <si>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</si>
  <si>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</si>
  <si>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</si>
  <si>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</si>
  <si>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</si>
  <si>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</si>
  <si>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</si>
  <si>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</si>
  <si>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</si>
  <si>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</si>
  <si>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</si>
  <si>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</si>
  <si>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</si>
  <si>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</si>
  <si>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</si>
  <si>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</si>
  <si>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</si>
  <si>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</si>
  <si>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</si>
  <si>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</si>
  <si>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</si>
  <si>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</si>
  <si>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</si>
  <si>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</si>
  <si>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</si>
  <si>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</si>
  <si>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</si>
  <si>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</si>
  <si>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</si>
  <si>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</si>
  <si>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</si>
  <si>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</si>
  <si>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</si>
  <si>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</si>
  <si>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</si>
  <si>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</si>
  <si>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</si>
  <si>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</si>
  <si>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</si>
  <si>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</si>
  <si>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</si>
  <si>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</si>
  <si>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</si>
  <si>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</si>
  <si>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</si>
  <si>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</si>
  <si>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</si>
  <si>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</si>
  <si>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</si>
  <si>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</si>
  <si>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</si>
  <si>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</si>
  <si>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</si>
  <si>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</si>
  <si>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</si>
  <si>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</si>
  <si>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</si>
  <si>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</si>
  <si>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</si>
  <si>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</si>
  <si>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</si>
  <si>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</si>
  <si>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</si>
  <si>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</si>
  <si>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</si>
  <si>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</si>
  <si>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</si>
  <si>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</si>
  <si>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</si>
  <si>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</si>
  <si>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</si>
  <si>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</si>
  <si>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</si>
  <si>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</si>
  <si>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</si>
  <si>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</si>
  <si>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</si>
  <si>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</si>
  <si>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</si>
  <si>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</si>
  <si>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</si>
  <si>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</si>
  <si>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</si>
  <si>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</si>
  <si>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</si>
  <si>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</si>
  <si>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</si>
  <si>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</si>
  <si>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</si>
  <si>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</si>
  <si>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</si>
  <si>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</si>
  <si>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</si>
  <si>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</si>
  <si>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</si>
  <si>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</si>
  <si>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</si>
  <si>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</si>
  <si>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</si>
  <si>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</si>
  <si>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</si>
  <si>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</si>
  <si>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</si>
  <si>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</si>
  <si>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</si>
  <si>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</si>
  <si>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</si>
  <si>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</si>
  <si>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</si>
  <si>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</si>
  <si>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</si>
  <si>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</si>
  <si>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</si>
  <si>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</si>
  <si>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</si>
  <si>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</si>
  <si>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</si>
  <si>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</si>
  <si>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</si>
  <si>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</si>
  <si>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</si>
  <si>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</si>
  <si>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</si>
  <si>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</si>
  <si>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</si>
  <si>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</si>
  <si>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</si>
  <si>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</si>
  <si>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</si>
  <si>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</si>
  <si>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</si>
  <si>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</si>
  <si>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</si>
  <si>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</si>
  <si>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</si>
  <si>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</si>
  <si>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</si>
  <si>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</si>
  <si>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</si>
  <si>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</si>
  <si>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</si>
  <si>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</si>
  <si>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</si>
  <si>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</si>
  <si>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</si>
  <si>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</si>
  <si>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</si>
  <si>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</si>
  <si>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</si>
  <si>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</si>
  <si>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</si>
  <si>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</si>
  <si>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</si>
  <si>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</si>
  <si>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</si>
  <si>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</si>
  <si>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</si>
  <si>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</si>
  <si>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</si>
  <si>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</si>
  <si>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</si>
  <si>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</si>
  <si>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</si>
  <si>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</si>
  <si>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</si>
  <si>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</si>
  <si>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</si>
  <si>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</si>
  <si>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</si>
  <si>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</si>
  <si>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</si>
  <si>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</si>
  <si>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</si>
  <si>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</si>
  <si>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</si>
  <si>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</si>
  <si>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</si>
  <si>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</si>
  <si>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</si>
  <si>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</si>
  <si>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</si>
  <si>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</si>
  <si>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</si>
  <si>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</si>
  <si>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</si>
  <si>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</si>
  <si>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</si>
  <si>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</si>
  <si>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</si>
  <si>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</si>
  <si>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</si>
  <si>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</si>
  <si>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</si>
  <si>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</si>
  <si>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</si>
  <si>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</si>
  <si>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</si>
  <si>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</si>
  <si>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</si>
  <si>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</si>
  <si>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</si>
  <si>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</si>
  <si>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</si>
  <si>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</si>
  <si>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</si>
  <si>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</si>
  <si>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</si>
  <si>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</si>
  <si>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</si>
  <si>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</si>
  <si>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</si>
  <si>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</si>
  <si>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</si>
  <si>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</si>
  <si>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</si>
  <si>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</si>
  <si>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</si>
  <si>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</si>
  <si>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</si>
  <si>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</si>
  <si>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</si>
  <si>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</si>
  <si>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</si>
  <si>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</si>
  <si>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</si>
  <si>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</si>
  <si>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</si>
  <si>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</si>
  <si>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</si>
  <si>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</si>
  <si>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</si>
  <si>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</si>
  <si>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</si>
  <si>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</si>
  <si>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</si>
  <si>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</si>
  <si>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</si>
  <si>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</si>
  <si>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</si>
  <si>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</si>
  <si>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</si>
  <si>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</si>
  <si>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</si>
  <si>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</si>
  <si>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</si>
  <si>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</si>
  <si>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</si>
  <si>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</si>
  <si>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</si>
  <si>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</si>
  <si>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</si>
  <si>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</si>
  <si>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</si>
  <si>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</si>
  <si>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</si>
  <si>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</si>
  <si>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</si>
  <si>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</si>
  <si>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</si>
  <si>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</si>
  <si>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</si>
  <si>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</si>
  <si>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</si>
  <si>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</si>
  <si>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</si>
  <si>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</si>
  <si>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</si>
  <si>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</si>
  <si>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</si>
  <si>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</si>
  <si>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</si>
  <si>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</si>
  <si>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</si>
  <si>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</si>
  <si>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</si>
  <si>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</si>
  <si>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</si>
  <si>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</si>
  <si>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</si>
  <si>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</si>
  <si>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</si>
  <si>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</si>
  <si>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</si>
  <si>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</si>
  <si>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</si>
  <si>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</si>
  <si>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</si>
  <si>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</si>
  <si>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</si>
  <si>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</si>
  <si>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</si>
  <si>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</si>
  <si>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</si>
  <si>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</si>
  <si>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</si>
  <si>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</si>
  <si>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</si>
  <si>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</si>
  <si>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</si>
  <si>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</si>
  <si>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</si>
  <si>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</si>
  <si>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</si>
  <si>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</si>
  <si>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</si>
  <si>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</si>
  <si>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</si>
  <si>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</si>
  <si>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</si>
  <si>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</si>
  <si>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</si>
  <si>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</si>
  <si>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</si>
  <si>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</si>
  <si>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</si>
  <si>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</si>
  <si>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</si>
  <si>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</si>
  <si>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</si>
  <si>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</si>
  <si>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</si>
  <si>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</si>
  <si>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</si>
  <si>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</si>
  <si>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</si>
  <si>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</si>
  <si>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</si>
  <si>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</si>
  <si>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</si>
  <si>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</si>
  <si>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</si>
  <si>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</si>
  <si>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</si>
  <si>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</si>
  <si>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</si>
  <si>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</si>
  <si>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</si>
  <si>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</si>
  <si>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</si>
  <si>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</si>
  <si>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</si>
  <si>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</si>
  <si>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</si>
  <si>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</si>
  <si>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</si>
  <si>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</si>
  <si>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</si>
  <si>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</si>
  <si>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</si>
  <si>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</si>
  <si>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</si>
  <si>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</si>
  <si>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</si>
  <si>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</si>
  <si>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</si>
  <si>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</si>
  <si>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</si>
  <si>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</si>
  <si>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</si>
  <si>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</si>
  <si>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</si>
  <si>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</si>
  <si>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</si>
  <si>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</si>
  <si>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</si>
  <si>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</si>
  <si>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</si>
  <si>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</si>
  <si>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</si>
  <si>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</si>
  <si>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</si>
  <si>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</si>
  <si>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</si>
  <si>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</si>
  <si>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</si>
  <si>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</si>
  <si>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</si>
  <si>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</si>
  <si>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</si>
  <si>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</si>
  <si>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</si>
  <si>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</si>
  <si>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</si>
  <si>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</si>
  <si>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</si>
  <si>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</si>
  <si>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</si>
  <si>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</si>
  <si>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</si>
  <si>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</si>
  <si>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</si>
  <si>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</si>
  <si>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</si>
  <si>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</si>
  <si>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</si>
  <si>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</si>
  <si>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</si>
  <si>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</si>
  <si>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</si>
  <si>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</si>
  <si>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</si>
  <si>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</si>
  <si>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</si>
  <si>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</si>
  <si>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</si>
  <si>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</si>
  <si>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</si>
  <si>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</si>
  <si>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</si>
  <si>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</si>
  <si>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</si>
  <si>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</si>
  <si>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</si>
  <si>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</si>
  <si>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</si>
  <si>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</si>
  <si>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</si>
  <si>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</si>
  <si>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</si>
  <si>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</si>
  <si>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</si>
  <si>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</si>
  <si>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</si>
  <si>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</si>
  <si>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</si>
  <si>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</si>
  <si>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</si>
  <si>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</si>
  <si>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</si>
  <si>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</si>
  <si>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</si>
  <si>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</si>
  <si>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</si>
  <si>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</si>
  <si>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</si>
  <si>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</si>
  <si>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</si>
  <si>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</si>
  <si>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</si>
  <si>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</si>
  <si>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</si>
  <si>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</si>
  <si>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</si>
  <si>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</si>
  <si>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</si>
  <si>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</si>
  <si>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</si>
  <si>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</si>
  <si>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</si>
  <si>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</si>
  <si>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</si>
  <si>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</si>
  <si>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</si>
  <si>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</si>
  <si>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</si>
  <si>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</si>
  <si>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</si>
  <si>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</si>
  <si>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</si>
  <si>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</si>
  <si>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</si>
  <si>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</si>
  <si>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</si>
  <si>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</si>
  <si>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</si>
  <si>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</si>
  <si>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</si>
  <si>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</si>
  <si>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</si>
  <si>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</si>
  <si>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</si>
  <si>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</si>
  <si>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</si>
  <si>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</si>
  <si>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</si>
  <si>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</si>
  <si>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</si>
  <si>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</si>
  <si>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</si>
  <si>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</si>
  <si>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</si>
  <si>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</si>
  <si>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</si>
  <si>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</si>
  <si>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</si>
  <si>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</si>
  <si>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</si>
  <si>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</si>
  <si>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</si>
  <si>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</si>
  <si>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</si>
  <si>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</si>
  <si>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</si>
  <si>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</si>
  <si>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</si>
  <si>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</si>
  <si>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</si>
  <si>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</si>
  <si>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</si>
  <si>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</si>
  <si>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</si>
  <si>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</si>
  <si>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</si>
  <si>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</si>
  <si>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</si>
  <si>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</si>
  <si>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</si>
  <si>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</si>
  <si>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</si>
  <si>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</si>
  <si>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</si>
  <si>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</si>
  <si>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</si>
  <si>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</si>
  <si>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24008</t>
  </si>
  <si>
    <t>BEKKEVOORT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</si>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</sst>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62612.267869806019</c:v>
                </c:pt>
                <c:pt idx="1">
                  <c:v>7857.2257957451038</c:v>
                </c:pt>
                <c:pt idx="2">
                  <c:v>495.41199999999998</c:v>
                </c:pt>
                <c:pt idx="3">
                  <c:v>16735.432947164547</c:v>
                </c:pt>
                <c:pt idx="4">
                  <c:v>15988.162815838428</c:v>
                </c:pt>
                <c:pt idx="5">
                  <c:v>199343.24760904239</c:v>
                </c:pt>
                <c:pt idx="6">
                  <c:v>1136.3444211412998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62612.267869806019</c:v>
                </c:pt>
                <c:pt idx="1">
                  <c:v>7857.2257957451038</c:v>
                </c:pt>
                <c:pt idx="2">
                  <c:v>495.41199999999998</c:v>
                </c:pt>
                <c:pt idx="3">
                  <c:v>16735.432947164547</c:v>
                </c:pt>
                <c:pt idx="4">
                  <c:v>15988.162815838428</c:v>
                </c:pt>
                <c:pt idx="5">
                  <c:v>199343.24760904239</c:v>
                </c:pt>
                <c:pt idx="6">
                  <c:v>1136.3444211412998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12246.049011854275</c:v>
                </c:pt>
                <c:pt idx="1">
                  <c:v>1136.7005811127401</c:v>
                </c:pt>
                <c:pt idx="2">
                  <c:v>57.628167318498193</c:v>
                </c:pt>
                <c:pt idx="3">
                  <c:v>4023.7029734301364</c:v>
                </c:pt>
                <c:pt idx="4">
                  <c:v>2881.4683115799698</c:v>
                </c:pt>
                <c:pt idx="5">
                  <c:v>49603.846130012047</c:v>
                </c:pt>
                <c:pt idx="6">
                  <c:v>287.4286445769099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12246.049011854275</c:v>
                </c:pt>
                <c:pt idx="1">
                  <c:v>1136.7005811127401</c:v>
                </c:pt>
                <c:pt idx="2">
                  <c:v>57.628167318498193</c:v>
                </c:pt>
                <c:pt idx="3">
                  <c:v>4023.7029734301364</c:v>
                </c:pt>
                <c:pt idx="4">
                  <c:v>2881.4683115799698</c:v>
                </c:pt>
                <c:pt idx="5">
                  <c:v>49603.846130012047</c:v>
                </c:pt>
                <c:pt idx="6">
                  <c:v>287.4286445769099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5125.4684460000008</v>
      </c>
      <c r="D10" s="712">
        <f ca="1">tertiair!C16</f>
        <v>0</v>
      </c>
      <c r="E10" s="712">
        <f ca="1">tertiair!D16</f>
        <v>2193.8126496</v>
      </c>
      <c r="F10" s="712">
        <f>tertiair!E16</f>
        <v>68.612626097000486</v>
      </c>
      <c r="G10" s="712">
        <f ca="1">tertiair!F16</f>
        <v>522.04860276405782</v>
      </c>
      <c r="H10" s="712">
        <f>tertiair!G16</f>
        <v>0</v>
      </c>
      <c r="I10" s="712">
        <f>tertiair!H16</f>
        <v>0</v>
      </c>
      <c r="J10" s="712">
        <f>tertiair!I16</f>
        <v>0</v>
      </c>
      <c r="K10" s="712">
        <f>tertiair!J16</f>
        <v>8.4410206171438469E-3</v>
      </c>
      <c r="L10" s="712">
        <f>tertiair!K16</f>
        <v>0</v>
      </c>
      <c r="M10" s="712">
        <f ca="1">tertiair!L16</f>
        <v>0</v>
      </c>
      <c r="N10" s="712">
        <f>tertiair!M16</f>
        <v>0</v>
      </c>
      <c r="O10" s="712">
        <f ca="1">tertiair!N16</f>
        <v>332.71149288459617</v>
      </c>
      <c r="P10" s="712">
        <f>tertiair!O16</f>
        <v>4.8972607658411542</v>
      </c>
      <c r="Q10" s="713">
        <f>tertiair!P16</f>
        <v>105.07827661299004</v>
      </c>
      <c r="R10" s="715">
        <f ca="1">SUM(C10:Q10)</f>
        <v>8352.6377957451059</v>
      </c>
      <c r="S10" s="67"/>
    </row>
    <row r="11" spans="1:19" s="474" customFormat="1">
      <c r="A11" s="834" t="s">
        <v>224</v>
      </c>
      <c r="B11" s="839"/>
      <c r="C11" s="712">
        <f>huishoudens!B8</f>
        <v>11257.905041506016</v>
      </c>
      <c r="D11" s="712">
        <f>huishoudens!C8</f>
        <v>0</v>
      </c>
      <c r="E11" s="712">
        <f>huishoudens!D8</f>
        <v>8484.0048556999991</v>
      </c>
      <c r="F11" s="712">
        <f>huishoudens!E8</f>
        <v>6689.1126093537168</v>
      </c>
      <c r="G11" s="712">
        <f>huishoudens!F8</f>
        <v>26364.277910127264</v>
      </c>
      <c r="H11" s="712">
        <f>huishoudens!G8</f>
        <v>0</v>
      </c>
      <c r="I11" s="712">
        <f>huishoudens!H8</f>
        <v>0</v>
      </c>
      <c r="J11" s="712">
        <f>huishoudens!I8</f>
        <v>0</v>
      </c>
      <c r="K11" s="712">
        <f>huishoudens!J8</f>
        <v>1878.6097752446537</v>
      </c>
      <c r="L11" s="712">
        <f>huishoudens!K8</f>
        <v>0</v>
      </c>
      <c r="M11" s="712">
        <f>huishoudens!L8</f>
        <v>0</v>
      </c>
      <c r="N11" s="712">
        <f>huishoudens!M8</f>
        <v>0</v>
      </c>
      <c r="O11" s="712">
        <f>huishoudens!N8</f>
        <v>7259.3676442209298</v>
      </c>
      <c r="P11" s="712">
        <f>huishoudens!O8</f>
        <v>194.42790549992912</v>
      </c>
      <c r="Q11" s="713">
        <f>huishoudens!P8</f>
        <v>484.56212815351103</v>
      </c>
      <c r="R11" s="715">
        <f>SUM(C11:Q11)</f>
        <v>62612.267869806019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7521.4390840000005</v>
      </c>
      <c r="D13" s="712">
        <f>industrie!C18</f>
        <v>0</v>
      </c>
      <c r="E13" s="712">
        <f>industrie!D18</f>
        <v>662.1735791000001</v>
      </c>
      <c r="F13" s="712">
        <f>industrie!E18</f>
        <v>1812.3701662555752</v>
      </c>
      <c r="G13" s="712">
        <f>industrie!F18</f>
        <v>5469.180199312118</v>
      </c>
      <c r="H13" s="712">
        <f>industrie!G18</f>
        <v>0</v>
      </c>
      <c r="I13" s="712">
        <f>industrie!H18</f>
        <v>0</v>
      </c>
      <c r="J13" s="712">
        <f>industrie!I18</f>
        <v>0</v>
      </c>
      <c r="K13" s="712">
        <f>industrie!J18</f>
        <v>3.1308625814220865</v>
      </c>
      <c r="L13" s="712">
        <f>industrie!K18</f>
        <v>0</v>
      </c>
      <c r="M13" s="712">
        <f>industrie!L18</f>
        <v>0</v>
      </c>
      <c r="N13" s="712">
        <f>industrie!M18</f>
        <v>0</v>
      </c>
      <c r="O13" s="712">
        <f>industrie!N18</f>
        <v>519.8689245893114</v>
      </c>
      <c r="P13" s="712">
        <f>industrie!O18</f>
        <v>0</v>
      </c>
      <c r="Q13" s="713">
        <f>industrie!P18</f>
        <v>0</v>
      </c>
      <c r="R13" s="715">
        <f>SUM(C13:Q13)</f>
        <v>15988.162815838428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23904.812571506016</v>
      </c>
      <c r="D16" s="748">
        <f t="shared" ref="D16:R16" ca="1" si="0">SUM(D9:D15)</f>
        <v>0</v>
      </c>
      <c r="E16" s="748">
        <f t="shared" ca="1" si="0"/>
        <v>11339.991084400001</v>
      </c>
      <c r="F16" s="748">
        <f t="shared" si="0"/>
        <v>8570.0954017062923</v>
      </c>
      <c r="G16" s="748">
        <f t="shared" ca="1" si="0"/>
        <v>32355.506712203442</v>
      </c>
      <c r="H16" s="748">
        <f t="shared" si="0"/>
        <v>0</v>
      </c>
      <c r="I16" s="748">
        <f t="shared" si="0"/>
        <v>0</v>
      </c>
      <c r="J16" s="748">
        <f t="shared" si="0"/>
        <v>0</v>
      </c>
      <c r="K16" s="748">
        <f t="shared" si="0"/>
        <v>1881.7490788466928</v>
      </c>
      <c r="L16" s="748">
        <f t="shared" si="0"/>
        <v>0</v>
      </c>
      <c r="M16" s="748">
        <f t="shared" ca="1" si="0"/>
        <v>0</v>
      </c>
      <c r="N16" s="748">
        <f t="shared" si="0"/>
        <v>0</v>
      </c>
      <c r="O16" s="748">
        <f t="shared" ca="1" si="0"/>
        <v>8111.9480616948367</v>
      </c>
      <c r="P16" s="748">
        <f t="shared" si="0"/>
        <v>199.32516626577029</v>
      </c>
      <c r="Q16" s="748">
        <f t="shared" si="0"/>
        <v>589.64040476650109</v>
      </c>
      <c r="R16" s="748">
        <f t="shared" ca="1" si="0"/>
        <v>86953.06848138955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1076.5117774416101</v>
      </c>
      <c r="I19" s="712">
        <f>transport!H54</f>
        <v>0</v>
      </c>
      <c r="J19" s="712">
        <f>transport!I54</f>
        <v>0</v>
      </c>
      <c r="K19" s="712">
        <f>transport!J54</f>
        <v>0</v>
      </c>
      <c r="L19" s="712">
        <f>transport!K54</f>
        <v>0</v>
      </c>
      <c r="M19" s="712">
        <f>transport!L54</f>
        <v>0</v>
      </c>
      <c r="N19" s="712">
        <f>transport!M54</f>
        <v>59.832643699689598</v>
      </c>
      <c r="O19" s="712">
        <f>transport!N54</f>
        <v>0</v>
      </c>
      <c r="P19" s="712">
        <f>transport!O54</f>
        <v>0</v>
      </c>
      <c r="Q19" s="713">
        <f>transport!P54</f>
        <v>0</v>
      </c>
      <c r="R19" s="715">
        <f>SUM(C19:Q19)</f>
        <v>1136.3444211412998</v>
      </c>
      <c r="S19" s="67"/>
    </row>
    <row r="20" spans="1:19" s="474" customFormat="1">
      <c r="A20" s="834" t="s">
        <v>306</v>
      </c>
      <c r="B20" s="839"/>
      <c r="C20" s="712">
        <f>transport!B14</f>
        <v>113.12403691249999</v>
      </c>
      <c r="D20" s="712">
        <f>transport!C14</f>
        <v>0</v>
      </c>
      <c r="E20" s="712">
        <f>transport!D14</f>
        <v>437.1939199345511</v>
      </c>
      <c r="F20" s="712">
        <f>transport!E14</f>
        <v>392.22344162592367</v>
      </c>
      <c r="G20" s="712">
        <f>transport!F14</f>
        <v>0</v>
      </c>
      <c r="H20" s="712">
        <f>transport!G14</f>
        <v>153801.46409531715</v>
      </c>
      <c r="I20" s="712">
        <f>transport!H14</f>
        <v>33527.503271352551</v>
      </c>
      <c r="J20" s="712">
        <f>transport!I14</f>
        <v>0</v>
      </c>
      <c r="K20" s="712">
        <f>transport!J14</f>
        <v>0</v>
      </c>
      <c r="L20" s="712">
        <f>transport!K14</f>
        <v>0</v>
      </c>
      <c r="M20" s="712">
        <f>transport!L14</f>
        <v>0</v>
      </c>
      <c r="N20" s="712">
        <f>transport!M14</f>
        <v>11071.738843899713</v>
      </c>
      <c r="O20" s="712">
        <f>transport!N14</f>
        <v>0</v>
      </c>
      <c r="P20" s="712">
        <f>transport!O14</f>
        <v>0</v>
      </c>
      <c r="Q20" s="713">
        <f>transport!P14</f>
        <v>0</v>
      </c>
      <c r="R20" s="715">
        <f>SUM(C20:Q20)</f>
        <v>199343.24760904239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113.12403691249999</v>
      </c>
      <c r="D22" s="837">
        <f t="shared" ref="D22:R22" si="1">SUM(D18:D21)</f>
        <v>0</v>
      </c>
      <c r="E22" s="837">
        <f t="shared" si="1"/>
        <v>437.1939199345511</v>
      </c>
      <c r="F22" s="837">
        <f t="shared" si="1"/>
        <v>392.22344162592367</v>
      </c>
      <c r="G22" s="837">
        <f t="shared" si="1"/>
        <v>0</v>
      </c>
      <c r="H22" s="837">
        <f t="shared" si="1"/>
        <v>154877.97587275875</v>
      </c>
      <c r="I22" s="837">
        <f t="shared" si="1"/>
        <v>33527.503271352551</v>
      </c>
      <c r="J22" s="837">
        <f t="shared" si="1"/>
        <v>0</v>
      </c>
      <c r="K22" s="837">
        <f t="shared" si="1"/>
        <v>0</v>
      </c>
      <c r="L22" s="837">
        <f t="shared" si="1"/>
        <v>0</v>
      </c>
      <c r="M22" s="837">
        <f t="shared" si="1"/>
        <v>0</v>
      </c>
      <c r="N22" s="837">
        <f t="shared" si="1"/>
        <v>11131.571487599404</v>
      </c>
      <c r="O22" s="837">
        <f t="shared" si="1"/>
        <v>0</v>
      </c>
      <c r="P22" s="837">
        <f t="shared" si="1"/>
        <v>0</v>
      </c>
      <c r="Q22" s="837">
        <f t="shared" si="1"/>
        <v>0</v>
      </c>
      <c r="R22" s="837">
        <f t="shared" si="1"/>
        <v>200479.59203018367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3444.8401639999997</v>
      </c>
      <c r="D24" s="712">
        <f>+landbouw!C8</f>
        <v>0</v>
      </c>
      <c r="E24" s="712">
        <f>+landbouw!D8</f>
        <v>59.556354000000006</v>
      </c>
      <c r="F24" s="712">
        <f>+landbouw!E8</f>
        <v>107.5123255502959</v>
      </c>
      <c r="G24" s="712">
        <f>+landbouw!F8</f>
        <v>12174.44674867508</v>
      </c>
      <c r="H24" s="712">
        <f>+landbouw!G8</f>
        <v>0</v>
      </c>
      <c r="I24" s="712">
        <f>+landbouw!H8</f>
        <v>0</v>
      </c>
      <c r="J24" s="712">
        <f>+landbouw!I8</f>
        <v>0</v>
      </c>
      <c r="K24" s="712">
        <f>+landbouw!J8</f>
        <v>949.07735493916903</v>
      </c>
      <c r="L24" s="712">
        <f>+landbouw!K8</f>
        <v>0</v>
      </c>
      <c r="M24" s="712">
        <f>+landbouw!L8</f>
        <v>0</v>
      </c>
      <c r="N24" s="712">
        <f>+landbouw!M8</f>
        <v>0</v>
      </c>
      <c r="O24" s="712">
        <f>+landbouw!N8</f>
        <v>0</v>
      </c>
      <c r="P24" s="712">
        <f>+landbouw!O8</f>
        <v>0</v>
      </c>
      <c r="Q24" s="713">
        <f>+landbouw!P8</f>
        <v>0</v>
      </c>
      <c r="R24" s="715">
        <f>SUM(C24:Q24)</f>
        <v>16735.432947164547</v>
      </c>
      <c r="S24" s="67"/>
    </row>
    <row r="25" spans="1:19" s="474" customFormat="1" ht="15" thickBot="1">
      <c r="A25" s="856" t="s">
        <v>734</v>
      </c>
      <c r="B25" s="982"/>
      <c r="C25" s="983">
        <f>IF(Onbekend_ele_kWh="---",0,Onbekend_ele_kWh)/1000+IF(REST_rest_ele_kWh="---",0,REST_rest_ele_kWh)/1000</f>
        <v>160.86320000000001</v>
      </c>
      <c r="D25" s="983"/>
      <c r="E25" s="983">
        <f>IF(onbekend_gas_kWh="---",0,onbekend_gas_kWh)/1000+IF(REST_rest_gas_kWh="---",0,REST_rest_gas_kWh)/1000</f>
        <v>310.786</v>
      </c>
      <c r="F25" s="983"/>
      <c r="G25" s="983"/>
      <c r="H25" s="983"/>
      <c r="I25" s="983"/>
      <c r="J25" s="983"/>
      <c r="K25" s="983"/>
      <c r="L25" s="983"/>
      <c r="M25" s="983"/>
      <c r="N25" s="983"/>
      <c r="O25" s="983"/>
      <c r="P25" s="983"/>
      <c r="Q25" s="984"/>
      <c r="R25" s="715">
        <f>SUM(C25:Q25)</f>
        <v>471.64920000000001</v>
      </c>
      <c r="S25" s="67"/>
    </row>
    <row r="26" spans="1:19" s="474" customFormat="1" ht="15.75" thickBot="1">
      <c r="A26" s="720" t="s">
        <v>735</v>
      </c>
      <c r="B26" s="842"/>
      <c r="C26" s="837">
        <f>SUM(C24:C25)</f>
        <v>3605.703364</v>
      </c>
      <c r="D26" s="837">
        <f t="shared" ref="D26:R26" si="2">SUM(D24:D25)</f>
        <v>0</v>
      </c>
      <c r="E26" s="837">
        <f t="shared" si="2"/>
        <v>370.342354</v>
      </c>
      <c r="F26" s="837">
        <f t="shared" si="2"/>
        <v>107.5123255502959</v>
      </c>
      <c r="G26" s="837">
        <f t="shared" si="2"/>
        <v>12174.44674867508</v>
      </c>
      <c r="H26" s="837">
        <f t="shared" si="2"/>
        <v>0</v>
      </c>
      <c r="I26" s="837">
        <f t="shared" si="2"/>
        <v>0</v>
      </c>
      <c r="J26" s="837">
        <f t="shared" si="2"/>
        <v>0</v>
      </c>
      <c r="K26" s="837">
        <f t="shared" si="2"/>
        <v>949.07735493916903</v>
      </c>
      <c r="L26" s="837">
        <f t="shared" si="2"/>
        <v>0</v>
      </c>
      <c r="M26" s="837">
        <f t="shared" si="2"/>
        <v>0</v>
      </c>
      <c r="N26" s="837">
        <f t="shared" si="2"/>
        <v>0</v>
      </c>
      <c r="O26" s="837">
        <f t="shared" si="2"/>
        <v>0</v>
      </c>
      <c r="P26" s="837">
        <f t="shared" si="2"/>
        <v>0</v>
      </c>
      <c r="Q26" s="837">
        <f t="shared" si="2"/>
        <v>0</v>
      </c>
      <c r="R26" s="837">
        <f t="shared" si="2"/>
        <v>17207.082147164547</v>
      </c>
      <c r="S26" s="67"/>
    </row>
    <row r="27" spans="1:19" s="474" customFormat="1" ht="17.25" thickTop="1" thickBot="1">
      <c r="A27" s="721" t="s">
        <v>115</v>
      </c>
      <c r="B27" s="829"/>
      <c r="C27" s="722">
        <f ca="1">C22+C16+C26</f>
        <v>27623.639972418518</v>
      </c>
      <c r="D27" s="722">
        <f t="shared" ref="D27:R27" ca="1" si="3">D22+D16+D26</f>
        <v>0</v>
      </c>
      <c r="E27" s="722">
        <f t="shared" ca="1" si="3"/>
        <v>12147.527358334552</v>
      </c>
      <c r="F27" s="722">
        <f t="shared" si="3"/>
        <v>9069.8311688825124</v>
      </c>
      <c r="G27" s="722">
        <f t="shared" ca="1" si="3"/>
        <v>44529.953460878518</v>
      </c>
      <c r="H27" s="722">
        <f t="shared" si="3"/>
        <v>154877.97587275875</v>
      </c>
      <c r="I27" s="722">
        <f t="shared" si="3"/>
        <v>33527.503271352551</v>
      </c>
      <c r="J27" s="722">
        <f t="shared" si="3"/>
        <v>0</v>
      </c>
      <c r="K27" s="722">
        <f t="shared" si="3"/>
        <v>2830.8264337858618</v>
      </c>
      <c r="L27" s="722">
        <f t="shared" si="3"/>
        <v>0</v>
      </c>
      <c r="M27" s="722">
        <f t="shared" ca="1" si="3"/>
        <v>0</v>
      </c>
      <c r="N27" s="722">
        <f t="shared" si="3"/>
        <v>11131.571487599404</v>
      </c>
      <c r="O27" s="722">
        <f t="shared" ca="1" si="3"/>
        <v>8111.9480616948367</v>
      </c>
      <c r="P27" s="722">
        <f t="shared" si="3"/>
        <v>199.32516626577029</v>
      </c>
      <c r="Q27" s="722">
        <f t="shared" si="3"/>
        <v>589.64040476650109</v>
      </c>
      <c r="R27" s="722">
        <f t="shared" ca="1" si="3"/>
        <v>304639.74265873776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596.21356202871743</v>
      </c>
      <c r="D40" s="712">
        <f ca="1">tertiair!C20</f>
        <v>0</v>
      </c>
      <c r="E40" s="712">
        <f ca="1">tertiair!D20</f>
        <v>443.15015521920003</v>
      </c>
      <c r="F40" s="712">
        <f>tertiair!E20</f>
        <v>15.575066124019111</v>
      </c>
      <c r="G40" s="712">
        <f ca="1">tertiair!F20</f>
        <v>139.38697693800344</v>
      </c>
      <c r="H40" s="712">
        <f>tertiair!G20</f>
        <v>0</v>
      </c>
      <c r="I40" s="712">
        <f>tertiair!H20</f>
        <v>0</v>
      </c>
      <c r="J40" s="712">
        <f>tertiair!I20</f>
        <v>0</v>
      </c>
      <c r="K40" s="712">
        <f>tertiair!J20</f>
        <v>2.9881212984689217E-3</v>
      </c>
      <c r="L40" s="712">
        <f>tertiair!K20</f>
        <v>0</v>
      </c>
      <c r="M40" s="712">
        <f ca="1">tertiair!L20</f>
        <v>0</v>
      </c>
      <c r="N40" s="712">
        <f>tertiair!M20</f>
        <v>0</v>
      </c>
      <c r="O40" s="712">
        <f ca="1">tertiair!N20</f>
        <v>0</v>
      </c>
      <c r="P40" s="712">
        <f>tertiair!O20</f>
        <v>0</v>
      </c>
      <c r="Q40" s="795">
        <f>tertiair!P20</f>
        <v>0</v>
      </c>
      <c r="R40" s="875">
        <f t="shared" ca="1" si="4"/>
        <v>1194.3287484312384</v>
      </c>
    </row>
    <row r="41" spans="1:18">
      <c r="A41" s="847" t="s">
        <v>224</v>
      </c>
      <c r="B41" s="854"/>
      <c r="C41" s="712">
        <f ca="1">huishoudens!B12</f>
        <v>1309.561406238995</v>
      </c>
      <c r="D41" s="712">
        <f ca="1">huishoudens!C12</f>
        <v>0</v>
      </c>
      <c r="E41" s="712">
        <f>huishoudens!D12</f>
        <v>1713.7689808513999</v>
      </c>
      <c r="F41" s="712">
        <f>huishoudens!E12</f>
        <v>1518.4285623232938</v>
      </c>
      <c r="G41" s="712">
        <f>huishoudens!F12</f>
        <v>7039.2622020039798</v>
      </c>
      <c r="H41" s="712">
        <f>huishoudens!G12</f>
        <v>0</v>
      </c>
      <c r="I41" s="712">
        <f>huishoudens!H12</f>
        <v>0</v>
      </c>
      <c r="J41" s="712">
        <f>huishoudens!I12</f>
        <v>0</v>
      </c>
      <c r="K41" s="712">
        <f>huishoudens!J12</f>
        <v>665.0278604366074</v>
      </c>
      <c r="L41" s="712">
        <f>huishoudens!K12</f>
        <v>0</v>
      </c>
      <c r="M41" s="712">
        <f>huishoudens!L12</f>
        <v>0</v>
      </c>
      <c r="N41" s="712">
        <f>huishoudens!M12</f>
        <v>0</v>
      </c>
      <c r="O41" s="712">
        <f>huishoudens!N12</f>
        <v>0</v>
      </c>
      <c r="P41" s="712">
        <f>huishoudens!O12</f>
        <v>0</v>
      </c>
      <c r="Q41" s="795">
        <f>huishoudens!P12</f>
        <v>0</v>
      </c>
      <c r="R41" s="875">
        <f t="shared" ca="1" si="4"/>
        <v>12246.049011854275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874.92178229159526</v>
      </c>
      <c r="D43" s="712">
        <f ca="1">industrie!C22</f>
        <v>0</v>
      </c>
      <c r="E43" s="712">
        <f>industrie!D22</f>
        <v>133.75906297820003</v>
      </c>
      <c r="F43" s="712">
        <f>industrie!E22</f>
        <v>411.4080277400156</v>
      </c>
      <c r="G43" s="712">
        <f>industrie!F22</f>
        <v>1460.2711132163356</v>
      </c>
      <c r="H43" s="712">
        <f>industrie!G22</f>
        <v>0</v>
      </c>
      <c r="I43" s="712">
        <f>industrie!H22</f>
        <v>0</v>
      </c>
      <c r="J43" s="712">
        <f>industrie!I22</f>
        <v>0</v>
      </c>
      <c r="K43" s="712">
        <f>industrie!J22</f>
        <v>1.1083253538234186</v>
      </c>
      <c r="L43" s="712">
        <f>industrie!K22</f>
        <v>0</v>
      </c>
      <c r="M43" s="712">
        <f>industrie!L22</f>
        <v>0</v>
      </c>
      <c r="N43" s="712">
        <f>industrie!M22</f>
        <v>0</v>
      </c>
      <c r="O43" s="712">
        <f>industrie!N22</f>
        <v>0</v>
      </c>
      <c r="P43" s="712">
        <f>industrie!O22</f>
        <v>0</v>
      </c>
      <c r="Q43" s="795">
        <f>industrie!P22</f>
        <v>0</v>
      </c>
      <c r="R43" s="874">
        <f t="shared" ca="1" si="4"/>
        <v>2881.4683115799698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2780.6967505593075</v>
      </c>
      <c r="D46" s="748">
        <f t="shared" ref="D46:Q46" ca="1" si="5">SUM(D39:D45)</f>
        <v>0</v>
      </c>
      <c r="E46" s="748">
        <f t="shared" ca="1" si="5"/>
        <v>2290.6781990487998</v>
      </c>
      <c r="F46" s="748">
        <f t="shared" si="5"/>
        <v>1945.4116561873284</v>
      </c>
      <c r="G46" s="748">
        <f t="shared" ca="1" si="5"/>
        <v>8638.9202921583183</v>
      </c>
      <c r="H46" s="748">
        <f t="shared" si="5"/>
        <v>0</v>
      </c>
      <c r="I46" s="748">
        <f t="shared" si="5"/>
        <v>0</v>
      </c>
      <c r="J46" s="748">
        <f t="shared" si="5"/>
        <v>0</v>
      </c>
      <c r="K46" s="748">
        <f t="shared" si="5"/>
        <v>666.13917391172924</v>
      </c>
      <c r="L46" s="748">
        <f t="shared" si="5"/>
        <v>0</v>
      </c>
      <c r="M46" s="748">
        <f t="shared" ca="1" si="5"/>
        <v>0</v>
      </c>
      <c r="N46" s="748">
        <f t="shared" si="5"/>
        <v>0</v>
      </c>
      <c r="O46" s="748">
        <f t="shared" ca="1" si="5"/>
        <v>0</v>
      </c>
      <c r="P46" s="748">
        <f t="shared" si="5"/>
        <v>0</v>
      </c>
      <c r="Q46" s="748">
        <f t="shared" si="5"/>
        <v>0</v>
      </c>
      <c r="R46" s="748">
        <f ca="1">SUM(R39:R45)</f>
        <v>16321.846071865482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287.4286445769099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287.4286445769099</v>
      </c>
    </row>
    <row r="50" spans="1:18">
      <c r="A50" s="850" t="s">
        <v>306</v>
      </c>
      <c r="B50" s="860"/>
      <c r="C50" s="718">
        <f ca="1">transport!B18</f>
        <v>13.159008919722403</v>
      </c>
      <c r="D50" s="718">
        <f>transport!C18</f>
        <v>0</v>
      </c>
      <c r="E50" s="718">
        <f>transport!D18</f>
        <v>88.313171826779325</v>
      </c>
      <c r="F50" s="718">
        <f>transport!E18</f>
        <v>89.034721249084683</v>
      </c>
      <c r="G50" s="718">
        <f>transport!F18</f>
        <v>0</v>
      </c>
      <c r="H50" s="718">
        <f>transport!G18</f>
        <v>41064.990913449677</v>
      </c>
      <c r="I50" s="718">
        <f>transport!H18</f>
        <v>8348.3483145667851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49603.846130012047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13.159008919722403</v>
      </c>
      <c r="D52" s="748">
        <f t="shared" ref="D52:Q52" ca="1" si="6">SUM(D48:D51)</f>
        <v>0</v>
      </c>
      <c r="E52" s="748">
        <f t="shared" si="6"/>
        <v>88.313171826779325</v>
      </c>
      <c r="F52" s="748">
        <f t="shared" si="6"/>
        <v>89.034721249084683</v>
      </c>
      <c r="G52" s="748">
        <f t="shared" si="6"/>
        <v>0</v>
      </c>
      <c r="H52" s="748">
        <f t="shared" si="6"/>
        <v>41352.419558026588</v>
      </c>
      <c r="I52" s="748">
        <f t="shared" si="6"/>
        <v>8348.3483145667851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49891.274774588957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400.71662647750708</v>
      </c>
      <c r="D54" s="718">
        <f ca="1">+landbouw!C12</f>
        <v>0</v>
      </c>
      <c r="E54" s="718">
        <f>+landbouw!D12</f>
        <v>12.030383508000002</v>
      </c>
      <c r="F54" s="718">
        <f>+landbouw!E12</f>
        <v>24.405297899917169</v>
      </c>
      <c r="G54" s="718">
        <f>+landbouw!F12</f>
        <v>3250.5772818962464</v>
      </c>
      <c r="H54" s="718">
        <f>+landbouw!G12</f>
        <v>0</v>
      </c>
      <c r="I54" s="718">
        <f>+landbouw!H12</f>
        <v>0</v>
      </c>
      <c r="J54" s="718">
        <f>+landbouw!I12</f>
        <v>0</v>
      </c>
      <c r="K54" s="718">
        <f>+landbouw!J12</f>
        <v>335.97338364846581</v>
      </c>
      <c r="L54" s="718">
        <f>+landbouw!K12</f>
        <v>0</v>
      </c>
      <c r="M54" s="718">
        <f>+landbouw!L12</f>
        <v>0</v>
      </c>
      <c r="N54" s="718">
        <f>+landbouw!M12</f>
        <v>0</v>
      </c>
      <c r="O54" s="718">
        <f>+landbouw!N12</f>
        <v>0</v>
      </c>
      <c r="P54" s="718">
        <f>+landbouw!O12</f>
        <v>0</v>
      </c>
      <c r="Q54" s="719">
        <f>+landbouw!P12</f>
        <v>0</v>
      </c>
      <c r="R54" s="747">
        <f ca="1">SUM(C54:Q54)</f>
        <v>4023.7029734301364</v>
      </c>
    </row>
    <row r="55" spans="1:18" ht="15" thickBot="1">
      <c r="A55" s="850" t="s">
        <v>734</v>
      </c>
      <c r="B55" s="860"/>
      <c r="C55" s="718">
        <f ca="1">C25*'EF ele_warmte'!B12</f>
        <v>18.712206012347377</v>
      </c>
      <c r="D55" s="718"/>
      <c r="E55" s="718">
        <f>E25*EF_CO2_aardgas</f>
        <v>62.778772000000004</v>
      </c>
      <c r="F55" s="718"/>
      <c r="G55" s="718"/>
      <c r="H55" s="718"/>
      <c r="I55" s="718"/>
      <c r="J55" s="718"/>
      <c r="K55" s="718"/>
      <c r="L55" s="718"/>
      <c r="M55" s="718"/>
      <c r="N55" s="718"/>
      <c r="O55" s="718"/>
      <c r="P55" s="718"/>
      <c r="Q55" s="719"/>
      <c r="R55" s="747">
        <f ca="1">SUM(C55:Q55)</f>
        <v>81.490978012347384</v>
      </c>
    </row>
    <row r="56" spans="1:18" ht="15.75" thickBot="1">
      <c r="A56" s="848" t="s">
        <v>735</v>
      </c>
      <c r="B56" s="861"/>
      <c r="C56" s="748">
        <f ca="1">SUM(C54:C55)</f>
        <v>419.42883248985447</v>
      </c>
      <c r="D56" s="748">
        <f t="shared" ref="D56:Q56" ca="1" si="7">SUM(D54:D55)</f>
        <v>0</v>
      </c>
      <c r="E56" s="748">
        <f t="shared" si="7"/>
        <v>74.809155508000003</v>
      </c>
      <c r="F56" s="748">
        <f t="shared" si="7"/>
        <v>24.405297899917169</v>
      </c>
      <c r="G56" s="748">
        <f t="shared" si="7"/>
        <v>3250.5772818962464</v>
      </c>
      <c r="H56" s="748">
        <f t="shared" si="7"/>
        <v>0</v>
      </c>
      <c r="I56" s="748">
        <f t="shared" si="7"/>
        <v>0</v>
      </c>
      <c r="J56" s="748">
        <f t="shared" si="7"/>
        <v>0</v>
      </c>
      <c r="K56" s="748">
        <f t="shared" si="7"/>
        <v>335.97338364846581</v>
      </c>
      <c r="L56" s="748">
        <f t="shared" si="7"/>
        <v>0</v>
      </c>
      <c r="M56" s="748">
        <f t="shared" si="7"/>
        <v>0</v>
      </c>
      <c r="N56" s="748">
        <f t="shared" si="7"/>
        <v>0</v>
      </c>
      <c r="O56" s="748">
        <f t="shared" si="7"/>
        <v>0</v>
      </c>
      <c r="P56" s="748">
        <f t="shared" si="7"/>
        <v>0</v>
      </c>
      <c r="Q56" s="749">
        <f t="shared" si="7"/>
        <v>0</v>
      </c>
      <c r="R56" s="750">
        <f ca="1">SUM(R54:R55)</f>
        <v>4105.1939514424839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3213.2845919688843</v>
      </c>
      <c r="D61" s="756">
        <f t="shared" ref="D61:Q61" ca="1" si="8">D46+D52+D56</f>
        <v>0</v>
      </c>
      <c r="E61" s="756">
        <f t="shared" ca="1" si="8"/>
        <v>2453.8005263835789</v>
      </c>
      <c r="F61" s="756">
        <f t="shared" si="8"/>
        <v>2058.8516753363301</v>
      </c>
      <c r="G61" s="756">
        <f t="shared" ca="1" si="8"/>
        <v>11889.497574054565</v>
      </c>
      <c r="H61" s="756">
        <f t="shared" si="8"/>
        <v>41352.419558026588</v>
      </c>
      <c r="I61" s="756">
        <f t="shared" si="8"/>
        <v>8348.3483145667851</v>
      </c>
      <c r="J61" s="756">
        <f t="shared" si="8"/>
        <v>0</v>
      </c>
      <c r="K61" s="756">
        <f t="shared" si="8"/>
        <v>1002.112557560195</v>
      </c>
      <c r="L61" s="756">
        <f t="shared" si="8"/>
        <v>0</v>
      </c>
      <c r="M61" s="756">
        <f t="shared" ca="1" si="8"/>
        <v>0</v>
      </c>
      <c r="N61" s="756">
        <f t="shared" si="8"/>
        <v>0</v>
      </c>
      <c r="O61" s="756">
        <f t="shared" ca="1" si="8"/>
        <v>0</v>
      </c>
      <c r="P61" s="756">
        <f t="shared" si="8"/>
        <v>0</v>
      </c>
      <c r="Q61" s="756">
        <f t="shared" si="8"/>
        <v>0</v>
      </c>
      <c r="R61" s="756">
        <f ca="1">R46+R52+R56</f>
        <v>70318.314797896921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0.11632372110182673</v>
      </c>
      <c r="D63" s="802">
        <f t="shared" ca="1" si="9"/>
        <v>0</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8072.3060362848546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5011.5846512065827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13083.890687491437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11257.905041506016</v>
      </c>
      <c r="C4" s="478">
        <f>huishoudens!C8</f>
        <v>0</v>
      </c>
      <c r="D4" s="478">
        <f>huishoudens!D8</f>
        <v>8484.0048556999991</v>
      </c>
      <c r="E4" s="478">
        <f>huishoudens!E8</f>
        <v>6689.1126093537168</v>
      </c>
      <c r="F4" s="478">
        <f>huishoudens!F8</f>
        <v>26364.277910127264</v>
      </c>
      <c r="G4" s="478">
        <f>huishoudens!G8</f>
        <v>0</v>
      </c>
      <c r="H4" s="478">
        <f>huishoudens!H8</f>
        <v>0</v>
      </c>
      <c r="I4" s="478">
        <f>huishoudens!I8</f>
        <v>0</v>
      </c>
      <c r="J4" s="478">
        <f>huishoudens!J8</f>
        <v>1878.6097752446537</v>
      </c>
      <c r="K4" s="478">
        <f>huishoudens!K8</f>
        <v>0</v>
      </c>
      <c r="L4" s="478">
        <f>huishoudens!L8</f>
        <v>0</v>
      </c>
      <c r="M4" s="478">
        <f>huishoudens!M8</f>
        <v>0</v>
      </c>
      <c r="N4" s="478">
        <f>huishoudens!N8</f>
        <v>7259.3676442209298</v>
      </c>
      <c r="O4" s="478">
        <f>huishoudens!O8</f>
        <v>194.42790549992912</v>
      </c>
      <c r="P4" s="479">
        <f>huishoudens!P8</f>
        <v>484.56212815351103</v>
      </c>
      <c r="Q4" s="480">
        <f>SUM(B4:P4)</f>
        <v>62612.267869806019</v>
      </c>
    </row>
    <row r="5" spans="1:17">
      <c r="A5" s="477" t="s">
        <v>155</v>
      </c>
      <c r="B5" s="478">
        <f ca="1">tertiair!B16</f>
        <v>4630.0564460000005</v>
      </c>
      <c r="C5" s="478">
        <f ca="1">tertiair!C16</f>
        <v>0</v>
      </c>
      <c r="D5" s="478">
        <f ca="1">tertiair!D16</f>
        <v>2193.8126496</v>
      </c>
      <c r="E5" s="478">
        <f>tertiair!E16</f>
        <v>68.612626097000486</v>
      </c>
      <c r="F5" s="478">
        <f ca="1">tertiair!F16</f>
        <v>522.04860276405782</v>
      </c>
      <c r="G5" s="478">
        <f>tertiair!G16</f>
        <v>0</v>
      </c>
      <c r="H5" s="478">
        <f>tertiair!H16</f>
        <v>0</v>
      </c>
      <c r="I5" s="478">
        <f>tertiair!I16</f>
        <v>0</v>
      </c>
      <c r="J5" s="478">
        <f>tertiair!J16</f>
        <v>8.4410206171438469E-3</v>
      </c>
      <c r="K5" s="478">
        <f>tertiair!K16</f>
        <v>0</v>
      </c>
      <c r="L5" s="478">
        <f ca="1">tertiair!L16</f>
        <v>0</v>
      </c>
      <c r="M5" s="478">
        <f>tertiair!M16</f>
        <v>0</v>
      </c>
      <c r="N5" s="478">
        <f ca="1">tertiair!N16</f>
        <v>332.71149288459617</v>
      </c>
      <c r="O5" s="478">
        <f>tertiair!O16</f>
        <v>4.8972607658411542</v>
      </c>
      <c r="P5" s="479">
        <f>tertiair!P16</f>
        <v>105.07827661299004</v>
      </c>
      <c r="Q5" s="477">
        <f t="shared" ref="Q5:Q14" ca="1" si="0">SUM(B5:P5)</f>
        <v>7857.2257957451038</v>
      </c>
    </row>
    <row r="6" spans="1:17">
      <c r="A6" s="477" t="s">
        <v>193</v>
      </c>
      <c r="B6" s="478">
        <f>'openbare verlichting'!B8</f>
        <v>495.41199999999998</v>
      </c>
      <c r="C6" s="478"/>
      <c r="D6" s="478"/>
      <c r="E6" s="478"/>
      <c r="F6" s="478"/>
      <c r="G6" s="478"/>
      <c r="H6" s="478"/>
      <c r="I6" s="478"/>
      <c r="J6" s="478"/>
      <c r="K6" s="478"/>
      <c r="L6" s="478"/>
      <c r="M6" s="478"/>
      <c r="N6" s="478"/>
      <c r="O6" s="478"/>
      <c r="P6" s="479"/>
      <c r="Q6" s="477">
        <f t="shared" si="0"/>
        <v>495.41199999999998</v>
      </c>
    </row>
    <row r="7" spans="1:17">
      <c r="A7" s="477" t="s">
        <v>111</v>
      </c>
      <c r="B7" s="478">
        <f>landbouw!B8</f>
        <v>3444.8401639999997</v>
      </c>
      <c r="C7" s="478">
        <f>landbouw!C8</f>
        <v>0</v>
      </c>
      <c r="D7" s="478">
        <f>landbouw!D8</f>
        <v>59.556354000000006</v>
      </c>
      <c r="E7" s="478">
        <f>landbouw!E8</f>
        <v>107.5123255502959</v>
      </c>
      <c r="F7" s="478">
        <f>landbouw!F8</f>
        <v>12174.44674867508</v>
      </c>
      <c r="G7" s="478">
        <f>landbouw!G8</f>
        <v>0</v>
      </c>
      <c r="H7" s="478">
        <f>landbouw!H8</f>
        <v>0</v>
      </c>
      <c r="I7" s="478">
        <f>landbouw!I8</f>
        <v>0</v>
      </c>
      <c r="J7" s="478">
        <f>landbouw!J8</f>
        <v>949.07735493916903</v>
      </c>
      <c r="K7" s="478">
        <f>landbouw!K8</f>
        <v>0</v>
      </c>
      <c r="L7" s="478">
        <f>landbouw!L8</f>
        <v>0</v>
      </c>
      <c r="M7" s="478">
        <f>landbouw!M8</f>
        <v>0</v>
      </c>
      <c r="N7" s="478">
        <f>landbouw!N8</f>
        <v>0</v>
      </c>
      <c r="O7" s="478">
        <f>landbouw!O8</f>
        <v>0</v>
      </c>
      <c r="P7" s="479">
        <f>landbouw!P8</f>
        <v>0</v>
      </c>
      <c r="Q7" s="477">
        <f t="shared" si="0"/>
        <v>16735.432947164547</v>
      </c>
    </row>
    <row r="8" spans="1:17">
      <c r="A8" s="477" t="s">
        <v>629</v>
      </c>
      <c r="B8" s="478">
        <f>industrie!B18</f>
        <v>7521.4390840000005</v>
      </c>
      <c r="C8" s="478">
        <f>industrie!C18</f>
        <v>0</v>
      </c>
      <c r="D8" s="478">
        <f>industrie!D18</f>
        <v>662.1735791000001</v>
      </c>
      <c r="E8" s="478">
        <f>industrie!E18</f>
        <v>1812.3701662555752</v>
      </c>
      <c r="F8" s="478">
        <f>industrie!F18</f>
        <v>5469.180199312118</v>
      </c>
      <c r="G8" s="478">
        <f>industrie!G18</f>
        <v>0</v>
      </c>
      <c r="H8" s="478">
        <f>industrie!H18</f>
        <v>0</v>
      </c>
      <c r="I8" s="478">
        <f>industrie!I18</f>
        <v>0</v>
      </c>
      <c r="J8" s="478">
        <f>industrie!J18</f>
        <v>3.1308625814220865</v>
      </c>
      <c r="K8" s="478">
        <f>industrie!K18</f>
        <v>0</v>
      </c>
      <c r="L8" s="478">
        <f>industrie!L18</f>
        <v>0</v>
      </c>
      <c r="M8" s="478">
        <f>industrie!M18</f>
        <v>0</v>
      </c>
      <c r="N8" s="478">
        <f>industrie!N18</f>
        <v>519.8689245893114</v>
      </c>
      <c r="O8" s="478">
        <f>industrie!O18</f>
        <v>0</v>
      </c>
      <c r="P8" s="479">
        <f>industrie!P18</f>
        <v>0</v>
      </c>
      <c r="Q8" s="477">
        <f t="shared" si="0"/>
        <v>15988.162815838428</v>
      </c>
    </row>
    <row r="9" spans="1:17" s="483" customFormat="1">
      <c r="A9" s="481" t="s">
        <v>555</v>
      </c>
      <c r="B9" s="482">
        <f>transport!B14</f>
        <v>113.12403691249999</v>
      </c>
      <c r="C9" s="482">
        <f>transport!C14</f>
        <v>0</v>
      </c>
      <c r="D9" s="482">
        <f>transport!D14</f>
        <v>437.1939199345511</v>
      </c>
      <c r="E9" s="482">
        <f>transport!E14</f>
        <v>392.22344162592367</v>
      </c>
      <c r="F9" s="482">
        <f>transport!F14</f>
        <v>0</v>
      </c>
      <c r="G9" s="482">
        <f>transport!G14</f>
        <v>153801.46409531715</v>
      </c>
      <c r="H9" s="482">
        <f>transport!H14</f>
        <v>33527.503271352551</v>
      </c>
      <c r="I9" s="482">
        <f>transport!I14</f>
        <v>0</v>
      </c>
      <c r="J9" s="482">
        <f>transport!J14</f>
        <v>0</v>
      </c>
      <c r="K9" s="482">
        <f>transport!K14</f>
        <v>0</v>
      </c>
      <c r="L9" s="482">
        <f>transport!L14</f>
        <v>0</v>
      </c>
      <c r="M9" s="482">
        <f>transport!M14</f>
        <v>11071.738843899713</v>
      </c>
      <c r="N9" s="482">
        <f>transport!N14</f>
        <v>0</v>
      </c>
      <c r="O9" s="482">
        <f>transport!O14</f>
        <v>0</v>
      </c>
      <c r="P9" s="482">
        <f>transport!P14</f>
        <v>0</v>
      </c>
      <c r="Q9" s="481">
        <f>SUM(B9:P9)</f>
        <v>199343.24760904239</v>
      </c>
    </row>
    <row r="10" spans="1:17">
      <c r="A10" s="477" t="s">
        <v>545</v>
      </c>
      <c r="B10" s="478">
        <f>transport!B54</f>
        <v>0</v>
      </c>
      <c r="C10" s="478">
        <f>transport!C54</f>
        <v>0</v>
      </c>
      <c r="D10" s="478">
        <f>transport!D54</f>
        <v>0</v>
      </c>
      <c r="E10" s="478">
        <f>transport!E54</f>
        <v>0</v>
      </c>
      <c r="F10" s="478">
        <f>transport!F54</f>
        <v>0</v>
      </c>
      <c r="G10" s="478">
        <f>transport!G54</f>
        <v>1076.5117774416101</v>
      </c>
      <c r="H10" s="478">
        <f>transport!H54</f>
        <v>0</v>
      </c>
      <c r="I10" s="478">
        <f>transport!I54</f>
        <v>0</v>
      </c>
      <c r="J10" s="478">
        <f>transport!J54</f>
        <v>0</v>
      </c>
      <c r="K10" s="478">
        <f>transport!K54</f>
        <v>0</v>
      </c>
      <c r="L10" s="478">
        <f>transport!L54</f>
        <v>0</v>
      </c>
      <c r="M10" s="478">
        <f>transport!M54</f>
        <v>59.832643699689598</v>
      </c>
      <c r="N10" s="478">
        <f>transport!N54</f>
        <v>0</v>
      </c>
      <c r="O10" s="478">
        <f>transport!O54</f>
        <v>0</v>
      </c>
      <c r="P10" s="479">
        <f>transport!P54</f>
        <v>0</v>
      </c>
      <c r="Q10" s="477">
        <f t="shared" si="0"/>
        <v>1136.3444211412998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160.86320000000001</v>
      </c>
      <c r="C14" s="485"/>
      <c r="D14" s="485">
        <f>'SEAP template'!E25</f>
        <v>310.786</v>
      </c>
      <c r="E14" s="485"/>
      <c r="F14" s="485"/>
      <c r="G14" s="485"/>
      <c r="H14" s="485"/>
      <c r="I14" s="485"/>
      <c r="J14" s="485"/>
      <c r="K14" s="485"/>
      <c r="L14" s="485"/>
      <c r="M14" s="485"/>
      <c r="N14" s="485"/>
      <c r="O14" s="485"/>
      <c r="P14" s="486"/>
      <c r="Q14" s="477">
        <f t="shared" si="0"/>
        <v>471.64920000000001</v>
      </c>
    </row>
    <row r="15" spans="1:17" s="489" customFormat="1">
      <c r="A15" s="487" t="s">
        <v>549</v>
      </c>
      <c r="B15" s="488">
        <f ca="1">SUM(B4:B14)</f>
        <v>27623.639972418518</v>
      </c>
      <c r="C15" s="488">
        <f t="shared" ref="C15:Q15" ca="1" si="1">SUM(C4:C14)</f>
        <v>0</v>
      </c>
      <c r="D15" s="488">
        <f t="shared" ca="1" si="1"/>
        <v>12147.527358334552</v>
      </c>
      <c r="E15" s="488">
        <f t="shared" si="1"/>
        <v>9069.8311688825124</v>
      </c>
      <c r="F15" s="488">
        <f t="shared" ca="1" si="1"/>
        <v>44529.953460878518</v>
      </c>
      <c r="G15" s="488">
        <f t="shared" si="1"/>
        <v>154877.97587275875</v>
      </c>
      <c r="H15" s="488">
        <f t="shared" si="1"/>
        <v>33527.503271352551</v>
      </c>
      <c r="I15" s="488">
        <f t="shared" si="1"/>
        <v>0</v>
      </c>
      <c r="J15" s="488">
        <f t="shared" si="1"/>
        <v>2830.8264337858623</v>
      </c>
      <c r="K15" s="488">
        <f t="shared" si="1"/>
        <v>0</v>
      </c>
      <c r="L15" s="488">
        <f t="shared" ca="1" si="1"/>
        <v>0</v>
      </c>
      <c r="M15" s="488">
        <f t="shared" si="1"/>
        <v>11131.571487599404</v>
      </c>
      <c r="N15" s="488">
        <f t="shared" ca="1" si="1"/>
        <v>8111.9480616948367</v>
      </c>
      <c r="O15" s="488">
        <f t="shared" si="1"/>
        <v>199.32516626577029</v>
      </c>
      <c r="P15" s="488">
        <f t="shared" si="1"/>
        <v>589.64040476650109</v>
      </c>
      <c r="Q15" s="488">
        <f t="shared" ca="1" si="1"/>
        <v>304639.74265873781</v>
      </c>
    </row>
    <row r="17" spans="1:17">
      <c r="A17" s="490" t="s">
        <v>550</v>
      </c>
      <c r="B17" s="807">
        <f ca="1">huishoudens!B10</f>
        <v>0.11632372110182675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1309.561406238995</v>
      </c>
      <c r="C22" s="478">
        <f t="shared" ref="C22:C32" ca="1" si="3">C4*$C$17</f>
        <v>0</v>
      </c>
      <c r="D22" s="478">
        <f t="shared" ref="D22:D32" si="4">D4*$D$17</f>
        <v>1713.7689808513999</v>
      </c>
      <c r="E22" s="478">
        <f t="shared" ref="E22:E32" si="5">E4*$E$17</f>
        <v>1518.4285623232938</v>
      </c>
      <c r="F22" s="478">
        <f t="shared" ref="F22:F32" si="6">F4*$F$17</f>
        <v>7039.2622020039798</v>
      </c>
      <c r="G22" s="478">
        <f t="shared" ref="G22:G32" si="7">G4*$G$17</f>
        <v>0</v>
      </c>
      <c r="H22" s="478">
        <f t="shared" ref="H22:H32" si="8">H4*$H$17</f>
        <v>0</v>
      </c>
      <c r="I22" s="478">
        <f t="shared" ref="I22:I32" si="9">I4*$I$17</f>
        <v>0</v>
      </c>
      <c r="J22" s="478">
        <f t="shared" ref="J22:J32" si="10">J4*$J$17</f>
        <v>665.0278604366074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12246.049011854275</v>
      </c>
    </row>
    <row r="23" spans="1:17">
      <c r="A23" s="477" t="s">
        <v>155</v>
      </c>
      <c r="B23" s="478">
        <f t="shared" ca="1" si="2"/>
        <v>538.58539471021925</v>
      </c>
      <c r="C23" s="478">
        <f t="shared" ca="1" si="3"/>
        <v>0</v>
      </c>
      <c r="D23" s="478">
        <f t="shared" ca="1" si="4"/>
        <v>443.15015521920003</v>
      </c>
      <c r="E23" s="478">
        <f t="shared" si="5"/>
        <v>15.575066124019111</v>
      </c>
      <c r="F23" s="478">
        <f t="shared" ca="1" si="6"/>
        <v>139.38697693800344</v>
      </c>
      <c r="G23" s="478">
        <f t="shared" si="7"/>
        <v>0</v>
      </c>
      <c r="H23" s="478">
        <f t="shared" si="8"/>
        <v>0</v>
      </c>
      <c r="I23" s="478">
        <f t="shared" si="9"/>
        <v>0</v>
      </c>
      <c r="J23" s="478">
        <f t="shared" si="10"/>
        <v>2.9881212984689217E-3</v>
      </c>
      <c r="K23" s="478">
        <f t="shared" si="11"/>
        <v>0</v>
      </c>
      <c r="L23" s="478">
        <f t="shared" ca="1" si="12"/>
        <v>0</v>
      </c>
      <c r="M23" s="478">
        <f t="shared" si="13"/>
        <v>0</v>
      </c>
      <c r="N23" s="478">
        <f t="shared" ca="1" si="14"/>
        <v>0</v>
      </c>
      <c r="O23" s="478">
        <f t="shared" si="15"/>
        <v>0</v>
      </c>
      <c r="P23" s="479">
        <f t="shared" si="16"/>
        <v>0</v>
      </c>
      <c r="Q23" s="477">
        <f t="shared" ref="Q23:Q31" ca="1" si="17">SUM(B23:P23)</f>
        <v>1136.7005811127401</v>
      </c>
    </row>
    <row r="24" spans="1:17">
      <c r="A24" s="477" t="s">
        <v>193</v>
      </c>
      <c r="B24" s="478">
        <f t="shared" ca="1" si="2"/>
        <v>57.628167318498193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57.628167318498193</v>
      </c>
    </row>
    <row r="25" spans="1:17">
      <c r="A25" s="477" t="s">
        <v>111</v>
      </c>
      <c r="B25" s="478">
        <f t="shared" ca="1" si="2"/>
        <v>400.71662647750708</v>
      </c>
      <c r="C25" s="478">
        <f t="shared" ca="1" si="3"/>
        <v>0</v>
      </c>
      <c r="D25" s="478">
        <f t="shared" si="4"/>
        <v>12.030383508000002</v>
      </c>
      <c r="E25" s="478">
        <f t="shared" si="5"/>
        <v>24.405297899917169</v>
      </c>
      <c r="F25" s="478">
        <f t="shared" si="6"/>
        <v>3250.5772818962464</v>
      </c>
      <c r="G25" s="478">
        <f t="shared" si="7"/>
        <v>0</v>
      </c>
      <c r="H25" s="478">
        <f t="shared" si="8"/>
        <v>0</v>
      </c>
      <c r="I25" s="478">
        <f t="shared" si="9"/>
        <v>0</v>
      </c>
      <c r="J25" s="478">
        <f t="shared" si="10"/>
        <v>335.97338364846581</v>
      </c>
      <c r="K25" s="478">
        <f t="shared" si="11"/>
        <v>0</v>
      </c>
      <c r="L25" s="478">
        <f t="shared" si="12"/>
        <v>0</v>
      </c>
      <c r="M25" s="478">
        <f t="shared" si="13"/>
        <v>0</v>
      </c>
      <c r="N25" s="478">
        <f t="shared" si="14"/>
        <v>0</v>
      </c>
      <c r="O25" s="478">
        <f t="shared" si="15"/>
        <v>0</v>
      </c>
      <c r="P25" s="479">
        <f t="shared" si="16"/>
        <v>0</v>
      </c>
      <c r="Q25" s="477">
        <f t="shared" ca="1" si="17"/>
        <v>4023.7029734301364</v>
      </c>
    </row>
    <row r="26" spans="1:17">
      <c r="A26" s="477" t="s">
        <v>629</v>
      </c>
      <c r="B26" s="478">
        <f t="shared" ca="1" si="2"/>
        <v>874.92178229159526</v>
      </c>
      <c r="C26" s="478">
        <f t="shared" ca="1" si="3"/>
        <v>0</v>
      </c>
      <c r="D26" s="478">
        <f t="shared" si="4"/>
        <v>133.75906297820003</v>
      </c>
      <c r="E26" s="478">
        <f t="shared" si="5"/>
        <v>411.4080277400156</v>
      </c>
      <c r="F26" s="478">
        <f t="shared" si="6"/>
        <v>1460.2711132163356</v>
      </c>
      <c r="G26" s="478">
        <f t="shared" si="7"/>
        <v>0</v>
      </c>
      <c r="H26" s="478">
        <f t="shared" si="8"/>
        <v>0</v>
      </c>
      <c r="I26" s="478">
        <f t="shared" si="9"/>
        <v>0</v>
      </c>
      <c r="J26" s="478">
        <f t="shared" si="10"/>
        <v>1.1083253538234186</v>
      </c>
      <c r="K26" s="478">
        <f t="shared" si="11"/>
        <v>0</v>
      </c>
      <c r="L26" s="478">
        <f t="shared" si="12"/>
        <v>0</v>
      </c>
      <c r="M26" s="478">
        <f t="shared" si="13"/>
        <v>0</v>
      </c>
      <c r="N26" s="478">
        <f t="shared" si="14"/>
        <v>0</v>
      </c>
      <c r="O26" s="478">
        <f t="shared" si="15"/>
        <v>0</v>
      </c>
      <c r="P26" s="479">
        <f t="shared" si="16"/>
        <v>0</v>
      </c>
      <c r="Q26" s="477">
        <f t="shared" ca="1" si="17"/>
        <v>2881.4683115799698</v>
      </c>
    </row>
    <row r="27" spans="1:17" s="483" customFormat="1">
      <c r="A27" s="481" t="s">
        <v>555</v>
      </c>
      <c r="B27" s="801">
        <f t="shared" ca="1" si="2"/>
        <v>13.159008919722403</v>
      </c>
      <c r="C27" s="482">
        <f t="shared" ca="1" si="3"/>
        <v>0</v>
      </c>
      <c r="D27" s="482">
        <f t="shared" si="4"/>
        <v>88.313171826779325</v>
      </c>
      <c r="E27" s="482">
        <f t="shared" si="5"/>
        <v>89.034721249084683</v>
      </c>
      <c r="F27" s="482">
        <f t="shared" si="6"/>
        <v>0</v>
      </c>
      <c r="G27" s="482">
        <f t="shared" si="7"/>
        <v>41064.990913449677</v>
      </c>
      <c r="H27" s="482">
        <f t="shared" si="8"/>
        <v>8348.3483145667851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49603.846130012047</v>
      </c>
    </row>
    <row r="28" spans="1:17" ht="16.5" customHeight="1">
      <c r="A28" s="477" t="s">
        <v>545</v>
      </c>
      <c r="B28" s="478">
        <f t="shared" ca="1" si="2"/>
        <v>0</v>
      </c>
      <c r="C28" s="478">
        <f t="shared" ca="1" si="3"/>
        <v>0</v>
      </c>
      <c r="D28" s="478">
        <f t="shared" si="4"/>
        <v>0</v>
      </c>
      <c r="E28" s="478">
        <f t="shared" si="5"/>
        <v>0</v>
      </c>
      <c r="F28" s="478">
        <f t="shared" si="6"/>
        <v>0</v>
      </c>
      <c r="G28" s="478">
        <f t="shared" si="7"/>
        <v>287.4286445769099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287.4286445769099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18.712206012347377</v>
      </c>
      <c r="C32" s="478">
        <f t="shared" ca="1" si="3"/>
        <v>0</v>
      </c>
      <c r="D32" s="478">
        <f t="shared" si="4"/>
        <v>62.778772000000004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81.490978012347384</v>
      </c>
    </row>
    <row r="33" spans="1:17" s="489" customFormat="1">
      <c r="A33" s="487" t="s">
        <v>549</v>
      </c>
      <c r="B33" s="488">
        <f ca="1">SUM(B22:B32)</f>
        <v>3213.2845919688848</v>
      </c>
      <c r="C33" s="488">
        <f t="shared" ref="C33:Q33" ca="1" si="19">SUM(C22:C32)</f>
        <v>0</v>
      </c>
      <c r="D33" s="488">
        <f t="shared" ca="1" si="19"/>
        <v>2453.8005263835789</v>
      </c>
      <c r="E33" s="488">
        <f t="shared" si="19"/>
        <v>2058.8516753363301</v>
      </c>
      <c r="F33" s="488">
        <f t="shared" ca="1" si="19"/>
        <v>11889.497574054565</v>
      </c>
      <c r="G33" s="488">
        <f t="shared" si="19"/>
        <v>41352.419558026588</v>
      </c>
      <c r="H33" s="488">
        <f t="shared" si="19"/>
        <v>8348.3483145667851</v>
      </c>
      <c r="I33" s="488">
        <f t="shared" si="19"/>
        <v>0</v>
      </c>
      <c r="J33" s="488">
        <f t="shared" si="19"/>
        <v>1002.112557560195</v>
      </c>
      <c r="K33" s="488">
        <f t="shared" si="19"/>
        <v>0</v>
      </c>
      <c r="L33" s="488">
        <f t="shared" ca="1" si="19"/>
        <v>0</v>
      </c>
      <c r="M33" s="488">
        <f t="shared" si="19"/>
        <v>0</v>
      </c>
      <c r="N33" s="488">
        <f t="shared" ca="1" si="19"/>
        <v>0</v>
      </c>
      <c r="O33" s="488">
        <f t="shared" si="19"/>
        <v>0</v>
      </c>
      <c r="P33" s="488">
        <f t="shared" si="19"/>
        <v>0</v>
      </c>
      <c r="Q33" s="488">
        <f t="shared" ca="1" si="19"/>
        <v>70318.314797896921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8072.3060362848546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5011.5846512065827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13083.890687491437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0.11632372110182675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0.11632372110182675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0.11632372110182675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0.11632372110182675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2502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2397.09</v>
      </c>
    </row>
    <row r="15" spans="1:6">
      <c r="A15" s="348" t="s">
        <v>183</v>
      </c>
      <c r="B15" s="334">
        <v>521</v>
      </c>
    </row>
    <row r="16" spans="1:6">
      <c r="A16" s="348" t="s">
        <v>6</v>
      </c>
      <c r="B16" s="334">
        <v>274</v>
      </c>
    </row>
    <row r="17" spans="1:6">
      <c r="A17" s="348" t="s">
        <v>7</v>
      </c>
      <c r="B17" s="334">
        <v>229</v>
      </c>
    </row>
    <row r="18" spans="1:6">
      <c r="A18" s="348" t="s">
        <v>8</v>
      </c>
      <c r="B18" s="334">
        <v>339</v>
      </c>
    </row>
    <row r="19" spans="1:6">
      <c r="A19" s="348" t="s">
        <v>9</v>
      </c>
      <c r="B19" s="334">
        <v>388</v>
      </c>
    </row>
    <row r="20" spans="1:6">
      <c r="A20" s="348" t="s">
        <v>10</v>
      </c>
      <c r="B20" s="334">
        <v>304</v>
      </c>
    </row>
    <row r="21" spans="1:6">
      <c r="A21" s="348" t="s">
        <v>11</v>
      </c>
      <c r="B21" s="334">
        <v>7515</v>
      </c>
    </row>
    <row r="22" spans="1:6">
      <c r="A22" s="348" t="s">
        <v>12</v>
      </c>
      <c r="B22" s="334">
        <v>6726</v>
      </c>
    </row>
    <row r="23" spans="1:6">
      <c r="A23" s="348" t="s">
        <v>13</v>
      </c>
      <c r="B23" s="334">
        <v>274</v>
      </c>
    </row>
    <row r="24" spans="1:6">
      <c r="A24" s="348" t="s">
        <v>14</v>
      </c>
      <c r="B24" s="334">
        <v>5</v>
      </c>
    </row>
    <row r="25" spans="1:6">
      <c r="A25" s="348" t="s">
        <v>15</v>
      </c>
      <c r="B25" s="334">
        <v>1449</v>
      </c>
    </row>
    <row r="26" spans="1:6">
      <c r="A26" s="348" t="s">
        <v>16</v>
      </c>
      <c r="B26" s="334">
        <v>362</v>
      </c>
    </row>
    <row r="27" spans="1:6">
      <c r="A27" s="348" t="s">
        <v>17</v>
      </c>
      <c r="B27" s="334">
        <v>5</v>
      </c>
    </row>
    <row r="28" spans="1:6" s="356" customFormat="1">
      <c r="A28" s="355" t="s">
        <v>18</v>
      </c>
      <c r="B28" s="355">
        <v>106793</v>
      </c>
    </row>
    <row r="29" spans="1:6">
      <c r="A29" s="355" t="s">
        <v>713</v>
      </c>
      <c r="B29" s="355">
        <v>169</v>
      </c>
      <c r="C29" s="356"/>
      <c r="D29" s="356"/>
      <c r="E29" s="356"/>
      <c r="F29" s="356"/>
    </row>
    <row r="30" spans="1:6">
      <c r="A30" s="341" t="s">
        <v>714</v>
      </c>
      <c r="B30" s="341">
        <v>24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280</v>
      </c>
    </row>
    <row r="39" spans="1:6">
      <c r="A39" s="348" t="s">
        <v>29</v>
      </c>
      <c r="B39" s="348" t="s">
        <v>30</v>
      </c>
      <c r="C39" s="334">
        <v>632</v>
      </c>
      <c r="D39" s="334">
        <v>9405770.3499999996</v>
      </c>
      <c r="E39" s="334">
        <v>2394</v>
      </c>
      <c r="F39" s="334">
        <v>8972160.3499999996</v>
      </c>
    </row>
    <row r="40" spans="1:6">
      <c r="A40" s="348" t="s">
        <v>29</v>
      </c>
      <c r="B40" s="348" t="s">
        <v>28</v>
      </c>
      <c r="C40" s="334">
        <v>0</v>
      </c>
      <c r="D40" s="334">
        <v>0</v>
      </c>
      <c r="E40" s="334">
        <v>0</v>
      </c>
      <c r="F40" s="334">
        <v>0</v>
      </c>
    </row>
    <row r="41" spans="1:6">
      <c r="A41" s="348" t="s">
        <v>31</v>
      </c>
      <c r="B41" s="348" t="s">
        <v>32</v>
      </c>
      <c r="C41" s="334">
        <v>33</v>
      </c>
      <c r="D41" s="334">
        <v>721582.05</v>
      </c>
      <c r="E41" s="334">
        <v>73</v>
      </c>
      <c r="F41" s="334">
        <v>6471282.5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13</v>
      </c>
      <c r="F44" s="334">
        <v>83863.199999999997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12535</v>
      </c>
      <c r="E48" s="334">
        <v>1</v>
      </c>
      <c r="F48" s="334">
        <v>368773</v>
      </c>
    </row>
    <row r="49" spans="1:6">
      <c r="A49" s="348" t="s">
        <v>31</v>
      </c>
      <c r="B49" s="348" t="s">
        <v>39</v>
      </c>
      <c r="C49" s="334">
        <v>0</v>
      </c>
      <c r="D49" s="334">
        <v>0</v>
      </c>
      <c r="E49" s="334">
        <v>0</v>
      </c>
      <c r="F49" s="334">
        <v>0</v>
      </c>
    </row>
    <row r="50" spans="1:6">
      <c r="A50" s="348" t="s">
        <v>31</v>
      </c>
      <c r="B50" s="348" t="s">
        <v>40</v>
      </c>
      <c r="C50" s="334">
        <v>0</v>
      </c>
      <c r="D50" s="334">
        <v>0</v>
      </c>
      <c r="E50" s="334">
        <v>5</v>
      </c>
      <c r="F50" s="334">
        <v>597520.38399999996</v>
      </c>
    </row>
    <row r="51" spans="1:6">
      <c r="A51" s="348" t="s">
        <v>41</v>
      </c>
      <c r="B51" s="348" t="s">
        <v>42</v>
      </c>
      <c r="C51" s="334">
        <v>3</v>
      </c>
      <c r="D51" s="334">
        <v>66027</v>
      </c>
      <c r="E51" s="334">
        <v>106</v>
      </c>
      <c r="F51" s="334">
        <v>3444840.1639999999</v>
      </c>
    </row>
    <row r="52" spans="1:6">
      <c r="A52" s="348" t="s">
        <v>41</v>
      </c>
      <c r="B52" s="348" t="s">
        <v>28</v>
      </c>
      <c r="C52" s="334">
        <v>0</v>
      </c>
      <c r="D52" s="334">
        <v>0</v>
      </c>
      <c r="E52" s="334">
        <v>0</v>
      </c>
      <c r="F52" s="334">
        <v>0</v>
      </c>
    </row>
    <row r="53" spans="1:6">
      <c r="A53" s="348" t="s">
        <v>43</v>
      </c>
      <c r="B53" s="348" t="s">
        <v>44</v>
      </c>
      <c r="C53" s="334">
        <v>12</v>
      </c>
      <c r="D53" s="334">
        <v>310786</v>
      </c>
      <c r="E53" s="334">
        <v>41</v>
      </c>
      <c r="F53" s="334">
        <v>160863.20000000001</v>
      </c>
    </row>
    <row r="54" spans="1:6">
      <c r="A54" s="348" t="s">
        <v>45</v>
      </c>
      <c r="B54" s="348" t="s">
        <v>46</v>
      </c>
      <c r="C54" s="334">
        <v>0</v>
      </c>
      <c r="D54" s="334">
        <v>0</v>
      </c>
      <c r="E54" s="334">
        <v>1</v>
      </c>
      <c r="F54" s="334">
        <v>495412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132826</v>
      </c>
      <c r="E57" s="334">
        <v>32</v>
      </c>
      <c r="F57" s="334">
        <v>497231</v>
      </c>
    </row>
    <row r="58" spans="1:6">
      <c r="A58" s="348" t="s">
        <v>48</v>
      </c>
      <c r="B58" s="348" t="s">
        <v>50</v>
      </c>
      <c r="C58" s="334">
        <v>5</v>
      </c>
      <c r="D58" s="334">
        <v>582832.19999999995</v>
      </c>
      <c r="E58" s="334">
        <v>14</v>
      </c>
      <c r="F58" s="334">
        <v>281342</v>
      </c>
    </row>
    <row r="59" spans="1:6">
      <c r="A59" s="348" t="s">
        <v>48</v>
      </c>
      <c r="B59" s="348" t="s">
        <v>51</v>
      </c>
      <c r="C59" s="334">
        <v>10</v>
      </c>
      <c r="D59" s="334">
        <v>196542</v>
      </c>
      <c r="E59" s="334">
        <v>63</v>
      </c>
      <c r="F59" s="334">
        <v>1765154.71</v>
      </c>
    </row>
    <row r="60" spans="1:6">
      <c r="A60" s="348" t="s">
        <v>48</v>
      </c>
      <c r="B60" s="348" t="s">
        <v>52</v>
      </c>
      <c r="C60" s="334">
        <v>10</v>
      </c>
      <c r="D60" s="334">
        <v>484855</v>
      </c>
      <c r="E60" s="334">
        <v>30</v>
      </c>
      <c r="F60" s="334">
        <v>858535</v>
      </c>
    </row>
    <row r="61" spans="1:6">
      <c r="A61" s="348" t="s">
        <v>48</v>
      </c>
      <c r="B61" s="348" t="s">
        <v>53</v>
      </c>
      <c r="C61" s="334">
        <v>31</v>
      </c>
      <c r="D61" s="334">
        <v>1026253.6</v>
      </c>
      <c r="E61" s="334">
        <v>97</v>
      </c>
      <c r="F61" s="334">
        <v>1179154.736</v>
      </c>
    </row>
    <row r="62" spans="1:6">
      <c r="A62" s="348" t="s">
        <v>48</v>
      </c>
      <c r="B62" s="348" t="s">
        <v>54</v>
      </c>
      <c r="C62" s="334">
        <v>0</v>
      </c>
      <c r="D62" s="334">
        <v>0</v>
      </c>
      <c r="E62" s="334">
        <v>6</v>
      </c>
      <c r="F62" s="334">
        <v>48639</v>
      </c>
    </row>
    <row r="63" spans="1:6">
      <c r="A63" s="348" t="s">
        <v>48</v>
      </c>
      <c r="B63" s="348" t="s">
        <v>28</v>
      </c>
      <c r="C63" s="334">
        <v>1</v>
      </c>
      <c r="D63" s="334">
        <v>8856</v>
      </c>
      <c r="E63" s="334">
        <v>0</v>
      </c>
      <c r="F63" s="334">
        <v>0</v>
      </c>
    </row>
    <row r="64" spans="1:6">
      <c r="A64" s="348" t="s">
        <v>55</v>
      </c>
      <c r="B64" s="348" t="s">
        <v>56</v>
      </c>
      <c r="C64" s="334">
        <v>0</v>
      </c>
      <c r="D64" s="334">
        <v>0</v>
      </c>
      <c r="E64" s="334">
        <v>0</v>
      </c>
      <c r="F64" s="334">
        <v>0</v>
      </c>
    </row>
    <row r="65" spans="1:6">
      <c r="A65" s="348" t="s">
        <v>55</v>
      </c>
      <c r="B65" s="348" t="s">
        <v>28</v>
      </c>
      <c r="C65" s="334">
        <v>1</v>
      </c>
      <c r="D65" s="334">
        <v>1606</v>
      </c>
      <c r="E65" s="334">
        <v>0</v>
      </c>
      <c r="F65" s="334">
        <v>0</v>
      </c>
    </row>
    <row r="66" spans="1:6">
      <c r="A66" s="348" t="s">
        <v>55</v>
      </c>
      <c r="B66" s="348" t="s">
        <v>57</v>
      </c>
      <c r="C66" s="334">
        <v>0</v>
      </c>
      <c r="D66" s="334">
        <v>0</v>
      </c>
      <c r="E66" s="334">
        <v>6</v>
      </c>
      <c r="F66" s="334">
        <v>190839.80600000001</v>
      </c>
    </row>
    <row r="67" spans="1:6">
      <c r="A67" s="355" t="s">
        <v>55</v>
      </c>
      <c r="B67" s="355" t="s">
        <v>58</v>
      </c>
      <c r="C67" s="334">
        <v>0</v>
      </c>
      <c r="D67" s="334">
        <v>0</v>
      </c>
      <c r="E67" s="334">
        <v>0</v>
      </c>
      <c r="F67" s="334">
        <v>0</v>
      </c>
    </row>
    <row r="68" spans="1:6">
      <c r="A68" s="341" t="s">
        <v>55</v>
      </c>
      <c r="B68" s="341" t="s">
        <v>59</v>
      </c>
      <c r="C68" s="334">
        <v>0</v>
      </c>
      <c r="D68" s="334">
        <v>0</v>
      </c>
      <c r="E68" s="334">
        <v>4</v>
      </c>
      <c r="F68" s="334">
        <v>25339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49318822</v>
      </c>
      <c r="E73" s="476"/>
    </row>
    <row r="74" spans="1:6">
      <c r="A74" s="348" t="s">
        <v>63</v>
      </c>
      <c r="B74" s="348" t="s">
        <v>651</v>
      </c>
      <c r="C74" s="1307" t="s">
        <v>653</v>
      </c>
      <c r="D74" s="476">
        <v>5833864.5</v>
      </c>
      <c r="E74" s="476"/>
    </row>
    <row r="75" spans="1:6">
      <c r="A75" s="348" t="s">
        <v>64</v>
      </c>
      <c r="B75" s="348" t="s">
        <v>650</v>
      </c>
      <c r="C75" s="1307" t="s">
        <v>654</v>
      </c>
      <c r="D75" s="476">
        <v>22213263</v>
      </c>
      <c r="E75" s="476"/>
    </row>
    <row r="76" spans="1:6">
      <c r="A76" s="348" t="s">
        <v>64</v>
      </c>
      <c r="B76" s="348" t="s">
        <v>651</v>
      </c>
      <c r="C76" s="1307" t="s">
        <v>655</v>
      </c>
      <c r="D76" s="476">
        <v>843115.5</v>
      </c>
      <c r="E76" s="476"/>
    </row>
    <row r="77" spans="1:6">
      <c r="A77" s="348" t="s">
        <v>65</v>
      </c>
      <c r="B77" s="348" t="s">
        <v>650</v>
      </c>
      <c r="C77" s="1307" t="s">
        <v>656</v>
      </c>
      <c r="D77" s="476">
        <v>136778162</v>
      </c>
      <c r="E77" s="476"/>
    </row>
    <row r="78" spans="1:6">
      <c r="A78" s="341" t="s">
        <v>65</v>
      </c>
      <c r="B78" s="341" t="s">
        <v>651</v>
      </c>
      <c r="C78" s="341" t="s">
        <v>657</v>
      </c>
      <c r="D78" s="1308">
        <v>15209379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315691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8072.3060362848546</v>
      </c>
    </row>
    <row r="91" spans="1:6">
      <c r="A91" s="348" t="s">
        <v>67</v>
      </c>
      <c r="B91" s="334">
        <v>2285.7446915060164</v>
      </c>
    </row>
    <row r="92" spans="1:6">
      <c r="A92" s="341" t="s">
        <v>68</v>
      </c>
      <c r="B92" s="342">
        <v>2725.8399597005664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92</v>
      </c>
    </row>
    <row r="98" spans="1:6">
      <c r="A98" s="348" t="s">
        <v>71</v>
      </c>
      <c r="B98" s="334">
        <v>0</v>
      </c>
    </row>
    <row r="99" spans="1:6">
      <c r="A99" s="348" t="s">
        <v>72</v>
      </c>
      <c r="B99" s="334">
        <v>59</v>
      </c>
    </row>
    <row r="100" spans="1:6">
      <c r="A100" s="348" t="s">
        <v>73</v>
      </c>
      <c r="B100" s="334">
        <v>74</v>
      </c>
    </row>
    <row r="101" spans="1:6">
      <c r="A101" s="348" t="s">
        <v>74</v>
      </c>
      <c r="B101" s="334">
        <v>37</v>
      </c>
    </row>
    <row r="102" spans="1:6">
      <c r="A102" s="348" t="s">
        <v>75</v>
      </c>
      <c r="B102" s="334">
        <v>32</v>
      </c>
    </row>
    <row r="103" spans="1:6">
      <c r="A103" s="348" t="s">
        <v>76</v>
      </c>
      <c r="B103" s="334">
        <v>118</v>
      </c>
    </row>
    <row r="104" spans="1:6">
      <c r="A104" s="348" t="s">
        <v>77</v>
      </c>
      <c r="B104" s="334">
        <v>1754</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11</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85</v>
      </c>
    </row>
    <row r="130" spans="1:6">
      <c r="A130" s="348" t="s">
        <v>294</v>
      </c>
      <c r="B130" s="334">
        <v>1</v>
      </c>
    </row>
    <row r="131" spans="1:6">
      <c r="A131" s="348" t="s">
        <v>295</v>
      </c>
      <c r="B131" s="334">
        <v>2</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27623.639972418518</v>
      </c>
      <c r="C3" s="43" t="s">
        <v>169</v>
      </c>
      <c r="D3" s="43"/>
      <c r="E3" s="154"/>
      <c r="F3" s="43"/>
      <c r="G3" s="43"/>
      <c r="H3" s="43"/>
      <c r="I3" s="43"/>
      <c r="J3" s="43"/>
      <c r="K3" s="96"/>
    </row>
    <row r="4" spans="1:11">
      <c r="A4" s="383" t="s">
        <v>170</v>
      </c>
      <c r="B4" s="49">
        <f>IF(ISERROR('SEAP template'!B78+'SEAP template'!C78),0,'SEAP template'!B78+'SEAP template'!C78)</f>
        <v>13083.890687491437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0.11632372110182675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495.41199999999998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495.41199999999998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0.11632372110182675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57.628167318498193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8972.1603500000001</v>
      </c>
      <c r="C5" s="17">
        <f>IF(ISERROR('Eigen informatie GS &amp; warmtenet'!B59),0,'Eigen informatie GS &amp; warmtenet'!B59)</f>
        <v>0</v>
      </c>
      <c r="D5" s="30">
        <f>(SUM(HH_hh_gas_kWh,HH_rest_gas_kWh)/1000)*0.902</f>
        <v>8484.0048556999991</v>
      </c>
      <c r="E5" s="17">
        <f>B46*B57</f>
        <v>6689.1126093537168</v>
      </c>
      <c r="F5" s="17">
        <f>B51*B62</f>
        <v>26364.277910127264</v>
      </c>
      <c r="G5" s="18"/>
      <c r="H5" s="17"/>
      <c r="I5" s="17"/>
      <c r="J5" s="17">
        <f>B50*B61+C50*C61</f>
        <v>1878.6097752446537</v>
      </c>
      <c r="K5" s="17"/>
      <c r="L5" s="17"/>
      <c r="M5" s="17"/>
      <c r="N5" s="17">
        <f>B48*B59+C48*C59</f>
        <v>7259.3676442209298</v>
      </c>
      <c r="O5" s="17">
        <f>B69*B70*B71</f>
        <v>194.42790549992912</v>
      </c>
      <c r="P5" s="17">
        <f>B77*B78*B79/1000-B77*B78*B79/1000/B80</f>
        <v>484.56212815351103</v>
      </c>
    </row>
    <row r="6" spans="1:16">
      <c r="A6" s="16" t="s">
        <v>615</v>
      </c>
      <c r="B6" s="809">
        <f>kWh_PV_kleiner_dan_10kW</f>
        <v>2285.7446915060164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11257.905041506016</v>
      </c>
      <c r="C8" s="21">
        <f>C5</f>
        <v>0</v>
      </c>
      <c r="D8" s="21">
        <f>D5</f>
        <v>8484.0048556999991</v>
      </c>
      <c r="E8" s="21">
        <f>E5</f>
        <v>6689.1126093537168</v>
      </c>
      <c r="F8" s="21">
        <f>F5</f>
        <v>26364.277910127264</v>
      </c>
      <c r="G8" s="21"/>
      <c r="H8" s="21"/>
      <c r="I8" s="21"/>
      <c r="J8" s="21">
        <f>J5</f>
        <v>1878.6097752446537</v>
      </c>
      <c r="K8" s="21"/>
      <c r="L8" s="21">
        <f>L5</f>
        <v>0</v>
      </c>
      <c r="M8" s="21">
        <f>M5</f>
        <v>0</v>
      </c>
      <c r="N8" s="21">
        <f>N5</f>
        <v>7259.3676442209298</v>
      </c>
      <c r="O8" s="21">
        <f>O5</f>
        <v>194.42790549992912</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0.11632372110182675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1309.561406238995</v>
      </c>
      <c r="C12" s="23">
        <f ca="1">C10*C8</f>
        <v>0</v>
      </c>
      <c r="D12" s="23">
        <f>D8*D10</f>
        <v>1713.7689808513999</v>
      </c>
      <c r="E12" s="23">
        <f>E10*E8</f>
        <v>1518.4285623232938</v>
      </c>
      <c r="F12" s="23">
        <f>F10*F8</f>
        <v>7039.2622020039798</v>
      </c>
      <c r="G12" s="23"/>
      <c r="H12" s="23"/>
      <c r="I12" s="23"/>
      <c r="J12" s="23">
        <f>J10*J8</f>
        <v>665.0278604366074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2502</v>
      </c>
      <c r="C28" s="36"/>
      <c r="D28" s="228"/>
    </row>
    <row r="29" spans="1:7" s="15" customFormat="1">
      <c r="A29" s="230" t="s">
        <v>837</v>
      </c>
      <c r="B29" s="37">
        <f>SUM(HH_hh_gas_aantal,HH_rest_gas_aantal)</f>
        <v>632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632</v>
      </c>
      <c r="C32" s="167">
        <f>IF(ISERROR(B32/SUM($B$32,$B$34,$B$35,$B$36,$B$38,$B$39)*100),0,B32/SUM($B$32,$B$34,$B$35,$B$36,$B$38,$B$39)*100)</f>
        <v>25.732899022801302</v>
      </c>
      <c r="D32" s="233"/>
      <c r="G32" s="15"/>
    </row>
    <row r="33" spans="1:7">
      <c r="A33" s="171" t="s">
        <v>71</v>
      </c>
      <c r="B33" s="34" t="s">
        <v>110</v>
      </c>
      <c r="C33" s="167"/>
      <c r="D33" s="233"/>
      <c r="G33" s="15"/>
    </row>
    <row r="34" spans="1:7">
      <c r="A34" s="171" t="s">
        <v>72</v>
      </c>
      <c r="B34" s="33">
        <f>IF((($B$28-$B$32-$B$39-$B$77-$B$38)*C20/100)&lt;0,0,($B$28-$B$32-$B$39-$B$77-$B$38)*C20/100)</f>
        <v>170.75294117647056</v>
      </c>
      <c r="C34" s="167">
        <f>IF(ISERROR(B34/SUM($B$32,$B$34,$B$35,$B$36,$B$38,$B$39)*100),0,B34/SUM($B$32,$B$34,$B$35,$B$36,$B$38,$B$39)*100)</f>
        <v>6.9524813182602019</v>
      </c>
      <c r="D34" s="233"/>
      <c r="G34" s="15"/>
    </row>
    <row r="35" spans="1:7">
      <c r="A35" s="171" t="s">
        <v>73</v>
      </c>
      <c r="B35" s="33">
        <f>IF((($B$28-$B$32-$B$39-$B$77-$B$38)*C21/100)&lt;0,0,($B$28-$B$32-$B$39-$B$77-$B$38)*C21/100)</f>
        <v>214.16470588235293</v>
      </c>
      <c r="C35" s="167">
        <f>IF(ISERROR(B35/SUM($B$32,$B$34,$B$35,$B$36,$B$38,$B$39)*100),0,B35/SUM($B$32,$B$34,$B$35,$B$36,$B$38,$B$39)*100)</f>
        <v>8.720061314428051</v>
      </c>
      <c r="D35" s="233"/>
      <c r="G35" s="15"/>
    </row>
    <row r="36" spans="1:7">
      <c r="A36" s="171" t="s">
        <v>74</v>
      </c>
      <c r="B36" s="33">
        <f>IF((($B$28-$B$32-$B$39-$B$77-$B$38)*C22/100)&lt;0,0,($B$28-$B$32-$B$39-$B$77-$B$38)*C22/100)</f>
        <v>107.08235294117647</v>
      </c>
      <c r="C36" s="167">
        <f>IF(ISERROR(B36/SUM($B$32,$B$34,$B$35,$B$36,$B$38,$B$39)*100),0,B36/SUM($B$32,$B$34,$B$35,$B$36,$B$38,$B$39)*100)</f>
        <v>4.3600306572140255</v>
      </c>
      <c r="D36" s="233"/>
      <c r="G36" s="15"/>
    </row>
    <row r="37" spans="1:7">
      <c r="A37" s="171" t="s">
        <v>75</v>
      </c>
      <c r="B37" s="34" t="s">
        <v>110</v>
      </c>
      <c r="C37" s="167"/>
      <c r="D37" s="173"/>
      <c r="G37" s="15"/>
    </row>
    <row r="38" spans="1:7">
      <c r="A38" s="171" t="s">
        <v>76</v>
      </c>
      <c r="B38" s="33">
        <f>IF((B24-(B29-B18)*0.1)&lt;0,0,B24-(B29-B18)*0.1)</f>
        <v>64</v>
      </c>
      <c r="C38" s="167">
        <f>IF(ISERROR(B38/SUM($B$32,$B$34,$B$35,$B$36,$B$38,$B$39)*100),0,B38/SUM($B$32,$B$34,$B$35,$B$36,$B$38,$B$39)*100)</f>
        <v>2.6058631921824107</v>
      </c>
      <c r="D38" s="234"/>
      <c r="G38" s="15"/>
    </row>
    <row r="39" spans="1:7">
      <c r="A39" s="171" t="s">
        <v>77</v>
      </c>
      <c r="B39" s="33">
        <f>IF((B25-(B29-B18))&lt;0,0,B25-(B29-B18)*0.9)</f>
        <v>1268</v>
      </c>
      <c r="C39" s="167">
        <f>IF(ISERROR(B39/SUM($B$32,$B$34,$B$35,$B$36,$B$38,$B$39)*100),0,B39/SUM($B$32,$B$34,$B$35,$B$36,$B$38,$B$39)*100)</f>
        <v>51.628664495114009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632</v>
      </c>
      <c r="C44" s="34" t="s">
        <v>110</v>
      </c>
      <c r="D44" s="174"/>
    </row>
    <row r="45" spans="1:7">
      <c r="A45" s="171" t="s">
        <v>71</v>
      </c>
      <c r="B45" s="33" t="str">
        <f t="shared" si="0"/>
        <v>-</v>
      </c>
      <c r="C45" s="34" t="s">
        <v>110</v>
      </c>
      <c r="D45" s="174"/>
    </row>
    <row r="46" spans="1:7">
      <c r="A46" s="171" t="s">
        <v>72</v>
      </c>
      <c r="B46" s="33">
        <f t="shared" si="0"/>
        <v>170.75294117647056</v>
      </c>
      <c r="C46" s="34" t="s">
        <v>110</v>
      </c>
      <c r="D46" s="174"/>
    </row>
    <row r="47" spans="1:7">
      <c r="A47" s="171" t="s">
        <v>73</v>
      </c>
      <c r="B47" s="33">
        <f t="shared" si="0"/>
        <v>214.16470588235293</v>
      </c>
      <c r="C47" s="34" t="s">
        <v>110</v>
      </c>
      <c r="D47" s="174"/>
    </row>
    <row r="48" spans="1:7">
      <c r="A48" s="171" t="s">
        <v>74</v>
      </c>
      <c r="B48" s="33">
        <f t="shared" si="0"/>
        <v>107.08235294117647</v>
      </c>
      <c r="C48" s="33">
        <f>B48*10</f>
        <v>1070.8235294117646</v>
      </c>
      <c r="D48" s="234"/>
    </row>
    <row r="49" spans="1:6">
      <c r="A49" s="171" t="s">
        <v>75</v>
      </c>
      <c r="B49" s="33" t="str">
        <f t="shared" si="0"/>
        <v>-</v>
      </c>
      <c r="C49" s="34" t="s">
        <v>110</v>
      </c>
      <c r="D49" s="234"/>
    </row>
    <row r="50" spans="1:6">
      <c r="A50" s="171" t="s">
        <v>76</v>
      </c>
      <c r="B50" s="33">
        <f t="shared" si="0"/>
        <v>64</v>
      </c>
      <c r="C50" s="33">
        <f>B50*2</f>
        <v>128</v>
      </c>
      <c r="D50" s="234"/>
    </row>
    <row r="51" spans="1:6">
      <c r="A51" s="171" t="s">
        <v>77</v>
      </c>
      <c r="B51" s="33">
        <f t="shared" si="0"/>
        <v>1268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4630.0564460000005</v>
      </c>
      <c r="C5" s="17">
        <f>IF(ISERROR('Eigen informatie GS &amp; warmtenet'!B60),0,'Eigen informatie GS &amp; warmtenet'!B60)</f>
        <v>0</v>
      </c>
      <c r="D5" s="30">
        <f>SUM(D6:D12)</f>
        <v>2193.8126496</v>
      </c>
      <c r="E5" s="17">
        <f>SUM(E6:E12)</f>
        <v>68.612626097000486</v>
      </c>
      <c r="F5" s="17">
        <f>SUM(F6:F12)</f>
        <v>522.04860276405782</v>
      </c>
      <c r="G5" s="18"/>
      <c r="H5" s="17"/>
      <c r="I5" s="17"/>
      <c r="J5" s="17">
        <f>SUM(J6:J12)</f>
        <v>8.4410206171438469E-3</v>
      </c>
      <c r="K5" s="17"/>
      <c r="L5" s="17"/>
      <c r="M5" s="17"/>
      <c r="N5" s="17">
        <f>SUM(N6:N12)</f>
        <v>332.71149288459617</v>
      </c>
      <c r="O5" s="17">
        <f>B38*B39*B40</f>
        <v>4.8972607658411542</v>
      </c>
      <c r="P5" s="17">
        <f>B46*B47*B48/1000-B46*B47*B48/1000/B49</f>
        <v>105.07827661299004</v>
      </c>
      <c r="R5" s="32"/>
    </row>
    <row r="6" spans="1:18">
      <c r="A6" s="32" t="s">
        <v>53</v>
      </c>
      <c r="B6" s="37">
        <f>B26</f>
        <v>1179.154736</v>
      </c>
      <c r="C6" s="33"/>
      <c r="D6" s="37">
        <f>IF(ISERROR(TER_kantoor_gas_kWh/1000),0,TER_kantoor_gas_kWh/1000)*0.902</f>
        <v>925.68074720000004</v>
      </c>
      <c r="E6" s="33">
        <f>$C$26*'E Balans VL '!I12/100/3.6*1000000</f>
        <v>9.4882800937986325</v>
      </c>
      <c r="F6" s="33">
        <f>$C$26*('E Balans VL '!L12+'E Balans VL '!N12)/100/3.6*1000000</f>
        <v>144.16407078669059</v>
      </c>
      <c r="G6" s="34"/>
      <c r="H6" s="33"/>
      <c r="I6" s="33"/>
      <c r="J6" s="33">
        <f>$C$26*('E Balans VL '!D12+'E Balans VL '!E12)/100/3.6*1000000</f>
        <v>0</v>
      </c>
      <c r="K6" s="33"/>
      <c r="L6" s="33"/>
      <c r="M6" s="33"/>
      <c r="N6" s="33">
        <f>$C$26*'E Balans VL '!Y12/100/3.6*1000000</f>
        <v>0.6337376035141139</v>
      </c>
      <c r="O6" s="33"/>
      <c r="P6" s="33"/>
      <c r="R6" s="32"/>
    </row>
    <row r="7" spans="1:18">
      <c r="A7" s="32" t="s">
        <v>52</v>
      </c>
      <c r="B7" s="37">
        <f t="shared" ref="B7:B12" si="0">B27</f>
        <v>858.53499999999997</v>
      </c>
      <c r="C7" s="33"/>
      <c r="D7" s="37">
        <f>IF(ISERROR(TER_horeca_gas_kWh/1000),0,TER_horeca_gas_kWh/1000)*0.902</f>
        <v>437.33921000000004</v>
      </c>
      <c r="E7" s="33">
        <f>$C$27*'E Balans VL '!I9/100/3.6*1000000</f>
        <v>9.218557706611799</v>
      </c>
      <c r="F7" s="33">
        <f>$C$27*('E Balans VL '!L9+'E Balans VL '!N9)/100/3.6*1000000</f>
        <v>103.26094214860815</v>
      </c>
      <c r="G7" s="34"/>
      <c r="H7" s="33"/>
      <c r="I7" s="33"/>
      <c r="J7" s="33">
        <f>$C$27*('E Balans VL '!D9+'E Balans VL '!E9)/100/3.6*1000000</f>
        <v>0</v>
      </c>
      <c r="K7" s="33"/>
      <c r="L7" s="33"/>
      <c r="M7" s="33"/>
      <c r="N7" s="33">
        <f>$C$27*'E Balans VL '!Y9/100/3.6*1000000</f>
        <v>0.12871179698427931</v>
      </c>
      <c r="O7" s="33"/>
      <c r="P7" s="33"/>
      <c r="R7" s="32"/>
    </row>
    <row r="8" spans="1:18">
      <c r="A8" s="6" t="s">
        <v>51</v>
      </c>
      <c r="B8" s="37">
        <f t="shared" si="0"/>
        <v>1765.15471</v>
      </c>
      <c r="C8" s="33"/>
      <c r="D8" s="37">
        <f>IF(ISERROR(TER_handel_gas_kWh/1000),0,TER_handel_gas_kWh/1000)*0.902</f>
        <v>177.28088400000001</v>
      </c>
      <c r="E8" s="33">
        <f>$C$28*'E Balans VL '!I13/100/3.6*1000000</f>
        <v>47.371348447678123</v>
      </c>
      <c r="F8" s="33">
        <f>$C$28*('E Balans VL '!L13+'E Balans VL '!N13)/100/3.6*1000000</f>
        <v>168.45016280494232</v>
      </c>
      <c r="G8" s="34"/>
      <c r="H8" s="33"/>
      <c r="I8" s="33"/>
      <c r="J8" s="33">
        <f>$C$28*('E Balans VL '!D13+'E Balans VL '!E13)/100/3.6*1000000</f>
        <v>0</v>
      </c>
      <c r="K8" s="33"/>
      <c r="L8" s="33"/>
      <c r="M8" s="33"/>
      <c r="N8" s="33">
        <f>$C$28*'E Balans VL '!Y13/100/3.6*1000000</f>
        <v>0.69972739753348567</v>
      </c>
      <c r="O8" s="33"/>
      <c r="P8" s="33"/>
      <c r="R8" s="32"/>
    </row>
    <row r="9" spans="1:18">
      <c r="A9" s="32" t="s">
        <v>50</v>
      </c>
      <c r="B9" s="37">
        <f t="shared" si="0"/>
        <v>281.34199999999998</v>
      </c>
      <c r="C9" s="33"/>
      <c r="D9" s="37">
        <f>IF(ISERROR(TER_gezond_gas_kWh/1000),0,TER_gezond_gas_kWh/1000)*0.902</f>
        <v>525.7146444</v>
      </c>
      <c r="E9" s="33">
        <f>$C$29*'E Balans VL '!I10/100/3.6*1000000</f>
        <v>0.52732651693320776</v>
      </c>
      <c r="F9" s="33">
        <f>$C$29*('E Balans VL '!L10+'E Balans VL '!N10)/100/3.6*1000000</f>
        <v>23.128879447950446</v>
      </c>
      <c r="G9" s="34"/>
      <c r="H9" s="33"/>
      <c r="I9" s="33"/>
      <c r="J9" s="33">
        <f>$C$29*('E Balans VL '!D10+'E Balans VL '!E10)/100/3.6*1000000</f>
        <v>0</v>
      </c>
      <c r="K9" s="33"/>
      <c r="L9" s="33"/>
      <c r="M9" s="33"/>
      <c r="N9" s="33">
        <f>$C$29*'E Balans VL '!Y10/100/3.6*1000000</f>
        <v>2.189050671293514</v>
      </c>
      <c r="O9" s="33"/>
      <c r="P9" s="33"/>
      <c r="R9" s="32"/>
    </row>
    <row r="10" spans="1:18">
      <c r="A10" s="32" t="s">
        <v>49</v>
      </c>
      <c r="B10" s="37">
        <f t="shared" si="0"/>
        <v>497.23099999999999</v>
      </c>
      <c r="C10" s="33"/>
      <c r="D10" s="37">
        <f>IF(ISERROR(TER_ander_gas_kWh/1000),0,TER_ander_gas_kWh/1000)*0.902</f>
        <v>119.80905199999999</v>
      </c>
      <c r="E10" s="33">
        <f>$C$30*'E Balans VL '!I14/100/3.6*1000000</f>
        <v>0.76648662486387398</v>
      </c>
      <c r="F10" s="33">
        <f>$C$30*('E Balans VL '!L14+'E Balans VL '!N14)/100/3.6*1000000</f>
        <v>77.195250018164401</v>
      </c>
      <c r="G10" s="34"/>
      <c r="H10" s="33"/>
      <c r="I10" s="33"/>
      <c r="J10" s="33">
        <f>$C$30*('E Balans VL '!D14+'E Balans VL '!E14)/100/3.6*1000000</f>
        <v>8.4410206171438469E-3</v>
      </c>
      <c r="K10" s="33"/>
      <c r="L10" s="33"/>
      <c r="M10" s="33"/>
      <c r="N10" s="33">
        <f>$C$30*'E Balans VL '!Y14/100/3.6*1000000</f>
        <v>328.9520934660726</v>
      </c>
      <c r="O10" s="33"/>
      <c r="P10" s="33"/>
      <c r="R10" s="32"/>
    </row>
    <row r="11" spans="1:18">
      <c r="A11" s="32" t="s">
        <v>54</v>
      </c>
      <c r="B11" s="37">
        <f t="shared" si="0"/>
        <v>48.639000000000003</v>
      </c>
      <c r="C11" s="33"/>
      <c r="D11" s="37">
        <f>IF(ISERROR(TER_onderwijs_gas_kWh/1000),0,TER_onderwijs_gas_kWh/1000)*0.902</f>
        <v>0</v>
      </c>
      <c r="E11" s="33">
        <f>$C$31*'E Balans VL '!I11/100/3.6*1000000</f>
        <v>1.2406267071148618</v>
      </c>
      <c r="F11" s="33">
        <f>$C$31*('E Balans VL '!L11+'E Balans VL '!N11)/100/3.6*1000000</f>
        <v>5.8492975577019264</v>
      </c>
      <c r="G11" s="34"/>
      <c r="H11" s="33"/>
      <c r="I11" s="33"/>
      <c r="J11" s="33">
        <f>$C$31*('E Balans VL '!D11+'E Balans VL '!E11)/100/3.6*1000000</f>
        <v>0</v>
      </c>
      <c r="K11" s="33"/>
      <c r="L11" s="33"/>
      <c r="M11" s="33"/>
      <c r="N11" s="33">
        <f>$C$31*'E Balans VL '!Y11/100/3.6*1000000</f>
        <v>0.1081719491981737</v>
      </c>
      <c r="O11" s="33"/>
      <c r="P11" s="33"/>
      <c r="R11" s="32"/>
    </row>
    <row r="12" spans="1:18">
      <c r="A12" s="32" t="s">
        <v>259</v>
      </c>
      <c r="B12" s="37">
        <f t="shared" si="0"/>
        <v>0</v>
      </c>
      <c r="C12" s="33"/>
      <c r="D12" s="37">
        <f>IF(ISERROR(TER_rest_gas_kWh/1000),0,TER_rest_gas_kWh/1000)*0.902</f>
        <v>7.9881120000000001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4630.0564460000005</v>
      </c>
      <c r="C16" s="21">
        <f t="shared" ca="1" si="1"/>
        <v>0</v>
      </c>
      <c r="D16" s="21">
        <f t="shared" ca="1" si="1"/>
        <v>2193.8126496</v>
      </c>
      <c r="E16" s="21">
        <f t="shared" si="1"/>
        <v>68.612626097000486</v>
      </c>
      <c r="F16" s="21">
        <f t="shared" ca="1" si="1"/>
        <v>522.04860276405782</v>
      </c>
      <c r="G16" s="21">
        <f t="shared" si="1"/>
        <v>0</v>
      </c>
      <c r="H16" s="21">
        <f t="shared" si="1"/>
        <v>0</v>
      </c>
      <c r="I16" s="21">
        <f t="shared" si="1"/>
        <v>0</v>
      </c>
      <c r="J16" s="21">
        <f t="shared" si="1"/>
        <v>8.4410206171438469E-3</v>
      </c>
      <c r="K16" s="21">
        <f t="shared" si="1"/>
        <v>0</v>
      </c>
      <c r="L16" s="21">
        <f t="shared" ca="1" si="1"/>
        <v>0</v>
      </c>
      <c r="M16" s="21">
        <f t="shared" si="1"/>
        <v>0</v>
      </c>
      <c r="N16" s="21">
        <f t="shared" ca="1" si="1"/>
        <v>332.71149288459617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0.11632372110182675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538.58539471021925</v>
      </c>
      <c r="C20" s="23">
        <f t="shared" ref="C20:P20" ca="1" si="2">C16*C18</f>
        <v>0</v>
      </c>
      <c r="D20" s="23">
        <f t="shared" ca="1" si="2"/>
        <v>443.15015521920003</v>
      </c>
      <c r="E20" s="23">
        <f t="shared" si="2"/>
        <v>15.575066124019111</v>
      </c>
      <c r="F20" s="23">
        <f t="shared" ca="1" si="2"/>
        <v>139.38697693800344</v>
      </c>
      <c r="G20" s="23">
        <f t="shared" si="2"/>
        <v>0</v>
      </c>
      <c r="H20" s="23">
        <f t="shared" si="2"/>
        <v>0</v>
      </c>
      <c r="I20" s="23">
        <f t="shared" si="2"/>
        <v>0</v>
      </c>
      <c r="J20" s="23">
        <f t="shared" si="2"/>
        <v>2.9881212984689217E-3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1179.154736</v>
      </c>
      <c r="C26" s="39">
        <f>IF(ISERROR(B26*3.6/1000000/'E Balans VL '!Z12*100),0,B26*3.6/1000000/'E Balans VL '!Z12*100)</f>
        <v>2.5014688921539432E-2</v>
      </c>
      <c r="D26" s="237" t="s">
        <v>716</v>
      </c>
      <c r="F26" s="6"/>
    </row>
    <row r="27" spans="1:18">
      <c r="A27" s="231" t="s">
        <v>52</v>
      </c>
      <c r="B27" s="33">
        <f>IF(ISERROR(TER_horeca_ele_kWh/1000),0,TER_horeca_ele_kWh/1000)</f>
        <v>858.53499999999997</v>
      </c>
      <c r="C27" s="39">
        <f>IF(ISERROR(B27*3.6/1000000/'E Balans VL '!Z9*100),0,B27*3.6/1000000/'E Balans VL '!Z9*100)</f>
        <v>6.4655290837927426E-2</v>
      </c>
      <c r="D27" s="237" t="s">
        <v>716</v>
      </c>
      <c r="F27" s="6"/>
    </row>
    <row r="28" spans="1:18">
      <c r="A28" s="171" t="s">
        <v>51</v>
      </c>
      <c r="B28" s="33">
        <f>IF(ISERROR(TER_handel_ele_kWh/1000),0,TER_handel_ele_kWh/1000)</f>
        <v>1765.15471</v>
      </c>
      <c r="C28" s="39">
        <f>IF(ISERROR(B28*3.6/1000000/'E Balans VL '!Z13*100),0,B28*3.6/1000000/'E Balans VL '!Z13*100)</f>
        <v>5.123618680018048E-2</v>
      </c>
      <c r="D28" s="237" t="s">
        <v>716</v>
      </c>
      <c r="F28" s="6"/>
    </row>
    <row r="29" spans="1:18">
      <c r="A29" s="231" t="s">
        <v>50</v>
      </c>
      <c r="B29" s="33">
        <f>IF(ISERROR(TER_gezond_ele_kWh/1000),0,TER_gezond_ele_kWh/1000)</f>
        <v>281.34199999999998</v>
      </c>
      <c r="C29" s="39">
        <f>IF(ISERROR(B29*3.6/1000000/'E Balans VL '!Z10*100),0,B29*3.6/1000000/'E Balans VL '!Z10*100)</f>
        <v>2.8373676214000186E-2</v>
      </c>
      <c r="D29" s="237" t="s">
        <v>716</v>
      </c>
      <c r="F29" s="6"/>
    </row>
    <row r="30" spans="1:18">
      <c r="A30" s="231" t="s">
        <v>49</v>
      </c>
      <c r="B30" s="33">
        <f>IF(ISERROR(TER_ander_ele_kWh/1000),0,TER_ander_ele_kWh/1000)</f>
        <v>497.23099999999999</v>
      </c>
      <c r="C30" s="39">
        <f>IF(ISERROR(B30*3.6/1000000/'E Balans VL '!Z14*100),0,B30*3.6/1000000/'E Balans VL '!Z14*100)</f>
        <v>3.6080892524624562E-2</v>
      </c>
      <c r="D30" s="237" t="s">
        <v>716</v>
      </c>
      <c r="F30" s="6"/>
    </row>
    <row r="31" spans="1:18">
      <c r="A31" s="231" t="s">
        <v>54</v>
      </c>
      <c r="B31" s="33">
        <f>IF(ISERROR(TER_onderwijs_ele_kWh/1000),0,TER_onderwijs_ele_kWh/1000)</f>
        <v>48.639000000000003</v>
      </c>
      <c r="C31" s="39">
        <f>IF(ISERROR(B31*3.6/1000000/'E Balans VL '!Z11*100),0,B31*3.6/1000000/'E Balans VL '!Z11*100)</f>
        <v>1.3864095672307284E-2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7521.4390840000005</v>
      </c>
      <c r="C5" s="17">
        <f>IF(ISERROR('Eigen informatie GS &amp; warmtenet'!B61),0,'Eigen informatie GS &amp; warmtenet'!B61)</f>
        <v>0</v>
      </c>
      <c r="D5" s="30">
        <f>SUM(D6:D15)</f>
        <v>662.1735791000001</v>
      </c>
      <c r="E5" s="17">
        <f>SUM(E6:E15)</f>
        <v>1812.3701662555752</v>
      </c>
      <c r="F5" s="17">
        <f>SUM(F6:F15)</f>
        <v>5469.180199312118</v>
      </c>
      <c r="G5" s="18"/>
      <c r="H5" s="17"/>
      <c r="I5" s="17"/>
      <c r="J5" s="17">
        <f>SUM(J6:J15)</f>
        <v>3.1308625814220865</v>
      </c>
      <c r="K5" s="17"/>
      <c r="L5" s="17"/>
      <c r="M5" s="17"/>
      <c r="N5" s="17">
        <f>SUM(N6:N15)</f>
        <v>519.8689245893114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83.863199999999992</v>
      </c>
      <c r="C8" s="33"/>
      <c r="D8" s="37">
        <f>IF( ISERROR(IND_metaal_Gas_kWH/1000),0,IND_metaal_Gas_kWH/1000)*0.902</f>
        <v>0</v>
      </c>
      <c r="E8" s="33">
        <f>C30*'E Balans VL '!I18/100/3.6*1000000</f>
        <v>0.60501412730514514</v>
      </c>
      <c r="F8" s="33">
        <f>C30*'E Balans VL '!L18/100/3.6*1000000+C30*'E Balans VL '!N18/100/3.6*1000000</f>
        <v>7.9319123909126814</v>
      </c>
      <c r="G8" s="34"/>
      <c r="H8" s="33"/>
      <c r="I8" s="33"/>
      <c r="J8" s="40">
        <f>C30*'E Balans VL '!D18/100/3.6*1000000+C30*'E Balans VL '!E18/100/3.6*1000000</f>
        <v>8.4350093905669915E-2</v>
      </c>
      <c r="K8" s="33"/>
      <c r="L8" s="33"/>
      <c r="M8" s="33"/>
      <c r="N8" s="33">
        <f>C30*'E Balans VL '!Y18/100/3.6*1000000</f>
        <v>1.0602527281217629</v>
      </c>
      <c r="O8" s="33"/>
      <c r="P8" s="33"/>
      <c r="R8" s="32"/>
    </row>
    <row r="9" spans="1:18">
      <c r="A9" s="6" t="s">
        <v>32</v>
      </c>
      <c r="B9" s="37">
        <f t="shared" si="0"/>
        <v>6471.2825000000003</v>
      </c>
      <c r="C9" s="33"/>
      <c r="D9" s="37">
        <f>IF( ISERROR(IND_andere_gas_kWh/1000),0,IND_andere_gas_kWh/1000)*0.902</f>
        <v>650.86700910000013</v>
      </c>
      <c r="E9" s="33">
        <f>C31*'E Balans VL '!I19/100/3.6*1000000</f>
        <v>1793.278912637933</v>
      </c>
      <c r="F9" s="33">
        <f>C31*'E Balans VL '!L19/100/3.6*1000000+C31*'E Balans VL '!N19/100/3.6*1000000</f>
        <v>5363.4129205492627</v>
      </c>
      <c r="G9" s="34"/>
      <c r="H9" s="33"/>
      <c r="I9" s="33"/>
      <c r="J9" s="40">
        <f>C31*'E Balans VL '!D19/100/3.6*1000000+C31*'E Balans VL '!E19/100/3.6*1000000</f>
        <v>0</v>
      </c>
      <c r="K9" s="33"/>
      <c r="L9" s="33"/>
      <c r="M9" s="33"/>
      <c r="N9" s="33">
        <f>C31*'E Balans VL '!Y19/100/3.6*1000000</f>
        <v>469.73595714612867</v>
      </c>
      <c r="O9" s="33"/>
      <c r="P9" s="33"/>
      <c r="R9" s="32"/>
    </row>
    <row r="10" spans="1:18">
      <c r="A10" s="6" t="s">
        <v>40</v>
      </c>
      <c r="B10" s="37">
        <f t="shared" si="0"/>
        <v>597.52038399999992</v>
      </c>
      <c r="C10" s="33"/>
      <c r="D10" s="37">
        <f>IF( ISERROR(IND_voed_gas_kWh/1000),0,IND_voed_gas_kWh/1000)*0.902</f>
        <v>0</v>
      </c>
      <c r="E10" s="33">
        <f>C32*'E Balans VL '!I20/100/3.6*1000000</f>
        <v>1.0578134728100641</v>
      </c>
      <c r="F10" s="33">
        <f>C32*'E Balans VL '!L20/100/3.6*1000000+C32*'E Balans VL '!N20/100/3.6*1000000</f>
        <v>32.271396511659503</v>
      </c>
      <c r="G10" s="34"/>
      <c r="H10" s="33"/>
      <c r="I10" s="33"/>
      <c r="J10" s="40">
        <f>C32*'E Balans VL '!D20/100/3.6*1000000+C32*'E Balans VL '!E20/100/3.6*1000000</f>
        <v>0</v>
      </c>
      <c r="K10" s="33"/>
      <c r="L10" s="33"/>
      <c r="M10" s="33"/>
      <c r="N10" s="33">
        <f>C32*'E Balans VL '!Y20/100/3.6*1000000</f>
        <v>34.720497630435631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368.77300000000002</v>
      </c>
      <c r="C15" s="33"/>
      <c r="D15" s="37">
        <f>IF( ISERROR(IND_rest_gas_kWh/1000),0,IND_rest_gas_kWh/1000)*0.902</f>
        <v>11.306570000000001</v>
      </c>
      <c r="E15" s="33">
        <f>C37*'E Balans VL '!I15/100/3.6*1000000</f>
        <v>17.428426017527133</v>
      </c>
      <c r="F15" s="33">
        <f>C37*'E Balans VL '!L15/100/3.6*1000000+C37*'E Balans VL '!N15/100/3.6*1000000</f>
        <v>65.563969860283876</v>
      </c>
      <c r="G15" s="34"/>
      <c r="H15" s="33"/>
      <c r="I15" s="33"/>
      <c r="J15" s="40">
        <f>C37*'E Balans VL '!D15/100/3.6*1000000+C37*'E Balans VL '!E15/100/3.6*1000000</f>
        <v>3.0465124875164165</v>
      </c>
      <c r="K15" s="33"/>
      <c r="L15" s="33"/>
      <c r="M15" s="33"/>
      <c r="N15" s="33">
        <f>C37*'E Balans VL '!Y15/100/3.6*1000000</f>
        <v>14.352217084625289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7521.4390840000005</v>
      </c>
      <c r="C18" s="21">
        <f>C5+C16</f>
        <v>0</v>
      </c>
      <c r="D18" s="21">
        <f>MAX((D5+D16),0)</f>
        <v>662.1735791000001</v>
      </c>
      <c r="E18" s="21">
        <f>MAX((E5+E16),0)</f>
        <v>1812.3701662555752</v>
      </c>
      <c r="F18" s="21">
        <f>MAX((F5+F16),0)</f>
        <v>5469.180199312118</v>
      </c>
      <c r="G18" s="21"/>
      <c r="H18" s="21"/>
      <c r="I18" s="21"/>
      <c r="J18" s="21">
        <f>MAX((J5+J16),0)</f>
        <v>3.1308625814220865</v>
      </c>
      <c r="K18" s="21"/>
      <c r="L18" s="21">
        <f>MAX((L5+L16),0)</f>
        <v>0</v>
      </c>
      <c r="M18" s="21"/>
      <c r="N18" s="21">
        <f>MAX((N5+N16),0)</f>
        <v>519.8689245893114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0.11632372110182675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874.92178229159526</v>
      </c>
      <c r="C22" s="23">
        <f ca="1">C18*C20</f>
        <v>0</v>
      </c>
      <c r="D22" s="23">
        <f>D18*D20</f>
        <v>133.75906297820003</v>
      </c>
      <c r="E22" s="23">
        <f>E18*E20</f>
        <v>411.4080277400156</v>
      </c>
      <c r="F22" s="23">
        <f>F18*F20</f>
        <v>1460.2711132163356</v>
      </c>
      <c r="G22" s="23"/>
      <c r="H22" s="23"/>
      <c r="I22" s="23"/>
      <c r="J22" s="23">
        <f>J18*J20</f>
        <v>1.1083253538234186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83.863199999999992</v>
      </c>
      <c r="C30" s="39">
        <f>IF(ISERROR(B30*3.6/1000000/'E Balans VL '!Z18*100),0,B30*3.6/1000000/'E Balans VL '!Z18*100)</f>
        <v>4.8412916802514656E-3</v>
      </c>
      <c r="D30" s="237" t="s">
        <v>716</v>
      </c>
    </row>
    <row r="31" spans="1:18">
      <c r="A31" s="6" t="s">
        <v>32</v>
      </c>
      <c r="B31" s="37">
        <f>IF( ISERROR(IND_ander_ele_kWh/1000),0,IND_ander_ele_kWh/1000)</f>
        <v>6471.2825000000003</v>
      </c>
      <c r="C31" s="39">
        <f>IF(ISERROR(B31*3.6/1000000/'E Balans VL '!Z19*100),0,B31*3.6/1000000/'E Balans VL '!Z19*100)</f>
        <v>0.32548453389998167</v>
      </c>
      <c r="D31" s="237" t="s">
        <v>716</v>
      </c>
    </row>
    <row r="32" spans="1:18">
      <c r="A32" s="171" t="s">
        <v>40</v>
      </c>
      <c r="B32" s="37">
        <f>IF( ISERROR(IND_voed_ele_kWh/1000),0,IND_voed_ele_kWh/1000)</f>
        <v>597.52038399999992</v>
      </c>
      <c r="C32" s="39">
        <f>IF(ISERROR(B32*3.6/1000000/'E Balans VL '!Z20*100),0,B32*3.6/1000000/'E Balans VL '!Z20*100)</f>
        <v>1.9900977011476258E-2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368.77300000000002</v>
      </c>
      <c r="C37" s="39">
        <f>IF(ISERROR(B37*3.6/1000000/'E Balans VL '!Z15*100),0,B37*3.6/1000000/'E Balans VL '!Z15*100)</f>
        <v>2.8774378581489773E-3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3444.8401639999997</v>
      </c>
      <c r="C5" s="17">
        <f>'Eigen informatie GS &amp; warmtenet'!B62</f>
        <v>0</v>
      </c>
      <c r="D5" s="30">
        <f>IF(ISERROR(SUM(LB_lb_gas_kWh,LB_rest_gas_kWh)/1000),0,SUM(LB_lb_gas_kWh,LB_rest_gas_kWh)/1000)*0.902</f>
        <v>59.556354000000006</v>
      </c>
      <c r="E5" s="17">
        <f>B17*'E Balans VL '!I25/3.6*1000000/100</f>
        <v>107.5123255502959</v>
      </c>
      <c r="F5" s="17">
        <f>B17*('E Balans VL '!L25/3.6*1000000+'E Balans VL '!N25/3.6*1000000)/100</f>
        <v>12174.44674867508</v>
      </c>
      <c r="G5" s="18"/>
      <c r="H5" s="17"/>
      <c r="I5" s="17"/>
      <c r="J5" s="17">
        <f>('E Balans VL '!D25+'E Balans VL '!E25)/3.6*1000000*landbouw!B17/100</f>
        <v>949.07735493916903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3444.8401639999997</v>
      </c>
      <c r="C8" s="21">
        <f>C5+C6</f>
        <v>0</v>
      </c>
      <c r="D8" s="21">
        <f>MAX((D5+D6),0)</f>
        <v>59.556354000000006</v>
      </c>
      <c r="E8" s="21">
        <f>MAX((E5+E6),0)</f>
        <v>107.5123255502959</v>
      </c>
      <c r="F8" s="21">
        <f>MAX((F5+F6),0)</f>
        <v>12174.44674867508</v>
      </c>
      <c r="G8" s="21"/>
      <c r="H8" s="21"/>
      <c r="I8" s="21"/>
      <c r="J8" s="21">
        <f>MAX((J5+J6),0)</f>
        <v>949.07735493916903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0.11632372110182675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400.71662647750708</v>
      </c>
      <c r="C12" s="23">
        <f ca="1">C8*C10</f>
        <v>0</v>
      </c>
      <c r="D12" s="23">
        <f>D8*D10</f>
        <v>12.030383508000002</v>
      </c>
      <c r="E12" s="23">
        <f>E8*E10</f>
        <v>24.405297899917169</v>
      </c>
      <c r="F12" s="23">
        <f>F8*F10</f>
        <v>3250.5772818962464</v>
      </c>
      <c r="G12" s="23"/>
      <c r="H12" s="23"/>
      <c r="I12" s="23"/>
      <c r="J12" s="23">
        <f>J8*J10</f>
        <v>335.97338364846581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0.51210018533205526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140.28913226133142</v>
      </c>
      <c r="C26" s="247">
        <f>B26*'GWP N2O_CH4'!B5</f>
        <v>2946.0717774879599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83.925935518194308</v>
      </c>
      <c r="C27" s="247">
        <f>B27*'GWP N2O_CH4'!B5</f>
        <v>1762.4446458820805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2.4619634789178231</v>
      </c>
      <c r="C28" s="247">
        <f>B28*'GWP N2O_CH4'!B4</f>
        <v>763.20867846452518</v>
      </c>
      <c r="D28" s="50"/>
    </row>
    <row r="29" spans="1:4">
      <c r="A29" s="41" t="s">
        <v>276</v>
      </c>
      <c r="B29" s="247">
        <f>B34*'ha_N2O bodem landbouw'!B4</f>
        <v>16.184812804044075</v>
      </c>
      <c r="C29" s="247">
        <f>B29*'GWP N2O_CH4'!B4</f>
        <v>5017.2919692536634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3.549038046924427E-3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4.0724653288499996E-4</v>
      </c>
      <c r="C5" s="463" t="s">
        <v>210</v>
      </c>
      <c r="D5" s="448">
        <f>SUM(D6:D11)</f>
        <v>1.573898111764384E-3</v>
      </c>
      <c r="E5" s="448">
        <f>SUM(E6:E11)</f>
        <v>1.4120043898533251E-3</v>
      </c>
      <c r="F5" s="461" t="s">
        <v>210</v>
      </c>
      <c r="G5" s="448">
        <f>SUM(G6:G11)</f>
        <v>0.55368527074314178</v>
      </c>
      <c r="H5" s="448">
        <f>SUM(H6:H11)</f>
        <v>0.12069901177686919</v>
      </c>
      <c r="I5" s="463" t="s">
        <v>210</v>
      </c>
      <c r="J5" s="463" t="s">
        <v>210</v>
      </c>
      <c r="K5" s="463" t="s">
        <v>210</v>
      </c>
      <c r="L5" s="463" t="s">
        <v>210</v>
      </c>
      <c r="M5" s="448">
        <f>SUM(M6:M11)</f>
        <v>3.9858259838038965E-2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9.6418297009999993E-5</v>
      </c>
      <c r="C6" s="449"/>
      <c r="D6" s="917">
        <f>vkm_2011_GW_PW*SUMIFS(TableVerdeelsleutelVkm[CNG],TableVerdeelsleutelVkm[Voertuigtype],"Lichte voertuigen")*SUMIFS(TableECFTransport[EnergieConsumptieFactor (PJ per km)],TableECFTransport[Index],CONCATENATE($A6,"_CNG_CNG"))</f>
        <v>3.3526284187149603E-4</v>
      </c>
      <c r="E6" s="917">
        <f>vkm_2011_GW_PW*SUMIFS(TableVerdeelsleutelVkm[LPG],TableVerdeelsleutelVkm[Voertuigtype],"Lichte voertuigen")*SUMIFS(TableECFTransport[EnergieConsumptieFactor (PJ per km)],TableECFTransport[Index],CONCATENATE($A6,"_LPG_LPG"))</f>
        <v>2.6413188310320002E-4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7.189976975852036E-2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2.5160143945006107E-2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5.7999398991304095E-3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5.5189239772195746E-2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1.3903947964030707E-5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3.1823839884570406E-3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4.3426929165000001E-5</v>
      </c>
      <c r="C8" s="449"/>
      <c r="D8" s="451">
        <f>vkm_2011_NGW_PW*SUMIFS(TableVerdeelsleutelVkm[CNG],TableVerdeelsleutelVkm[Voertuigtype],"Lichte voertuigen")*SUMIFS(TableECFTransport[EnergieConsumptieFactor (PJ per km)],TableECFTransport[Index],CONCATENATE($A8,"_CNG_CNG"))</f>
        <v>2.6723621625623998E-4</v>
      </c>
      <c r="E8" s="451">
        <f>vkm_2011_NGW_PW*SUMIFS(TableVerdeelsleutelVkm[LPG],TableVerdeelsleutelVkm[Voertuigtype],"Lichte voertuigen")*SUMIFS(TableECFTransport[EnergieConsumptieFactor (PJ per km)],TableECFTransport[Index],CONCATENATE($A8,"_LPG_LPG"))</f>
        <v>1.9518183333367502E-4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4.9303730022596588E-2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1.9541766182578777E-2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4.1277498034283464E-3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1.0203973076755208E-2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2.4256052091660691E-6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5.8838342130747485E-4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2.6740130670999996E-4</v>
      </c>
      <c r="C10" s="449"/>
      <c r="D10" s="451">
        <f>vkm_2011_SW_PW*SUMIFS(TableVerdeelsleutelVkm[CNG],TableVerdeelsleutelVkm[Voertuigtype],"Lichte voertuigen")*SUMIFS(TableECFTransport[EnergieConsumptieFactor (PJ per km)],TableECFTransport[Index],CONCATENATE($A10,"_CNG_CNG"))</f>
        <v>9.7139905363664793E-4</v>
      </c>
      <c r="E10" s="451">
        <f>vkm_2011_SW_PW*SUMIFS(TableVerdeelsleutelVkm[LPG],TableVerdeelsleutelVkm[Voertuigtype],"Lichte voertuigen")*SUMIFS(TableECFTransport[EnergieConsumptieFactor (PJ per km)],TableECFTransport[Index],CONCATENATE($A10,"_LPG_LPG"))</f>
        <v>9.5269067341645006E-4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0.23036568951016009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7.5943465532968171E-2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1.8275746714648711E-2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0.1367228686029138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3.7306563142939695E-5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7.8840560110669845E-3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113.12403691249999</v>
      </c>
      <c r="C14" s="21"/>
      <c r="D14" s="21">
        <f t="shared" ref="D14:M14" si="0">((D5)*10^9/3600)+D12</f>
        <v>437.1939199345511</v>
      </c>
      <c r="E14" s="21">
        <f t="shared" si="0"/>
        <v>392.22344162592367</v>
      </c>
      <c r="F14" s="21"/>
      <c r="G14" s="21">
        <f t="shared" si="0"/>
        <v>153801.46409531715</v>
      </c>
      <c r="H14" s="21">
        <f t="shared" si="0"/>
        <v>33527.503271352551</v>
      </c>
      <c r="I14" s="21"/>
      <c r="J14" s="21"/>
      <c r="K14" s="21"/>
      <c r="L14" s="21"/>
      <c r="M14" s="21">
        <f t="shared" si="0"/>
        <v>11071.738843899713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0.11632372110182675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13.159008919722403</v>
      </c>
      <c r="C18" s="23"/>
      <c r="D18" s="23">
        <f t="shared" ref="D18:M18" si="1">D14*D16</f>
        <v>88.313171826779325</v>
      </c>
      <c r="E18" s="23">
        <f t="shared" si="1"/>
        <v>89.034721249084683</v>
      </c>
      <c r="F18" s="23"/>
      <c r="G18" s="23">
        <f t="shared" si="1"/>
        <v>41064.990913449677</v>
      </c>
      <c r="H18" s="23">
        <f t="shared" si="1"/>
        <v>8348.3483145667851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3.8754423987897965E-3</v>
      </c>
      <c r="H50" s="321">
        <f t="shared" si="2"/>
        <v>0</v>
      </c>
      <c r="I50" s="321">
        <f t="shared" si="2"/>
        <v>0</v>
      </c>
      <c r="J50" s="321">
        <f t="shared" si="2"/>
        <v>0</v>
      </c>
      <c r="K50" s="321">
        <f t="shared" si="2"/>
        <v>0</v>
      </c>
      <c r="L50" s="321">
        <f t="shared" si="2"/>
        <v>0</v>
      </c>
      <c r="M50" s="321">
        <f t="shared" si="2"/>
        <v>2.1539751731888254E-4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3.8754423987897965E-3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2.1539751731888254E-4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1076.5117774416101</v>
      </c>
      <c r="H54" s="21">
        <f t="shared" si="3"/>
        <v>0</v>
      </c>
      <c r="I54" s="21">
        <f t="shared" si="3"/>
        <v>0</v>
      </c>
      <c r="J54" s="21">
        <f t="shared" si="3"/>
        <v>0</v>
      </c>
      <c r="K54" s="21">
        <f t="shared" si="3"/>
        <v>0</v>
      </c>
      <c r="L54" s="21">
        <f t="shared" si="3"/>
        <v>0</v>
      </c>
      <c r="M54" s="21">
        <f t="shared" si="3"/>
        <v>59.832643699689598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0.11632372110182675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287.4286445769099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8072.3060362848546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5011.5846512065827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13083.890687491437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2019-08-12T08:39:04Z</dcterms:modified>
</cp:coreProperties>
</file>