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<sst xmlns="http://schemas.openxmlformats.org/spreadsheetml/2006/main" count="2384" uniqueCount="886">
  <si>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</si>
  <si>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</si>
  <si>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</si>
  <si>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</si>
  <si>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</si>
  <si>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</si>
  <si>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</si>
  <si>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</si>
  <si>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</si>
  <si>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</si>
  <si>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</si>
  <si>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</si>
  <si>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</si>
  <si>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</si>
  <si>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</si>
  <si>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</si>
  <si>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</si>
  <si>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</si>
  <si>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</si>
  <si>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</si>
  <si>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</si>
  <si>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</si>
  <si>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</si>
  <si>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</si>
  <si>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</si>
  <si>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</si>
  <si>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</si>
  <si>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</si>
  <si>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</si>
  <si>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</si>
  <si>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</si>
  <si>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</si>
  <si>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</si>
  <si>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</si>
  <si>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</si>
  <si>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</si>
  <si>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</si>
  <si>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</si>
  <si>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</si>
  <si>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</si>
  <si>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</si>
  <si>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</si>
  <si>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</si>
  <si>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</si>
  <si>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</si>
  <si>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</si>
  <si>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</si>
  <si>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</si>
  <si>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</si>
  <si>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</si>
  <si>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</si>
  <si>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</si>
  <si>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</si>
  <si>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</si>
  <si>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</si>
  <si>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</si>
  <si>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</si>
  <si>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</si>
  <si>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</si>
  <si>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</si>
  <si>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</si>
  <si>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</si>
  <si>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</si>
  <si>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</si>
  <si>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</si>
  <si>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</si>
  <si>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</si>
  <si>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</si>
  <si>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</si>
  <si>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</si>
  <si>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</si>
  <si>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</si>
  <si>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</si>
  <si>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</si>
  <si>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</si>
  <si>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</si>
  <si>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</si>
  <si>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</si>
  <si>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</si>
  <si>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</si>
  <si>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</si>
  <si>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</si>
  <si>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</si>
  <si>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</si>
  <si>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</si>
  <si>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</si>
  <si>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</si>
  <si>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</si>
  <si>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</si>
  <si>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</si>
  <si>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</si>
  <si>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</si>
  <si>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</si>
  <si>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</si>
  <si>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</si>
  <si>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</si>
  <si>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</si>
  <si>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</si>
  <si>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</si>
  <si>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</si>
  <si>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</si>
  <si>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</si>
  <si>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</si>
  <si>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</si>
  <si>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</si>
  <si>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</si>
  <si>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</si>
  <si>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</si>
  <si>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</si>
  <si>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</si>
  <si>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</si>
  <si>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</si>
  <si>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</si>
  <si>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</si>
  <si>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</si>
  <si>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</si>
  <si>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</si>
  <si>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</si>
  <si>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</si>
  <si>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</si>
  <si>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</si>
  <si>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</si>
  <si>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</si>
  <si>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</si>
  <si>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</si>
  <si>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</si>
  <si>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</si>
  <si>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</si>
  <si>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</si>
  <si>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</si>
  <si>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</si>
  <si>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</si>
  <si>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</si>
  <si>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</si>
  <si>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</si>
  <si>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</si>
  <si>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</si>
  <si>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</si>
  <si>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</si>
  <si>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</si>
  <si>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</si>
  <si>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</si>
  <si>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</si>
  <si>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</si>
  <si>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</si>
  <si>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</si>
  <si>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</si>
  <si>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</si>
  <si>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</si>
  <si>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</si>
  <si>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</si>
  <si>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</si>
  <si>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</si>
  <si>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</si>
  <si>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</si>
  <si>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</si>
  <si>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</si>
  <si>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</si>
  <si>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</si>
  <si>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</si>
  <si>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</si>
  <si>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</si>
  <si>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</si>
  <si>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</si>
  <si>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</si>
  <si>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</si>
  <si>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</si>
  <si>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</si>
  <si>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</si>
  <si>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</si>
  <si>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</si>
  <si>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</si>
  <si>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</si>
  <si>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</si>
  <si>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</si>
  <si>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</si>
  <si>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</si>
  <si>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</si>
  <si>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</si>
  <si>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</si>
  <si>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</si>
  <si>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</si>
  <si>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</si>
  <si>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</si>
  <si>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</si>
  <si>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</si>
  <si>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</si>
  <si>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</si>
  <si>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</si>
  <si>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</si>
  <si>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</si>
  <si>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</si>
  <si>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</si>
  <si>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</si>
  <si>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</si>
  <si>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</si>
  <si>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</si>
  <si>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</si>
  <si>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</si>
  <si>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</si>
  <si>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</si>
  <si>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</si>
  <si>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</si>
  <si>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</si>
  <si>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</si>
  <si>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</si>
  <si>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</si>
  <si>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</si>
  <si>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</si>
  <si>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</si>
  <si>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</si>
  <si>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</si>
  <si>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</si>
  <si>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</si>
  <si>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</si>
  <si>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</si>
  <si>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</si>
  <si>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</si>
  <si>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</si>
  <si>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</si>
  <si>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</si>
  <si>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</si>
  <si>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</si>
  <si>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</si>
  <si>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</si>
  <si>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</si>
  <si>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</si>
  <si>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</si>
  <si>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</si>
  <si>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</si>
  <si>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</si>
  <si>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</si>
  <si>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</si>
  <si>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</si>
  <si>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</si>
  <si>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</si>
  <si>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</si>
  <si>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</si>
  <si>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</si>
  <si>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</si>
  <si>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</si>
  <si>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</si>
  <si>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</si>
  <si>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</si>
  <si>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</si>
  <si>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</si>
  <si>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</si>
  <si>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</si>
  <si>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</si>
  <si>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</si>
  <si>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</si>
  <si>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</si>
  <si>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</si>
  <si>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</si>
  <si>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</si>
  <si>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</si>
  <si>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</si>
  <si>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</si>
  <si>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</si>
  <si>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</si>
  <si>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</si>
  <si>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</si>
  <si>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</si>
  <si>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</si>
  <si>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</si>
  <si>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</si>
  <si>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</si>
  <si>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</si>
  <si>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</si>
  <si>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</si>
  <si>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</si>
  <si>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</si>
  <si>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</si>
  <si>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</si>
  <si>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</si>
  <si>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</si>
  <si>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</si>
  <si>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</si>
  <si>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</si>
  <si>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</si>
  <si>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</si>
  <si>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</si>
  <si>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</si>
  <si>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</si>
  <si>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</si>
  <si>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</si>
  <si>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</si>
  <si>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</si>
  <si>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</si>
  <si>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</si>
  <si>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</si>
  <si>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</si>
  <si>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</si>
  <si>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</si>
  <si>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</si>
  <si>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</si>
  <si>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</si>
  <si>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</si>
  <si>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</si>
  <si>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</si>
  <si>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</si>
  <si>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</si>
  <si>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</si>
  <si>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</si>
  <si>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</si>
  <si>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</si>
  <si>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</si>
  <si>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</si>
  <si>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</si>
  <si>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</si>
  <si>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</si>
  <si>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</si>
  <si>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</si>
  <si>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</si>
  <si>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</si>
  <si>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</si>
  <si>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</si>
  <si>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</si>
  <si>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</si>
  <si>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</si>
  <si>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</si>
  <si>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</si>
  <si>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</si>
  <si>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</si>
  <si>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</si>
  <si>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</si>
  <si>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</si>
  <si>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</si>
  <si>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</si>
  <si>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</si>
  <si>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</si>
  <si>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</si>
  <si>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</si>
  <si>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</si>
  <si>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</si>
  <si>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</si>
  <si>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</si>
  <si>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</si>
  <si>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</si>
  <si>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</si>
  <si>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</si>
  <si>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</si>
  <si>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</si>
  <si>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</si>
  <si>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</si>
  <si>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</si>
  <si>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</si>
  <si>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</si>
  <si>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</si>
  <si>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</si>
  <si>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</si>
  <si>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</si>
  <si>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</si>
  <si>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</si>
  <si>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</si>
  <si>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</si>
  <si>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</si>
  <si>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</si>
  <si>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</si>
  <si>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</si>
  <si>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</si>
  <si>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</si>
  <si>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</si>
  <si>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</si>
  <si>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</si>
  <si>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</si>
  <si>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</si>
  <si>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</si>
  <si>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</si>
  <si>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</si>
  <si>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</si>
  <si>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</si>
  <si>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</si>
  <si>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</si>
  <si>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</si>
  <si>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</si>
  <si>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</si>
  <si>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</si>
  <si>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</si>
  <si>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</si>
  <si>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</si>
  <si>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</si>
  <si>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</si>
  <si>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</si>
  <si>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</si>
  <si>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</si>
  <si>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</si>
  <si>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</si>
  <si>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</si>
  <si>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</si>
  <si>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</si>
  <si>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</si>
  <si>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</si>
  <si>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</si>
  <si>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</si>
  <si>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</si>
  <si>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</si>
  <si>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</si>
  <si>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</si>
  <si>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</si>
  <si>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</si>
  <si>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</si>
  <si>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</si>
  <si>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</si>
  <si>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</si>
  <si>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</si>
  <si>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</si>
  <si>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</si>
  <si>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</si>
  <si>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</si>
  <si>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</si>
  <si>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</si>
  <si>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</si>
  <si>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</si>
  <si>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</si>
  <si>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</si>
  <si>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</si>
  <si>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</si>
  <si>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</si>
  <si>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</si>
  <si>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</si>
  <si>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</si>
  <si>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</si>
  <si>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</si>
  <si>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</si>
  <si>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</si>
  <si>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</si>
  <si>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</si>
  <si>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</si>
  <si>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</si>
  <si>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</si>
  <si>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</si>
  <si>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</si>
  <si>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</si>
  <si>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</si>
  <si>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</si>
  <si>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</si>
  <si>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</si>
  <si>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</si>
  <si>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</si>
  <si>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</si>
  <si>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</si>
  <si>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</si>
  <si>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</si>
  <si>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</si>
  <si>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</si>
  <si>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</si>
  <si>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</si>
  <si>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</si>
  <si>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</si>
  <si>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</si>
  <si>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</si>
  <si>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</si>
  <si>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</si>
  <si>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</si>
  <si>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</si>
  <si>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</si>
  <si>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</si>
  <si>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</si>
  <si>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</si>
  <si>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</si>
  <si>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</si>
  <si>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</si>
  <si>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</si>
  <si>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</si>
  <si>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</si>
  <si>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</si>
  <si>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</si>
  <si>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</si>
  <si>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</si>
  <si>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</si>
  <si>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</si>
  <si>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</si>
  <si>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</si>
  <si>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</si>
  <si>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</si>
  <si>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</si>
  <si>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</si>
  <si>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</si>
  <si>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</si>
  <si>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</si>
  <si>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</si>
  <si>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</si>
  <si>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</si>
  <si>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</si>
  <si>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</si>
  <si>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</si>
  <si>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</si>
  <si>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</si>
  <si>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</si>
  <si>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</si>
  <si>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</si>
  <si>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</si>
  <si>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</si>
  <si>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</si>
  <si>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</si>
  <si>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</si>
  <si>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</si>
  <si>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</si>
  <si>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</si>
  <si>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</si>
  <si>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</si>
  <si>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</si>
  <si>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</si>
  <si>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</si>
  <si>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</si>
  <si>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</si>
  <si>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</si>
  <si>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</si>
  <si>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</si>
  <si>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</si>
  <si>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</si>
  <si>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</si>
  <si>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</si>
  <si>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</si>
  <si>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</si>
  <si>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</si>
  <si>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</si>
  <si>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</si>
  <si>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</si>
  <si>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</si>
  <si>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</si>
  <si>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</si>
  <si>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</si>
  <si>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</si>
  <si>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</si>
  <si>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</si>
  <si>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</si>
  <si>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</si>
  <si>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</si>
  <si>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</si>
  <si>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</si>
  <si>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</si>
  <si>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</si>
  <si>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</si>
  <si>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</si>
  <si>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</si>
  <si>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</si>
  <si>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</si>
  <si>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</si>
  <si>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</si>
  <si>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</si>
  <si>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</si>
  <si>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</si>
  <si>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</si>
  <si>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</si>
  <si>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</si>
  <si>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</si>
  <si>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</si>
  <si>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</si>
  <si>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</si>
  <si>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</si>
  <si>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</si>
  <si>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</si>
  <si>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</si>
  <si>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</si>
  <si>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</si>
  <si>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</si>
  <si>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</si>
  <si>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</si>
  <si>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</si>
  <si>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</si>
  <si>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</si>
  <si>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</si>
  <si>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</si>
  <si>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</si>
  <si>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</si>
  <si>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</si>
  <si>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</si>
  <si>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</si>
  <si>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</si>
  <si>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</si>
  <si>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</si>
  <si>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</si>
  <si>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</si>
  <si>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</si>
  <si>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</si>
  <si>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</si>
  <si>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</si>
  <si>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</si>
  <si>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</si>
  <si>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</si>
  <si>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</si>
  <si>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</si>
  <si>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</si>
  <si>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</si>
  <si>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</si>
  <si>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</si>
  <si>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</si>
  <si>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</si>
  <si>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</si>
  <si>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</si>
  <si>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</si>
  <si>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</si>
  <si>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</si>
  <si>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</si>
  <si>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</si>
  <si>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</si>
  <si>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</si>
  <si>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</si>
  <si>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</si>
  <si>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</si>
  <si>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</si>
  <si>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</si>
  <si>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</si>
  <si>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</si>
  <si>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</si>
  <si>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</si>
  <si>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</si>
  <si>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</si>
  <si>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</si>
  <si>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</si>
  <si>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</si>
  <si>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</si>
  <si>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</si>
  <si>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</si>
  <si>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</si>
  <si>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</si>
  <si>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</si>
  <si>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</si>
  <si>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</si>
  <si>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</si>
  <si>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</si>
  <si>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</si>
  <si>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</si>
  <si>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</si>
  <si>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</si>
  <si>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</si>
  <si>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</si>
  <si>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</si>
  <si>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</si>
  <si>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</si>
  <si>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</si>
  <si>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</si>
  <si>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</si>
  <si>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</si>
  <si>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</si>
  <si>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</si>
  <si>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</si>
  <si>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</si>
  <si>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</si>
  <si>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</si>
  <si>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</si>
  <si>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</si>
  <si>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</si>
  <si>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</si>
  <si>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</si>
  <si>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</si>
  <si>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</si>
  <si>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</si>
  <si>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</si>
  <si>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</si>
  <si>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</si>
  <si>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</si>
  <si>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</si>
  <si>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</si>
  <si>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</si>
  <si>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</si>
  <si>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</si>
  <si>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</si>
  <si>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</si>
  <si>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</si>
  <si>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</si>
  <si>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</si>
  <si>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</si>
  <si>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</si>
  <si>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</si>
  <si>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</si>
  <si>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</si>
  <si>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</si>
  <si>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</si>
  <si>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</si>
  <si>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</si>
  <si>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</si>
  <si>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</si>
  <si>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</si>
  <si>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</si>
  <si>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</si>
  <si>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</si>
  <si>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</si>
  <si>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</si>
  <si>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</si>
  <si>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</si>
  <si>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</si>
  <si>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</si>
  <si>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</si>
  <si>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</si>
  <si>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</si>
  <si>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</si>
  <si>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</si>
  <si>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</si>
  <si>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</si>
  <si>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</si>
  <si>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</si>
  <si>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</si>
  <si>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</si>
  <si>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</si>
  <si>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</si>
  <si>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</si>
  <si>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</si>
  <si>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</si>
  <si>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</si>
  <si>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</si>
  <si>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</si>
  <si>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</si>
  <si>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</si>
  <si>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</si>
  <si>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</si>
  <si>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</si>
  <si>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</si>
  <si>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</si>
  <si>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</si>
  <si>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</si>
  <si>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</si>
  <si>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</si>
  <si>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</si>
  <si>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</si>
  <si>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</si>
  <si>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</si>
  <si>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</si>
  <si>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</si>
  <si>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</si>
  <si>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</si>
  <si>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</si>
  <si>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</si>
  <si>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</si>
  <si>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</si>
  <si>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</si>
  <si>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</si>
  <si>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</si>
  <si>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</si>
  <si>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</si>
  <si>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</si>
  <si>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</si>
  <si>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</si>
  <si>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</si>
  <si>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</si>
  <si>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</si>
  <si>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</si>
  <si>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</si>
  <si>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</si>
  <si>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</si>
  <si>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</si>
  <si>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</si>
  <si>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</si>
  <si>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</si>
  <si>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</si>
  <si>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</si>
  <si>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</si>
  <si>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</si>
  <si>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</si>
  <si>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</si>
  <si>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</si>
  <si>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</si>
  <si>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</si>
  <si>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</si>
  <si>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</si>
  <si>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</si>
  <si>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</si>
  <si>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</si>
  <si>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</si>
  <si>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</si>
  <si>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</si>
  <si>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</si>
  <si>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</si>
  <si>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</si>
  <si>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</si>
  <si>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</si>
  <si>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</si>
  <si>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</si>
  <si>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</si>
  <si>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</si>
  <si>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</si>
  <si>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</si>
  <si>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</si>
  <si>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</si>
  <si>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</si>
  <si>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</si>
  <si>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</si>
  <si>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</si>
  <si>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</si>
  <si>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</si>
  <si>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</si>
  <si>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</si>
  <si>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</si>
  <si>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</si>
  <si>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</si>
  <si>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</si>
  <si>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</si>
  <si>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</si>
  <si>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</si>
  <si>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</si>
  <si>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</si>
  <si>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</si>
  <si>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</si>
  <si>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</si>
  <si>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</si>
  <si>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</si>
  <si>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</si>
  <si>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</si>
  <si>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</si>
  <si>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</si>
  <si>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</si>
  <si>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</si>
  <si>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</si>
  <si>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</si>
  <si>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</si>
  <si>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</si>
  <si>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</si>
  <si>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</si>
  <si>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</si>
  <si>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</si>
  <si>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</si>
  <si>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</si>
  <si>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</si>
  <si>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</si>
  <si>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</si>
  <si>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</si>
  <si>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</si>
  <si>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</si>
  <si>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</si>
  <si>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</si>
  <si>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</si>
  <si>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</si>
  <si>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</si>
  <si>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</si>
  <si>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</si>
  <si>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</si>
  <si>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</si>
  <si>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</si>
  <si>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</si>
  <si>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</si>
  <si>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</si>
  <si>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</si>
  <si>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</si>
  <si>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</si>
  <si>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</si>
  <si>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</si>
  <si>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</si>
  <si>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</si>
  <si>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</si>
  <si>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</si>
  <si>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</si>
  <si>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</si>
  <si>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</si>
  <si>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</si>
  <si>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</si>
  <si>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</si>
  <si>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</si>
  <si>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</si>
  <si>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</si>
  <si>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</si>
  <si>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</si>
  <si>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</si>
  <si>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</si>
  <si>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</si>
  <si>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</si>
  <si>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</si>
  <si>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</si>
  <si>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</si>
  <si>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</si>
  <si>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</si>
  <si>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</si>
  <si>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</si>
  <si>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</si>
  <si>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</si>
  <si>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</si>
  <si>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</si>
  <si>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</si>
  <si>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</si>
  <si>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</si>
  <si>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</si>
  <si>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</si>
  <si>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</si>
  <si>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</si>
  <si>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</si>
  <si>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</si>
  <si>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</si>
  <si>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23098</t>
  </si>
  <si>
    <t>DROGENBOS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</si>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</sst>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33843.459584883996</c:v>
                </c:pt>
                <c:pt idx="1">
                  <c:v>38738.131704778185</c:v>
                </c:pt>
                <c:pt idx="2">
                  <c:v>269.63600000000002</c:v>
                </c:pt>
                <c:pt idx="3">
                  <c:v>4.1241525699128845</c:v>
                </c:pt>
                <c:pt idx="4">
                  <c:v>95559.035841466917</c:v>
                </c:pt>
                <c:pt idx="5">
                  <c:v>74197.685941726464</c:v>
                </c:pt>
                <c:pt idx="6">
                  <c:v>1308.9210765644777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33843.459584883996</c:v>
                </c:pt>
                <c:pt idx="1">
                  <c:v>38738.131704778185</c:v>
                </c:pt>
                <c:pt idx="2">
                  <c:v>269.63600000000002</c:v>
                </c:pt>
                <c:pt idx="3">
                  <c:v>4.1241525699128845</c:v>
                </c:pt>
                <c:pt idx="4">
                  <c:v>95559.035841466917</c:v>
                </c:pt>
                <c:pt idx="5">
                  <c:v>74197.685941726464</c:v>
                </c:pt>
                <c:pt idx="6">
                  <c:v>1308.9210765644777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6719.3535854876118</c:v>
                </c:pt>
                <c:pt idx="1">
                  <c:v>8144.5038364826969</c:v>
                </c:pt>
                <c:pt idx="2">
                  <c:v>58.389234128918346</c:v>
                </c:pt>
                <c:pt idx="3">
                  <c:v>1.0775233221354945</c:v>
                </c:pt>
                <c:pt idx="4">
                  <c:v>19823.058838133278</c:v>
                </c:pt>
                <c:pt idx="5">
                  <c:v>18412.936273364416</c:v>
                </c:pt>
                <c:pt idx="6">
                  <c:v>331.08043995782157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6719.3535854876118</c:v>
                </c:pt>
                <c:pt idx="1">
                  <c:v>8144.5038364826969</c:v>
                </c:pt>
                <c:pt idx="2">
                  <c:v>58.389234128918346</c:v>
                </c:pt>
                <c:pt idx="3">
                  <c:v>1.0775233221354945</c:v>
                </c:pt>
                <c:pt idx="4">
                  <c:v>19823.058838133278</c:v>
                </c:pt>
                <c:pt idx="5">
                  <c:v>18412.936273364416</c:v>
                </c:pt>
                <c:pt idx="6">
                  <c:v>331.08043995782157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0.2165483619728758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0.2165483619728758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2237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1.73</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74555.986000000004</v>
      </c>
      <c r="E38" s="334">
        <v>0</v>
      </c>
      <c r="F38" s="334">
        <v>0</v>
      </c>
    </row>
    <row r="39" spans="1:6">
      <c r="A39" s="348" t="s">
        <v>29</v>
      </c>
      <c r="B39" s="348" t="s">
        <v>30</v>
      </c>
      <c r="C39" s="334">
        <v>2027</v>
      </c>
      <c r="D39" s="334">
        <v>27979660.539999999</v>
      </c>
      <c r="E39" s="334">
        <v>2340</v>
      </c>
      <c r="F39" s="334">
        <v>6790875.4170000004</v>
      </c>
    </row>
    <row r="40" spans="1:6">
      <c r="A40" s="348" t="s">
        <v>29</v>
      </c>
      <c r="B40" s="348" t="s">
        <v>28</v>
      </c>
      <c r="C40" s="334">
        <v>0</v>
      </c>
      <c r="D40" s="334">
        <v>0</v>
      </c>
      <c r="E40" s="334">
        <v>0</v>
      </c>
      <c r="F40" s="334">
        <v>0</v>
      </c>
    </row>
    <row r="41" spans="1:6">
      <c r="A41" s="348" t="s">
        <v>31</v>
      </c>
      <c r="B41" s="348" t="s">
        <v>32</v>
      </c>
      <c r="C41" s="334">
        <v>9</v>
      </c>
      <c r="D41" s="334">
        <v>231000.264</v>
      </c>
      <c r="E41" s="334">
        <v>22</v>
      </c>
      <c r="F41" s="334">
        <v>239725.56299999999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616386.22600000002</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620338.90599999996</v>
      </c>
      <c r="E47" s="334">
        <v>0</v>
      </c>
      <c r="F47" s="334">
        <v>0</v>
      </c>
    </row>
    <row r="48" spans="1:6">
      <c r="A48" s="348" t="s">
        <v>31</v>
      </c>
      <c r="B48" s="348" t="s">
        <v>28</v>
      </c>
      <c r="C48" s="334">
        <v>19</v>
      </c>
      <c r="D48" s="334">
        <v>69412192.629999995</v>
      </c>
      <c r="E48" s="334">
        <v>36</v>
      </c>
      <c r="F48" s="334">
        <v>24447704.760000002</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0</v>
      </c>
      <c r="F51" s="334">
        <v>0</v>
      </c>
    </row>
    <row r="52" spans="1:6">
      <c r="A52" s="348" t="s">
        <v>41</v>
      </c>
      <c r="B52" s="348" t="s">
        <v>28</v>
      </c>
      <c r="C52" s="334">
        <v>0</v>
      </c>
      <c r="D52" s="334">
        <v>0</v>
      </c>
      <c r="E52" s="334">
        <v>2</v>
      </c>
      <c r="F52" s="334">
        <v>851.952</v>
      </c>
    </row>
    <row r="53" spans="1:6">
      <c r="A53" s="348" t="s">
        <v>43</v>
      </c>
      <c r="B53" s="348" t="s">
        <v>44</v>
      </c>
      <c r="C53" s="334">
        <v>47</v>
      </c>
      <c r="D53" s="334">
        <v>1212599.923</v>
      </c>
      <c r="E53" s="334">
        <v>110</v>
      </c>
      <c r="F53" s="334">
        <v>329599.11900000001</v>
      </c>
    </row>
    <row r="54" spans="1:6">
      <c r="A54" s="348" t="s">
        <v>45</v>
      </c>
      <c r="B54" s="348" t="s">
        <v>46</v>
      </c>
      <c r="C54" s="334">
        <v>0</v>
      </c>
      <c r="D54" s="334">
        <v>0</v>
      </c>
      <c r="E54" s="334">
        <v>1</v>
      </c>
      <c r="F54" s="334">
        <v>269636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v>
      </c>
      <c r="D57" s="334">
        <v>76752.520999999993</v>
      </c>
      <c r="E57" s="334">
        <v>11</v>
      </c>
      <c r="F57" s="334">
        <v>71641.459000000003</v>
      </c>
    </row>
    <row r="58" spans="1:6">
      <c r="A58" s="348" t="s">
        <v>48</v>
      </c>
      <c r="B58" s="348" t="s">
        <v>50</v>
      </c>
      <c r="C58" s="334">
        <v>3</v>
      </c>
      <c r="D58" s="334">
        <v>115816.913</v>
      </c>
      <c r="E58" s="334">
        <v>4</v>
      </c>
      <c r="F58" s="334">
        <v>19971.255000000001</v>
      </c>
    </row>
    <row r="59" spans="1:6">
      <c r="A59" s="348" t="s">
        <v>48</v>
      </c>
      <c r="B59" s="348" t="s">
        <v>51</v>
      </c>
      <c r="C59" s="334">
        <v>28</v>
      </c>
      <c r="D59" s="334">
        <v>6587901.443</v>
      </c>
      <c r="E59" s="334">
        <v>86</v>
      </c>
      <c r="F59" s="334">
        <v>8650332.6559999995</v>
      </c>
    </row>
    <row r="60" spans="1:6">
      <c r="A60" s="348" t="s">
        <v>48</v>
      </c>
      <c r="B60" s="348" t="s">
        <v>52</v>
      </c>
      <c r="C60" s="334">
        <v>17</v>
      </c>
      <c r="D60" s="334">
        <v>1525743.585</v>
      </c>
      <c r="E60" s="334">
        <v>25</v>
      </c>
      <c r="F60" s="334">
        <v>1754248.4979999999</v>
      </c>
    </row>
    <row r="61" spans="1:6">
      <c r="A61" s="348" t="s">
        <v>48</v>
      </c>
      <c r="B61" s="348" t="s">
        <v>53</v>
      </c>
      <c r="C61" s="334">
        <v>64</v>
      </c>
      <c r="D61" s="334">
        <v>3213422.67</v>
      </c>
      <c r="E61" s="334">
        <v>171</v>
      </c>
      <c r="F61" s="334">
        <v>3093626.557</v>
      </c>
    </row>
    <row r="62" spans="1:6">
      <c r="A62" s="348" t="s">
        <v>48</v>
      </c>
      <c r="B62" s="348" t="s">
        <v>54</v>
      </c>
      <c r="C62" s="334">
        <v>0</v>
      </c>
      <c r="D62" s="334">
        <v>0</v>
      </c>
      <c r="E62" s="334">
        <v>0</v>
      </c>
      <c r="F62" s="334">
        <v>0</v>
      </c>
    </row>
    <row r="63" spans="1:6">
      <c r="A63" s="348" t="s">
        <v>48</v>
      </c>
      <c r="B63" s="348" t="s">
        <v>28</v>
      </c>
      <c r="C63" s="334">
        <v>73</v>
      </c>
      <c r="D63" s="334">
        <v>8221622.2470000004</v>
      </c>
      <c r="E63" s="334">
        <v>84</v>
      </c>
      <c r="F63" s="334">
        <v>4640802.1440000003</v>
      </c>
    </row>
    <row r="64" spans="1:6">
      <c r="A64" s="348" t="s">
        <v>55</v>
      </c>
      <c r="B64" s="348" t="s">
        <v>56</v>
      </c>
      <c r="C64" s="334">
        <v>0</v>
      </c>
      <c r="D64" s="334">
        <v>0</v>
      </c>
      <c r="E64" s="334">
        <v>0</v>
      </c>
      <c r="F64" s="334">
        <v>0</v>
      </c>
    </row>
    <row r="65" spans="1:6">
      <c r="A65" s="348" t="s">
        <v>55</v>
      </c>
      <c r="B65" s="348" t="s">
        <v>28</v>
      </c>
      <c r="C65" s="334">
        <v>1</v>
      </c>
      <c r="D65" s="334">
        <v>19875.797999999999</v>
      </c>
      <c r="E65" s="334">
        <v>4</v>
      </c>
      <c r="F65" s="334">
        <v>10788.21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503653.26899999997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18866281</v>
      </c>
      <c r="E73" s="476"/>
    </row>
    <row r="74" spans="1:6">
      <c r="A74" s="348" t="s">
        <v>63</v>
      </c>
      <c r="B74" s="348" t="s">
        <v>651</v>
      </c>
      <c r="C74" s="1307" t="s">
        <v>653</v>
      </c>
      <c r="D74" s="476">
        <v>556397.5</v>
      </c>
      <c r="E74" s="476"/>
    </row>
    <row r="75" spans="1:6">
      <c r="A75" s="348" t="s">
        <v>64</v>
      </c>
      <c r="B75" s="348" t="s">
        <v>650</v>
      </c>
      <c r="C75" s="1307" t="s">
        <v>654</v>
      </c>
      <c r="D75" s="476">
        <v>17961299</v>
      </c>
      <c r="E75" s="476"/>
    </row>
    <row r="76" spans="1:6">
      <c r="A76" s="348" t="s">
        <v>64</v>
      </c>
      <c r="B76" s="348" t="s">
        <v>651</v>
      </c>
      <c r="C76" s="1307" t="s">
        <v>655</v>
      </c>
      <c r="D76" s="476">
        <v>92770.5</v>
      </c>
      <c r="E76" s="476"/>
    </row>
    <row r="77" spans="1:6">
      <c r="A77" s="348" t="s">
        <v>65</v>
      </c>
      <c r="B77" s="348" t="s">
        <v>650</v>
      </c>
      <c r="C77" s="1307" t="s">
        <v>656</v>
      </c>
      <c r="D77" s="476">
        <v>51817575</v>
      </c>
      <c r="E77" s="476"/>
    </row>
    <row r="78" spans="1:6">
      <c r="A78" s="341" t="s">
        <v>65</v>
      </c>
      <c r="B78" s="341" t="s">
        <v>651</v>
      </c>
      <c r="C78" s="341" t="s">
        <v>657</v>
      </c>
      <c r="D78" s="1308">
        <v>3946316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363635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173.57060320532511</v>
      </c>
    </row>
    <row r="90" spans="1:6">
      <c r="A90" s="348" t="s">
        <v>543</v>
      </c>
      <c r="B90" s="1309">
        <v>0</v>
      </c>
    </row>
    <row r="91" spans="1:6">
      <c r="A91" s="348" t="s">
        <v>67</v>
      </c>
      <c r="B91" s="334">
        <v>111.17965957829695</v>
      </c>
    </row>
    <row r="92" spans="1:6">
      <c r="A92" s="341" t="s">
        <v>68</v>
      </c>
      <c r="B92" s="342">
        <v>731.8413936051918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1469</v>
      </c>
    </row>
    <row r="98" spans="1:6">
      <c r="A98" s="348" t="s">
        <v>71</v>
      </c>
      <c r="B98" s="334">
        <v>1</v>
      </c>
    </row>
    <row r="99" spans="1:6">
      <c r="A99" s="348" t="s">
        <v>72</v>
      </c>
      <c r="B99" s="334">
        <v>6</v>
      </c>
    </row>
    <row r="100" spans="1:6">
      <c r="A100" s="348" t="s">
        <v>73</v>
      </c>
      <c r="B100" s="334">
        <v>75</v>
      </c>
    </row>
    <row r="101" spans="1:6">
      <c r="A101" s="348" t="s">
        <v>74</v>
      </c>
      <c r="B101" s="334">
        <v>7</v>
      </c>
    </row>
    <row r="102" spans="1:6">
      <c r="A102" s="348" t="s">
        <v>75</v>
      </c>
      <c r="B102" s="334">
        <v>25</v>
      </c>
    </row>
    <row r="103" spans="1:6">
      <c r="A103" s="348" t="s">
        <v>76</v>
      </c>
      <c r="B103" s="334">
        <v>18</v>
      </c>
    </row>
    <row r="104" spans="1:6">
      <c r="A104" s="348" t="s">
        <v>77</v>
      </c>
      <c r="B104" s="334">
        <v>268</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v>
      </c>
      <c r="C123" s="334">
        <v>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v>
      </c>
    </row>
    <row r="130" spans="1:6">
      <c r="A130" s="348" t="s">
        <v>294</v>
      </c>
      <c r="B130" s="334">
        <v>0</v>
      </c>
    </row>
    <row r="131" spans="1:6">
      <c r="A131" s="348" t="s">
        <v>295</v>
      </c>
      <c r="B131" s="334">
        <v>0</v>
      </c>
    </row>
    <row r="132" spans="1:6">
      <c r="A132" s="341" t="s">
        <v>296</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50468.334283474134</v>
      </c>
      <c r="C3" s="43" t="s">
        <v>169</v>
      </c>
      <c r="D3" s="43"/>
      <c r="E3" s="154"/>
      <c r="F3" s="43"/>
      <c r="G3" s="43"/>
      <c r="H3" s="43"/>
      <c r="I3" s="43"/>
      <c r="J3" s="43"/>
      <c r="K3" s="96"/>
    </row>
    <row r="4" spans="1:11">
      <c r="A4" s="383" t="s">
        <v>170</v>
      </c>
      <c r="B4" s="49">
        <f>IF(ISERROR('SEAP template'!B78+'SEAP template'!C78),0,'SEAP template'!B78+'SEAP template'!C78)</f>
        <v>1016.5916563888139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0.2165483619728758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269.63600000000002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269.63600000000002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0.2165483619728758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58.389234128918346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6790.8754170000002</v>
      </c>
      <c r="C5" s="17">
        <f>IF(ISERROR('Eigen informatie GS &amp; warmtenet'!B59),0,'Eigen informatie GS &amp; warmtenet'!B59)</f>
        <v>0</v>
      </c>
      <c r="D5" s="30">
        <f>(SUM(HH_hh_gas_kWh,HH_rest_gas_kWh)/1000)*0.902</f>
        <v>25237.653807080002</v>
      </c>
      <c r="E5" s="17">
        <f>B46*B57</f>
        <v>558.23257875704076</v>
      </c>
      <c r="F5" s="17">
        <f>B51*B62</f>
        <v>0</v>
      </c>
      <c r="G5" s="18"/>
      <c r="H5" s="17"/>
      <c r="I5" s="17"/>
      <c r="J5" s="17">
        <f>B50*B61+C50*C61</f>
        <v>0</v>
      </c>
      <c r="K5" s="17"/>
      <c r="L5" s="17"/>
      <c r="M5" s="17"/>
      <c r="N5" s="17">
        <f>B48*B59+C48*C59</f>
        <v>1127.0483302834214</v>
      </c>
      <c r="O5" s="17">
        <f>B69*B70*B71</f>
        <v>7.9358328775481271</v>
      </c>
      <c r="P5" s="17">
        <f>B77*B78*B79/1000-B77*B78*B79/1000/B80</f>
        <v>10.533959307685024</v>
      </c>
    </row>
    <row r="6" spans="1:16">
      <c r="A6" s="16" t="s">
        <v>615</v>
      </c>
      <c r="B6" s="809">
        <f>kWh_PV_kleiner_dan_10kW</f>
        <v>111.17965957829695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6902.0550765782973</v>
      </c>
      <c r="C8" s="21">
        <f>C5</f>
        <v>0</v>
      </c>
      <c r="D8" s="21">
        <f>D5</f>
        <v>25237.653807080002</v>
      </c>
      <c r="E8" s="21">
        <f>E5</f>
        <v>558.23257875704076</v>
      </c>
      <c r="F8" s="21">
        <f>F5</f>
        <v>0</v>
      </c>
      <c r="G8" s="21"/>
      <c r="H8" s="21"/>
      <c r="I8" s="21"/>
      <c r="J8" s="21">
        <f>J5</f>
        <v>0</v>
      </c>
      <c r="K8" s="21"/>
      <c r="L8" s="21">
        <f>L5</f>
        <v>0</v>
      </c>
      <c r="M8" s="21">
        <f>M5</f>
        <v>0</v>
      </c>
      <c r="N8" s="21">
        <f>N5</f>
        <v>1127.0483302834214</v>
      </c>
      <c r="O8" s="21">
        <f>O5</f>
        <v>7.9358328775481271</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0.2165483619728758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1494.6287210796022</v>
      </c>
      <c r="C12" s="23">
        <f ca="1">C10*C8</f>
        <v>0</v>
      </c>
      <c r="D12" s="23">
        <f>D8*D10</f>
        <v>5098.0060690301607</v>
      </c>
      <c r="E12" s="23">
        <f>E10*E8</f>
        <v>126.71879537784825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1469</v>
      </c>
      <c r="C18" s="166" t="s">
        <v>110</v>
      </c>
      <c r="D18" s="228"/>
      <c r="E18" s="15"/>
    </row>
    <row r="19" spans="1:7">
      <c r="A19" s="171" t="s">
        <v>71</v>
      </c>
      <c r="B19" s="37">
        <f>aantalw2001_ander</f>
        <v>1</v>
      </c>
      <c r="C19" s="166" t="s">
        <v>110</v>
      </c>
      <c r="D19" s="229"/>
      <c r="E19" s="15"/>
    </row>
    <row r="20" spans="1:7">
      <c r="A20" s="171" t="s">
        <v>72</v>
      </c>
      <c r="B20" s="37">
        <f>aantalw2001_propaan</f>
        <v>6</v>
      </c>
      <c r="C20" s="167">
        <f>IF(ISERROR(B20/SUM($B$20,$B$21,$B$22)*100),0,B20/SUM($B$20,$B$21,$B$22)*100)</f>
        <v>6.8181818181818175</v>
      </c>
      <c r="D20" s="229"/>
      <c r="E20" s="15"/>
    </row>
    <row r="21" spans="1:7">
      <c r="A21" s="171" t="s">
        <v>73</v>
      </c>
      <c r="B21" s="37">
        <f>aantalw2001_elektriciteit</f>
        <v>75</v>
      </c>
      <c r="C21" s="167">
        <f>IF(ISERROR(B21/SUM($B$20,$B$21,$B$22)*100),0,B21/SUM($B$20,$B$21,$B$22)*100)</f>
        <v>85.227272727272734</v>
      </c>
      <c r="D21" s="229"/>
      <c r="E21" s="15"/>
    </row>
    <row r="22" spans="1:7">
      <c r="A22" s="171" t="s">
        <v>74</v>
      </c>
      <c r="B22" s="37">
        <f>aantalw2001_hout</f>
        <v>7</v>
      </c>
      <c r="C22" s="167">
        <f>IF(ISERROR(B22/SUM($B$20,$B$21,$B$22)*100),0,B22/SUM($B$20,$B$21,$B$22)*100)</f>
        <v>7.9545454545454541</v>
      </c>
      <c r="D22" s="229"/>
      <c r="E22" s="15"/>
    </row>
    <row r="23" spans="1:7">
      <c r="A23" s="171" t="s">
        <v>75</v>
      </c>
      <c r="B23" s="37">
        <f>aantalw2001_niet_gespec</f>
        <v>25</v>
      </c>
      <c r="C23" s="166" t="s">
        <v>110</v>
      </c>
      <c r="D23" s="228"/>
      <c r="E23" s="15"/>
    </row>
    <row r="24" spans="1:7">
      <c r="A24" s="171" t="s">
        <v>76</v>
      </c>
      <c r="B24" s="37">
        <f>aantalw2001_steenkool</f>
        <v>18</v>
      </c>
      <c r="C24" s="166" t="s">
        <v>110</v>
      </c>
      <c r="D24" s="229"/>
      <c r="E24" s="15"/>
    </row>
    <row r="25" spans="1:7">
      <c r="A25" s="171" t="s">
        <v>77</v>
      </c>
      <c r="B25" s="37">
        <f>aantalw2001_stookolie</f>
        <v>268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2237</v>
      </c>
      <c r="C28" s="36"/>
      <c r="D28" s="228"/>
    </row>
    <row r="29" spans="1:7" s="15" customFormat="1">
      <c r="A29" s="230" t="s">
        <v>837</v>
      </c>
      <c r="B29" s="37">
        <f>SUM(HH_hh_gas_aantal,HH_rest_gas_aantal)</f>
        <v>2027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2027</v>
      </c>
      <c r="C32" s="167">
        <f>IF(ISERROR(B32/SUM($B$32,$B$34,$B$35,$B$36,$B$38,$B$39)*100),0,B32/SUM($B$32,$B$34,$B$35,$B$36,$B$38,$B$39)*100)</f>
        <v>90.65295169946333</v>
      </c>
      <c r="D32" s="233"/>
      <c r="G32" s="15"/>
    </row>
    <row r="33" spans="1:7">
      <c r="A33" s="171" t="s">
        <v>71</v>
      </c>
      <c r="B33" s="34" t="s">
        <v>110</v>
      </c>
      <c r="C33" s="167"/>
      <c r="D33" s="233"/>
      <c r="G33" s="15"/>
    </row>
    <row r="34" spans="1:7">
      <c r="A34" s="171" t="s">
        <v>72</v>
      </c>
      <c r="B34" s="33">
        <f>IF((($B$28-$B$32-$B$39-$B$77-$B$38)*C20/100)&lt;0,0,($B$28-$B$32-$B$39-$B$77-$B$38)*C20/100)</f>
        <v>14.249999999999998</v>
      </c>
      <c r="C34" s="167">
        <f>IF(ISERROR(B34/SUM($B$32,$B$34,$B$35,$B$36,$B$38,$B$39)*100),0,B34/SUM($B$32,$B$34,$B$35,$B$36,$B$38,$B$39)*100)</f>
        <v>0.63729874776386397</v>
      </c>
      <c r="D34" s="233"/>
      <c r="G34" s="15"/>
    </row>
    <row r="35" spans="1:7">
      <c r="A35" s="171" t="s">
        <v>73</v>
      </c>
      <c r="B35" s="33">
        <f>IF((($B$28-$B$32-$B$39-$B$77-$B$38)*C21/100)&lt;0,0,($B$28-$B$32-$B$39-$B$77-$B$38)*C21/100)</f>
        <v>178.125</v>
      </c>
      <c r="C35" s="167">
        <f>IF(ISERROR(B35/SUM($B$32,$B$34,$B$35,$B$36,$B$38,$B$39)*100),0,B35/SUM($B$32,$B$34,$B$35,$B$36,$B$38,$B$39)*100)</f>
        <v>7.9662343470483012</v>
      </c>
      <c r="D35" s="233"/>
      <c r="G35" s="15"/>
    </row>
    <row r="36" spans="1:7">
      <c r="A36" s="171" t="s">
        <v>74</v>
      </c>
      <c r="B36" s="33">
        <f>IF((($B$28-$B$32-$B$39-$B$77-$B$38)*C22/100)&lt;0,0,($B$28-$B$32-$B$39-$B$77-$B$38)*C22/100)</f>
        <v>16.625</v>
      </c>
      <c r="C36" s="167">
        <f>IF(ISERROR(B36/SUM($B$32,$B$34,$B$35,$B$36,$B$38,$B$39)*100),0,B36/SUM($B$32,$B$34,$B$35,$B$36,$B$38,$B$39)*100)</f>
        <v>0.74351520572450802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2027</v>
      </c>
      <c r="C44" s="34" t="s">
        <v>110</v>
      </c>
      <c r="D44" s="174"/>
    </row>
    <row r="45" spans="1:7">
      <c r="A45" s="171" t="s">
        <v>71</v>
      </c>
      <c r="B45" s="33" t="str">
        <f t="shared" si="0"/>
        <v>-</v>
      </c>
      <c r="C45" s="34" t="s">
        <v>110</v>
      </c>
      <c r="D45" s="174"/>
    </row>
    <row r="46" spans="1:7">
      <c r="A46" s="171" t="s">
        <v>72</v>
      </c>
      <c r="B46" s="33">
        <f t="shared" si="0"/>
        <v>14.249999999999998</v>
      </c>
      <c r="C46" s="34" t="s">
        <v>110</v>
      </c>
      <c r="D46" s="174"/>
    </row>
    <row r="47" spans="1:7">
      <c r="A47" s="171" t="s">
        <v>73</v>
      </c>
      <c r="B47" s="33">
        <f t="shared" si="0"/>
        <v>178.125</v>
      </c>
      <c r="C47" s="34" t="s">
        <v>110</v>
      </c>
      <c r="D47" s="174"/>
    </row>
    <row r="48" spans="1:7">
      <c r="A48" s="171" t="s">
        <v>74</v>
      </c>
      <c r="B48" s="33">
        <f t="shared" si="0"/>
        <v>16.625</v>
      </c>
      <c r="C48" s="33">
        <f>B48*10</f>
        <v>166.25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18230.622568999999</v>
      </c>
      <c r="C5" s="17">
        <f>IF(ISERROR('Eigen informatie GS &amp; warmtenet'!B60),0,'Eigen informatie GS &amp; warmtenet'!B60)</f>
        <v>0</v>
      </c>
      <c r="D5" s="30">
        <f>SUM(D6:D12)</f>
        <v>17806.615959857998</v>
      </c>
      <c r="E5" s="17">
        <f>SUM(E6:E12)</f>
        <v>335.93133030609999</v>
      </c>
      <c r="F5" s="17">
        <f>SUM(F6:F12)</f>
        <v>1960.6590509163248</v>
      </c>
      <c r="G5" s="18"/>
      <c r="H5" s="17"/>
      <c r="I5" s="17"/>
      <c r="J5" s="17">
        <f>SUM(J6:J12)</f>
        <v>1.0110041092827192E-2</v>
      </c>
      <c r="K5" s="17"/>
      <c r="L5" s="17"/>
      <c r="M5" s="17"/>
      <c r="N5" s="17">
        <f>SUM(N6:N12)</f>
        <v>404.29268465667826</v>
      </c>
      <c r="O5" s="17">
        <f>B38*B39*B40</f>
        <v>0</v>
      </c>
      <c r="P5" s="17">
        <f>B46*B47*B48/1000-B46*B47*B48/1000/B49</f>
        <v>0</v>
      </c>
      <c r="R5" s="32"/>
    </row>
    <row r="6" spans="1:18">
      <c r="A6" s="32" t="s">
        <v>53</v>
      </c>
      <c r="B6" s="37">
        <f>B26</f>
        <v>3093.626557</v>
      </c>
      <c r="C6" s="33"/>
      <c r="D6" s="37">
        <f>IF(ISERROR(TER_kantoor_gas_kWh/1000),0,TER_kantoor_gas_kWh/1000)*0.902</f>
        <v>2898.5072483399999</v>
      </c>
      <c r="E6" s="33">
        <f>$C$26*'E Balans VL '!I12/100/3.6*1000000</f>
        <v>24.893421009360978</v>
      </c>
      <c r="F6" s="33">
        <f>$C$26*('E Balans VL '!L12+'E Balans VL '!N12)/100/3.6*1000000</f>
        <v>378.228390502715</v>
      </c>
      <c r="G6" s="34"/>
      <c r="H6" s="33"/>
      <c r="I6" s="33"/>
      <c r="J6" s="33">
        <f>$C$26*('E Balans VL '!D12+'E Balans VL '!E12)/100/3.6*1000000</f>
        <v>0</v>
      </c>
      <c r="K6" s="33"/>
      <c r="L6" s="33"/>
      <c r="M6" s="33"/>
      <c r="N6" s="33">
        <f>$C$26*'E Balans VL '!Y12/100/3.6*1000000</f>
        <v>1.6626719297685111</v>
      </c>
      <c r="O6" s="33"/>
      <c r="P6" s="33"/>
      <c r="R6" s="32"/>
    </row>
    <row r="7" spans="1:18">
      <c r="A7" s="32" t="s">
        <v>52</v>
      </c>
      <c r="B7" s="37">
        <f t="shared" ref="B7:B12" si="0">B27</f>
        <v>1754.2484979999999</v>
      </c>
      <c r="C7" s="33"/>
      <c r="D7" s="37">
        <f>IF(ISERROR(TER_horeca_gas_kWh/1000),0,TER_horeca_gas_kWh/1000)*0.902</f>
        <v>1376.2207136699999</v>
      </c>
      <c r="E7" s="33">
        <f>$C$27*'E Balans VL '!I9/100/3.6*1000000</f>
        <v>18.836321187313356</v>
      </c>
      <c r="F7" s="33">
        <f>$C$27*('E Balans VL '!L9+'E Balans VL '!N9)/100/3.6*1000000</f>
        <v>210.99355607664299</v>
      </c>
      <c r="G7" s="34"/>
      <c r="H7" s="33"/>
      <c r="I7" s="33"/>
      <c r="J7" s="33">
        <f>$C$27*('E Balans VL '!D9+'E Balans VL '!E9)/100/3.6*1000000</f>
        <v>0</v>
      </c>
      <c r="K7" s="33"/>
      <c r="L7" s="33"/>
      <c r="M7" s="33"/>
      <c r="N7" s="33">
        <f>$C$27*'E Balans VL '!Y9/100/3.6*1000000</f>
        <v>0.26299740433943036</v>
      </c>
      <c r="O7" s="33"/>
      <c r="P7" s="33"/>
      <c r="R7" s="32"/>
    </row>
    <row r="8" spans="1:18">
      <c r="A8" s="6" t="s">
        <v>51</v>
      </c>
      <c r="B8" s="37">
        <f t="shared" si="0"/>
        <v>8650.3326559999987</v>
      </c>
      <c r="C8" s="33"/>
      <c r="D8" s="37">
        <f>IF(ISERROR(TER_handel_gas_kWh/1000),0,TER_handel_gas_kWh/1000)*0.902</f>
        <v>5942.2871015860001</v>
      </c>
      <c r="E8" s="33">
        <f>$C$28*'E Balans VL '!I13/100/3.6*1000000</f>
        <v>232.14844575051711</v>
      </c>
      <c r="F8" s="33">
        <f>$C$28*('E Balans VL '!L13+'E Balans VL '!N13)/100/3.6*1000000</f>
        <v>825.50834550933405</v>
      </c>
      <c r="G8" s="34"/>
      <c r="H8" s="33"/>
      <c r="I8" s="33"/>
      <c r="J8" s="33">
        <f>$C$28*('E Balans VL '!D13+'E Balans VL '!E13)/100/3.6*1000000</f>
        <v>0</v>
      </c>
      <c r="K8" s="33"/>
      <c r="L8" s="33"/>
      <c r="M8" s="33"/>
      <c r="N8" s="33">
        <f>$C$28*'E Balans VL '!Y13/100/3.6*1000000</f>
        <v>3.4290902224552338</v>
      </c>
      <c r="O8" s="33"/>
      <c r="P8" s="33"/>
      <c r="R8" s="32"/>
    </row>
    <row r="9" spans="1:18">
      <c r="A9" s="32" t="s">
        <v>50</v>
      </c>
      <c r="B9" s="37">
        <f t="shared" si="0"/>
        <v>19.971254999999999</v>
      </c>
      <c r="C9" s="33"/>
      <c r="D9" s="37">
        <f>IF(ISERROR(TER_gezond_gas_kWh/1000),0,TER_gezond_gas_kWh/1000)*0.902</f>
        <v>104.466855526</v>
      </c>
      <c r="E9" s="33">
        <f>$C$29*'E Balans VL '!I10/100/3.6*1000000</f>
        <v>3.7432634793009609E-2</v>
      </c>
      <c r="F9" s="33">
        <f>$C$29*('E Balans VL '!L10+'E Balans VL '!N10)/100/3.6*1000000</f>
        <v>1.6418193846609375</v>
      </c>
      <c r="G9" s="34"/>
      <c r="H9" s="33"/>
      <c r="I9" s="33"/>
      <c r="J9" s="33">
        <f>$C$29*('E Balans VL '!D10+'E Balans VL '!E10)/100/3.6*1000000</f>
        <v>0</v>
      </c>
      <c r="K9" s="33"/>
      <c r="L9" s="33"/>
      <c r="M9" s="33"/>
      <c r="N9" s="33">
        <f>$C$29*'E Balans VL '!Y10/100/3.6*1000000</f>
        <v>0.15539126459726577</v>
      </c>
      <c r="O9" s="33"/>
      <c r="P9" s="33"/>
      <c r="R9" s="32"/>
    </row>
    <row r="10" spans="1:18">
      <c r="A10" s="32" t="s">
        <v>49</v>
      </c>
      <c r="B10" s="37">
        <f t="shared" si="0"/>
        <v>71.641458999999998</v>
      </c>
      <c r="C10" s="33"/>
      <c r="D10" s="37">
        <f>IF(ISERROR(TER_ander_gas_kWh/1000),0,TER_ander_gas_kWh/1000)*0.902</f>
        <v>69.230773941999985</v>
      </c>
      <c r="E10" s="33">
        <f>$C$30*'E Balans VL '!I14/100/3.6*1000000</f>
        <v>0.11043603498018748</v>
      </c>
      <c r="F10" s="33">
        <f>$C$30*('E Balans VL '!L14+'E Balans VL '!N14)/100/3.6*1000000</f>
        <v>11.122356287462113</v>
      </c>
      <c r="G10" s="34"/>
      <c r="H10" s="33"/>
      <c r="I10" s="33"/>
      <c r="J10" s="33">
        <f>$C$30*('E Balans VL '!D14+'E Balans VL '!E14)/100/3.6*1000000</f>
        <v>1.2161893213843576E-3</v>
      </c>
      <c r="K10" s="33"/>
      <c r="L10" s="33"/>
      <c r="M10" s="33"/>
      <c r="N10" s="33">
        <f>$C$30*'E Balans VL '!Y14/100/3.6*1000000</f>
        <v>47.395693182874368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4640.8021440000002</v>
      </c>
      <c r="C12" s="33"/>
      <c r="D12" s="37">
        <f>IF(ISERROR(TER_rest_gas_kWh/1000),0,TER_rest_gas_kWh/1000)*0.902</f>
        <v>7415.903266794001</v>
      </c>
      <c r="E12" s="33">
        <f>$C$32*'E Balans VL '!I8/100/3.6*1000000</f>
        <v>59.905273689135356</v>
      </c>
      <c r="F12" s="33">
        <f>$C$32*('E Balans VL '!L8+'E Balans VL '!N8)/100/3.6*1000000</f>
        <v>533.1645831555096</v>
      </c>
      <c r="G12" s="34"/>
      <c r="H12" s="33"/>
      <c r="I12" s="33"/>
      <c r="J12" s="33">
        <f>$C$32*('E Balans VL '!D8+'E Balans VL '!E8)/100/3.6*1000000</f>
        <v>8.8938517714428345E-3</v>
      </c>
      <c r="K12" s="33"/>
      <c r="L12" s="33"/>
      <c r="M12" s="33"/>
      <c r="N12" s="33">
        <f>$C$32*'E Balans VL '!Y8/100/3.6*1000000</f>
        <v>351.38684065264346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18230.622568999999</v>
      </c>
      <c r="C16" s="21">
        <f t="shared" ca="1" si="1"/>
        <v>0</v>
      </c>
      <c r="D16" s="21">
        <f t="shared" ca="1" si="1"/>
        <v>17806.615959857998</v>
      </c>
      <c r="E16" s="21">
        <f t="shared" si="1"/>
        <v>335.93133030609999</v>
      </c>
      <c r="F16" s="21">
        <f t="shared" ca="1" si="1"/>
        <v>1960.6590509163248</v>
      </c>
      <c r="G16" s="21">
        <f t="shared" si="1"/>
        <v>0</v>
      </c>
      <c r="H16" s="21">
        <f t="shared" si="1"/>
        <v>0</v>
      </c>
      <c r="I16" s="21">
        <f t="shared" si="1"/>
        <v>0</v>
      </c>
      <c r="J16" s="21">
        <f t="shared" si="1"/>
        <v>1.0110041092827192E-2</v>
      </c>
      <c r="K16" s="21">
        <f t="shared" si="1"/>
        <v>0</v>
      </c>
      <c r="L16" s="21">
        <f t="shared" ca="1" si="1"/>
        <v>0</v>
      </c>
      <c r="M16" s="21">
        <f t="shared" si="1"/>
        <v>0</v>
      </c>
      <c r="N16" s="21">
        <f t="shared" ca="1" si="1"/>
        <v>404.29268465667826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0.2165483619728758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3947.8114550626906</v>
      </c>
      <c r="C20" s="23">
        <f t="shared" ref="C20:P20" ca="1" si="2">C16*C18</f>
        <v>0</v>
      </c>
      <c r="D20" s="23">
        <f t="shared" ca="1" si="2"/>
        <v>3596.9364238913158</v>
      </c>
      <c r="E20" s="23">
        <f t="shared" si="2"/>
        <v>76.256411979484696</v>
      </c>
      <c r="F20" s="23">
        <f t="shared" ca="1" si="2"/>
        <v>523.49596659465874</v>
      </c>
      <c r="G20" s="23">
        <f t="shared" si="2"/>
        <v>0</v>
      </c>
      <c r="H20" s="23">
        <f t="shared" si="2"/>
        <v>0</v>
      </c>
      <c r="I20" s="23">
        <f t="shared" si="2"/>
        <v>0</v>
      </c>
      <c r="J20" s="23">
        <f t="shared" si="2"/>
        <v>3.5789545468608258E-3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3093.626557</v>
      </c>
      <c r="C26" s="39">
        <f>IF(ISERROR(B26*3.6/1000000/'E Balans VL '!Z12*100),0,B26*3.6/1000000/'E Balans VL '!Z12*100)</f>
        <v>6.5628457063474047E-2</v>
      </c>
      <c r="D26" s="237" t="s">
        <v>716</v>
      </c>
      <c r="F26" s="6"/>
    </row>
    <row r="27" spans="1:18">
      <c r="A27" s="231" t="s">
        <v>52</v>
      </c>
      <c r="B27" s="33">
        <f>IF(ISERROR(TER_horeca_ele_kWh/1000),0,TER_horeca_ele_kWh/1000)</f>
        <v>1754.2484979999999</v>
      </c>
      <c r="C27" s="39">
        <f>IF(ISERROR(B27*3.6/1000000/'E Balans VL '!Z9*100),0,B27*3.6/1000000/'E Balans VL '!Z9*100)</f>
        <v>0.13211045192122317</v>
      </c>
      <c r="D27" s="237" t="s">
        <v>716</v>
      </c>
      <c r="F27" s="6"/>
    </row>
    <row r="28" spans="1:18">
      <c r="A28" s="171" t="s">
        <v>51</v>
      </c>
      <c r="B28" s="33">
        <f>IF(ISERROR(TER_handel_ele_kWh/1000),0,TER_handel_ele_kWh/1000)</f>
        <v>8650.3326559999987</v>
      </c>
      <c r="C28" s="39">
        <f>IF(ISERROR(B28*3.6/1000000/'E Balans VL '!Z13*100),0,B28*3.6/1000000/'E Balans VL '!Z13*100)</f>
        <v>0.25108850648367087</v>
      </c>
      <c r="D28" s="237" t="s">
        <v>716</v>
      </c>
      <c r="F28" s="6"/>
    </row>
    <row r="29" spans="1:18">
      <c r="A29" s="231" t="s">
        <v>50</v>
      </c>
      <c r="B29" s="33">
        <f>IF(ISERROR(TER_gezond_ele_kWh/1000),0,TER_gezond_ele_kWh/1000)</f>
        <v>19.971254999999999</v>
      </c>
      <c r="C29" s="39">
        <f>IF(ISERROR(B29*3.6/1000000/'E Balans VL '!Z10*100),0,B29*3.6/1000000/'E Balans VL '!Z10*100)</f>
        <v>2.0141248834416197E-3</v>
      </c>
      <c r="D29" s="237" t="s">
        <v>716</v>
      </c>
      <c r="F29" s="6"/>
    </row>
    <row r="30" spans="1:18">
      <c r="A30" s="231" t="s">
        <v>49</v>
      </c>
      <c r="B30" s="33">
        <f>IF(ISERROR(TER_ander_ele_kWh/1000),0,TER_ander_ele_kWh/1000)</f>
        <v>71.641458999999998</v>
      </c>
      <c r="C30" s="39">
        <f>IF(ISERROR(B30*3.6/1000000/'E Balans VL '!Z14*100),0,B30*3.6/1000000/'E Balans VL '!Z14*100)</f>
        <v>5.1985652191562813E-3</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4640.8021440000002</v>
      </c>
      <c r="C32" s="39">
        <f>IF(ISERROR(B32*3.6/1000000/'E Balans VL '!Z8*100),0,B32*3.6/1000000/'E Balans VL '!Z8*100)</f>
        <v>3.8016505876507588E-2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24687.430323</v>
      </c>
      <c r="C5" s="17">
        <f>IF(ISERROR('Eigen informatie GS &amp; warmtenet'!B61),0,'Eigen informatie GS &amp; warmtenet'!B61)</f>
        <v>0</v>
      </c>
      <c r="D5" s="30">
        <f>SUM(D6:D15)</f>
        <v>63933.686059451989</v>
      </c>
      <c r="E5" s="17">
        <f>SUM(E6:E15)</f>
        <v>1221.8438755563543</v>
      </c>
      <c r="F5" s="17">
        <f>SUM(F6:F15)</f>
        <v>4545.2304409205344</v>
      </c>
      <c r="G5" s="18"/>
      <c r="H5" s="17"/>
      <c r="I5" s="17"/>
      <c r="J5" s="17">
        <f>SUM(J6:J15)</f>
        <v>201.96770870550318</v>
      </c>
      <c r="K5" s="17"/>
      <c r="L5" s="17"/>
      <c r="M5" s="17"/>
      <c r="N5" s="17">
        <f>SUM(N6:N15)</f>
        <v>968.87743383252837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555.98037585200007</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239.72556299999999</v>
      </c>
      <c r="C9" s="33"/>
      <c r="D9" s="37">
        <f>IF( ISERROR(IND_andere_gas_kWh/1000),0,IND_andere_gas_kWh/1000)*0.902</f>
        <v>208.362238128</v>
      </c>
      <c r="E9" s="33">
        <f>C31*'E Balans VL '!I19/100/3.6*1000000</f>
        <v>66.431159039673545</v>
      </c>
      <c r="F9" s="33">
        <f>C31*'E Balans VL '!L19/100/3.6*1000000+C31*'E Balans VL '!N19/100/3.6*1000000</f>
        <v>198.68506466533421</v>
      </c>
      <c r="G9" s="34"/>
      <c r="H9" s="33"/>
      <c r="I9" s="33"/>
      <c r="J9" s="40">
        <f>C31*'E Balans VL '!D19/100/3.6*1000000+C31*'E Balans VL '!E19/100/3.6*1000000</f>
        <v>0</v>
      </c>
      <c r="K9" s="33"/>
      <c r="L9" s="33"/>
      <c r="M9" s="33"/>
      <c r="N9" s="33">
        <f>C31*'E Balans VL '!Y19/100/3.6*1000000</f>
        <v>17.401143712733848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559.54569321199995</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24447.704760000001</v>
      </c>
      <c r="C15" s="33"/>
      <c r="D15" s="37">
        <f>IF( ISERROR(IND_rest_gas_kWh/1000),0,IND_rest_gas_kWh/1000)*0.902</f>
        <v>62609.79775225999</v>
      </c>
      <c r="E15" s="33">
        <f>C37*'E Balans VL '!I15/100/3.6*1000000</f>
        <v>1155.4127165166808</v>
      </c>
      <c r="F15" s="33">
        <f>C37*'E Balans VL '!L15/100/3.6*1000000+C37*'E Balans VL '!N15/100/3.6*1000000</f>
        <v>4346.5453762552006</v>
      </c>
      <c r="G15" s="34"/>
      <c r="H15" s="33"/>
      <c r="I15" s="33"/>
      <c r="J15" s="40">
        <f>C37*'E Balans VL '!D15/100/3.6*1000000+C37*'E Balans VL '!E15/100/3.6*1000000</f>
        <v>201.96770870550318</v>
      </c>
      <c r="K15" s="33"/>
      <c r="L15" s="33"/>
      <c r="M15" s="33"/>
      <c r="N15" s="33">
        <f>C37*'E Balans VL '!Y15/100/3.6*1000000</f>
        <v>951.4762901197945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24687.430323</v>
      </c>
      <c r="C18" s="21">
        <f>C5+C16</f>
        <v>0</v>
      </c>
      <c r="D18" s="21">
        <f>MAX((D5+D16),0)</f>
        <v>63933.686059451989</v>
      </c>
      <c r="E18" s="21">
        <f>MAX((E5+E16),0)</f>
        <v>1221.8438755563543</v>
      </c>
      <c r="F18" s="21">
        <f>MAX((F5+F16),0)</f>
        <v>4545.2304409205344</v>
      </c>
      <c r="G18" s="21"/>
      <c r="H18" s="21"/>
      <c r="I18" s="21"/>
      <c r="J18" s="21">
        <f>MAX((J5+J16),0)</f>
        <v>201.96770870550318</v>
      </c>
      <c r="K18" s="21"/>
      <c r="L18" s="21">
        <f>MAX((L5+L16),0)</f>
        <v>0</v>
      </c>
      <c r="M18" s="21"/>
      <c r="N18" s="21">
        <f>MAX((N5+N16),0)</f>
        <v>968.87743383252837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0.2165483619728758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5346.0225977651544</v>
      </c>
      <c r="C22" s="23">
        <f ca="1">C18*C20</f>
        <v>0</v>
      </c>
      <c r="D22" s="23">
        <f>D18*D20</f>
        <v>12914.604584009303</v>
      </c>
      <c r="E22" s="23">
        <f>E18*E20</f>
        <v>277.35855975129243</v>
      </c>
      <c r="F22" s="23">
        <f>F18*F20</f>
        <v>1213.5765277257829</v>
      </c>
      <c r="G22" s="23"/>
      <c r="H22" s="23"/>
      <c r="I22" s="23"/>
      <c r="J22" s="23">
        <f>J18*J20</f>
        <v>71.496568881748118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239.72556299999999</v>
      </c>
      <c r="C31" s="39">
        <f>IF(ISERROR(B31*3.6/1000000/'E Balans VL '!Z19*100),0,B31*3.6/1000000/'E Balans VL '!Z19*100)</f>
        <v>1.2057418778575295E-2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24447.704760000001</v>
      </c>
      <c r="C37" s="39">
        <f>IF(ISERROR(B37*3.6/1000000/'E Balans VL '!Z15*100),0,B37*3.6/1000000/'E Balans VL '!Z15*100)</f>
        <v>0.19075895258403666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0.85195200000000004</v>
      </c>
      <c r="C5" s="17">
        <f>'Eigen informatie GS &amp; warmtenet'!B62</f>
        <v>0</v>
      </c>
      <c r="D5" s="30">
        <f>IF(ISERROR(SUM(LB_lb_gas_kWh,LB_rest_gas_kWh)/1000),0,SUM(LB_lb_gas_kWh,LB_rest_gas_kWh)/1000)*0.902</f>
        <v>0</v>
      </c>
      <c r="E5" s="17">
        <f>B17*'E Balans VL '!I25/3.6*1000000/100</f>
        <v>2.6589140980889266E-2</v>
      </c>
      <c r="F5" s="17">
        <f>B17*('E Balans VL '!L25/3.6*1000000+'E Balans VL '!N25/3.6*1000000)/100</f>
        <v>3.0108927446966542</v>
      </c>
      <c r="G5" s="18"/>
      <c r="H5" s="17"/>
      <c r="I5" s="17"/>
      <c r="J5" s="17">
        <f>('E Balans VL '!D25+'E Balans VL '!E25)/3.6*1000000*landbouw!B17/100</f>
        <v>0.23471868423534059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0.85195200000000004</v>
      </c>
      <c r="C8" s="21">
        <f>C5+C6</f>
        <v>0</v>
      </c>
      <c r="D8" s="21">
        <f>MAX((D5+D6),0)</f>
        <v>0</v>
      </c>
      <c r="E8" s="21">
        <f>MAX((E5+E6),0)</f>
        <v>2.6589140980889266E-2</v>
      </c>
      <c r="F8" s="21">
        <f>MAX((F5+F6),0)</f>
        <v>3.0108927446966542</v>
      </c>
      <c r="G8" s="21"/>
      <c r="H8" s="21"/>
      <c r="I8" s="21"/>
      <c r="J8" s="21">
        <f>MAX((J5+J6),0)</f>
        <v>0.23471868423534059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0.2165483619728758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0.18448881007951551</v>
      </c>
      <c r="C12" s="23">
        <f ca="1">C8*C10</f>
        <v>0</v>
      </c>
      <c r="D12" s="23">
        <f>D8*D10</f>
        <v>0</v>
      </c>
      <c r="E12" s="23">
        <f>E8*E10</f>
        <v>6.0357350026618633E-3</v>
      </c>
      <c r="F12" s="23">
        <f>F8*F10</f>
        <v>0.80390836283400668</v>
      </c>
      <c r="G12" s="23"/>
      <c r="H12" s="23"/>
      <c r="I12" s="23"/>
      <c r="J12" s="23">
        <f>J8*J10</f>
        <v>8.3090414219310571E-2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1.2664877217043942E-4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1.1680715430374434E-2</v>
      </c>
      <c r="C29" s="247">
        <f>B29*'GWP N2O_CH4'!B4</f>
        <v>3.6210217834160745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2.5613705873284936E-6</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1.7330127802499999E-4</v>
      </c>
      <c r="C5" s="463" t="s">
        <v>210</v>
      </c>
      <c r="D5" s="448">
        <f>SUM(D6:D11)</f>
        <v>7.1234216120272796E-4</v>
      </c>
      <c r="E5" s="448">
        <f>SUM(E6:E11)</f>
        <v>6.1978231830874995E-4</v>
      </c>
      <c r="F5" s="461" t="s">
        <v>210</v>
      </c>
      <c r="G5" s="448">
        <f>SUM(G6:G11)</f>
        <v>0.19650450929818619</v>
      </c>
      <c r="H5" s="448">
        <f>SUM(H6:H11)</f>
        <v>5.4207850565433827E-2</v>
      </c>
      <c r="I5" s="463" t="s">
        <v>210</v>
      </c>
      <c r="J5" s="463" t="s">
        <v>210</v>
      </c>
      <c r="K5" s="463" t="s">
        <v>210</v>
      </c>
      <c r="L5" s="463" t="s">
        <v>210</v>
      </c>
      <c r="M5" s="448">
        <f>SUM(M6:M11)</f>
        <v>1.4893883769058777E-2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3.6883579354999995E-5</v>
      </c>
      <c r="C6" s="449"/>
      <c r="D6" s="917">
        <f>vkm_2011_GW_PW*SUMIFS(TableVerdeelsleutelVkm[CNG],TableVerdeelsleutelVkm[Voertuigtype],"Lichte voertuigen")*SUMIFS(TableECFTransport[EnergieConsumptieFactor (PJ per km)],TableECFTransport[Index],CONCATENATE($A6,"_CNG_CNG"))</f>
        <v>1.2825048788890801E-4</v>
      </c>
      <c r="E6" s="917">
        <f>vkm_2011_GW_PW*SUMIFS(TableVerdeelsleutelVkm[LPG],TableVerdeelsleutelVkm[Voertuigtype],"Lichte voertuigen")*SUMIFS(TableECFTransport[EnergieConsumptieFactor (PJ per km)],TableECFTransport[Index],CONCATENATE($A6,"_LPG_LPG"))</f>
        <v>1.0104025452359999E-4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2.7504332120899953E-2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9.6246894475081699E-3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2.2186924075377544E-3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5.2636044317022233E-3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1.3260715752511521E-6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3.0351587617736511E-4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3.5114339544999996E-5</v>
      </c>
      <c r="C8" s="449"/>
      <c r="D8" s="451">
        <f>vkm_2011_NGW_PW*SUMIFS(TableVerdeelsleutelVkm[CNG],TableVerdeelsleutelVkm[Voertuigtype],"Lichte voertuigen")*SUMIFS(TableECFTransport[EnergieConsumptieFactor (PJ per km)],TableECFTransport[Index],CONCATENATE($A8,"_CNG_CNG"))</f>
        <v>2.1608304839352001E-4</v>
      </c>
      <c r="E8" s="451">
        <f>vkm_2011_NGW_PW*SUMIFS(TableVerdeelsleutelVkm[LPG],TableVerdeelsleutelVkm[Voertuigtype],"Lichte voertuigen")*SUMIFS(TableECFTransport[EnergieConsumptieFactor (PJ per km)],TableECFTransport[Index],CONCATENATE($A8,"_LPG_LPG"))</f>
        <v>1.57820994955775E-4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3.9866229322145695E-2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1.5801168220688062E-2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3.3376342960765261E-3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1.122773432960394E-3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2.6689653796774083E-7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6.4741573587966399E-5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1.0130335912499999E-4</v>
      </c>
      <c r="C10" s="449"/>
      <c r="D10" s="451">
        <f>vkm_2011_SW_PW*SUMIFS(TableVerdeelsleutelVkm[CNG],TableVerdeelsleutelVkm[Voertuigtype],"Lichte voertuigen")*SUMIFS(TableECFTransport[EnergieConsumptieFactor (PJ per km)],TableECFTransport[Index],CONCATENATE($A10,"_CNG_CNG"))</f>
        <v>3.6800862492029999E-4</v>
      </c>
      <c r="E10" s="451">
        <f>vkm_2011_SW_PW*SUMIFS(TableVerdeelsleutelVkm[LPG],TableVerdeelsleutelVkm[Voertuigtype],"Lichte voertuigen")*SUMIFS(TableECFTransport[EnergieConsumptieFactor (PJ per km)],TableECFTransport[Index],CONCATENATE($A10,"_LPG_LPG"))</f>
        <v>3.6092106882937498E-4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8.7272640742309684E-2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2.8770720146206477E-2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6.923655517956975E-3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3.5474929248168266E-2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9.6797829178951502E-6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2.0456440977221894E-3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48.139243895833339</v>
      </c>
      <c r="C14" s="21"/>
      <c r="D14" s="21">
        <f t="shared" ref="D14:M14" si="0">((D5)*10^9/3600)+D12</f>
        <v>197.87282255631331</v>
      </c>
      <c r="E14" s="21">
        <f t="shared" si="0"/>
        <v>172.16175508576387</v>
      </c>
      <c r="F14" s="21"/>
      <c r="G14" s="21">
        <f t="shared" si="0"/>
        <v>54584.585916162825</v>
      </c>
      <c r="H14" s="21">
        <f t="shared" si="0"/>
        <v>15057.736268176064</v>
      </c>
      <c r="I14" s="21"/>
      <c r="J14" s="21"/>
      <c r="K14" s="21"/>
      <c r="L14" s="21"/>
      <c r="M14" s="21">
        <f t="shared" si="0"/>
        <v>4137.1899358496603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0.2165483619728758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10.424474412255469</v>
      </c>
      <c r="C18" s="23"/>
      <c r="D18" s="23">
        <f t="shared" ref="D18:M18" si="1">D14*D16</f>
        <v>39.970310156375291</v>
      </c>
      <c r="E18" s="23">
        <f t="shared" si="1"/>
        <v>39.080718404468399</v>
      </c>
      <c r="F18" s="23"/>
      <c r="G18" s="23">
        <f t="shared" si="1"/>
        <v>14574.084439615475</v>
      </c>
      <c r="H18" s="23">
        <f t="shared" si="1"/>
        <v>3749.37633077584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4.4640059320155715E-3</v>
      </c>
      <c r="H50" s="321">
        <f t="shared" si="2"/>
        <v>0</v>
      </c>
      <c r="I50" s="321">
        <f t="shared" si="2"/>
        <v>0</v>
      </c>
      <c r="J50" s="321">
        <f t="shared" si="2"/>
        <v>0</v>
      </c>
      <c r="K50" s="321">
        <f t="shared" si="2"/>
        <v>0</v>
      </c>
      <c r="L50" s="321">
        <f t="shared" si="2"/>
        <v>0</v>
      </c>
      <c r="M50" s="321">
        <f t="shared" si="2"/>
        <v>2.4810994361654861E-4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4.4640059320155715E-3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2.4810994361654861E-4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1240.0016477821032</v>
      </c>
      <c r="H54" s="21">
        <f t="shared" si="3"/>
        <v>0</v>
      </c>
      <c r="I54" s="21">
        <f t="shared" si="3"/>
        <v>0</v>
      </c>
      <c r="J54" s="21">
        <f t="shared" si="3"/>
        <v>0</v>
      </c>
      <c r="K54" s="21">
        <f t="shared" si="3"/>
        <v>0</v>
      </c>
      <c r="L54" s="21">
        <f t="shared" si="3"/>
        <v>0</v>
      </c>
      <c r="M54" s="21">
        <f t="shared" si="3"/>
        <v>68.919428782374609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0.2165483619728758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331.08043995782157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18500.258568999998</v>
      </c>
      <c r="D10" s="712">
        <f ca="1">tertiair!C16</f>
        <v>0</v>
      </c>
      <c r="E10" s="712">
        <f ca="1">tertiair!D16</f>
        <v>17806.615959857998</v>
      </c>
      <c r="F10" s="712">
        <f>tertiair!E16</f>
        <v>335.93133030609999</v>
      </c>
      <c r="G10" s="712">
        <f ca="1">tertiair!F16</f>
        <v>1960.6590509163248</v>
      </c>
      <c r="H10" s="712">
        <f>tertiair!G16</f>
        <v>0</v>
      </c>
      <c r="I10" s="712">
        <f>tertiair!H16</f>
        <v>0</v>
      </c>
      <c r="J10" s="712">
        <f>tertiair!I16</f>
        <v>0</v>
      </c>
      <c r="K10" s="712">
        <f>tertiair!J16</f>
        <v>1.0110041092827192E-2</v>
      </c>
      <c r="L10" s="712">
        <f>tertiair!K16</f>
        <v>0</v>
      </c>
      <c r="M10" s="712">
        <f ca="1">tertiair!L16</f>
        <v>0</v>
      </c>
      <c r="N10" s="712">
        <f>tertiair!M16</f>
        <v>0</v>
      </c>
      <c r="O10" s="712">
        <f ca="1">tertiair!N16</f>
        <v>404.29268465667826</v>
      </c>
      <c r="P10" s="712">
        <f>tertiair!O16</f>
        <v>0</v>
      </c>
      <c r="Q10" s="713">
        <f>tertiair!P16</f>
        <v>0</v>
      </c>
      <c r="R10" s="715">
        <f ca="1">SUM(C10:Q10)</f>
        <v>39007.767704778184</v>
      </c>
      <c r="S10" s="67"/>
    </row>
    <row r="11" spans="1:19" s="474" customFormat="1">
      <c r="A11" s="834" t="s">
        <v>224</v>
      </c>
      <c r="B11" s="839"/>
      <c r="C11" s="712">
        <f>huishoudens!B8</f>
        <v>6902.0550765782973</v>
      </c>
      <c r="D11" s="712">
        <f>huishoudens!C8</f>
        <v>0</v>
      </c>
      <c r="E11" s="712">
        <f>huishoudens!D8</f>
        <v>25237.653807080002</v>
      </c>
      <c r="F11" s="712">
        <f>huishoudens!E8</f>
        <v>558.23257875704076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1127.0483302834214</v>
      </c>
      <c r="P11" s="712">
        <f>huishoudens!O8</f>
        <v>7.9358328775481271</v>
      </c>
      <c r="Q11" s="713">
        <f>huishoudens!P8</f>
        <v>10.533959307685024</v>
      </c>
      <c r="R11" s="715">
        <f>SUM(C11:Q11)</f>
        <v>33843.459584883996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24687.430323</v>
      </c>
      <c r="D13" s="712">
        <f>industrie!C18</f>
        <v>0</v>
      </c>
      <c r="E13" s="712">
        <f>industrie!D18</f>
        <v>63933.686059451989</v>
      </c>
      <c r="F13" s="712">
        <f>industrie!E18</f>
        <v>1221.8438755563543</v>
      </c>
      <c r="G13" s="712">
        <f>industrie!F18</f>
        <v>4545.2304409205344</v>
      </c>
      <c r="H13" s="712">
        <f>industrie!G18</f>
        <v>0</v>
      </c>
      <c r="I13" s="712">
        <f>industrie!H18</f>
        <v>0</v>
      </c>
      <c r="J13" s="712">
        <f>industrie!I18</f>
        <v>0</v>
      </c>
      <c r="K13" s="712">
        <f>industrie!J18</f>
        <v>201.96770870550318</v>
      </c>
      <c r="L13" s="712">
        <f>industrie!K18</f>
        <v>0</v>
      </c>
      <c r="M13" s="712">
        <f>industrie!L18</f>
        <v>0</v>
      </c>
      <c r="N13" s="712">
        <f>industrie!M18</f>
        <v>0</v>
      </c>
      <c r="O13" s="712">
        <f>industrie!N18</f>
        <v>968.87743383252837</v>
      </c>
      <c r="P13" s="712">
        <f>industrie!O18</f>
        <v>0</v>
      </c>
      <c r="Q13" s="713">
        <f>industrie!P18</f>
        <v>0</v>
      </c>
      <c r="R13" s="715">
        <f>SUM(C13:Q13)</f>
        <v>95559.035841466917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50089.743968578296</v>
      </c>
      <c r="D16" s="748">
        <f t="shared" ref="D16:R16" ca="1" si="0">SUM(D9:D15)</f>
        <v>0</v>
      </c>
      <c r="E16" s="748">
        <f t="shared" ca="1" si="0"/>
        <v>106977.95582638998</v>
      </c>
      <c r="F16" s="748">
        <f t="shared" si="0"/>
        <v>2116.0077846194949</v>
      </c>
      <c r="G16" s="748">
        <f t="shared" ca="1" si="0"/>
        <v>6505.8894918368587</v>
      </c>
      <c r="H16" s="748">
        <f t="shared" si="0"/>
        <v>0</v>
      </c>
      <c r="I16" s="748">
        <f t="shared" si="0"/>
        <v>0</v>
      </c>
      <c r="J16" s="748">
        <f t="shared" si="0"/>
        <v>0</v>
      </c>
      <c r="K16" s="748">
        <f t="shared" si="0"/>
        <v>201.977818746596</v>
      </c>
      <c r="L16" s="748">
        <f t="shared" si="0"/>
        <v>0</v>
      </c>
      <c r="M16" s="748">
        <f t="shared" ca="1" si="0"/>
        <v>0</v>
      </c>
      <c r="N16" s="748">
        <f t="shared" si="0"/>
        <v>0</v>
      </c>
      <c r="O16" s="748">
        <f t="shared" ca="1" si="0"/>
        <v>2500.2184487726281</v>
      </c>
      <c r="P16" s="748">
        <f t="shared" si="0"/>
        <v>7.9358328775481271</v>
      </c>
      <c r="Q16" s="748">
        <f t="shared" si="0"/>
        <v>10.533959307685024</v>
      </c>
      <c r="R16" s="748">
        <f t="shared" ca="1" si="0"/>
        <v>168410.26313112909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1240.0016477821032</v>
      </c>
      <c r="I19" s="712">
        <f>transport!H54</f>
        <v>0</v>
      </c>
      <c r="J19" s="712">
        <f>transport!I54</f>
        <v>0</v>
      </c>
      <c r="K19" s="712">
        <f>transport!J54</f>
        <v>0</v>
      </c>
      <c r="L19" s="712">
        <f>transport!K54</f>
        <v>0</v>
      </c>
      <c r="M19" s="712">
        <f>transport!L54</f>
        <v>0</v>
      </c>
      <c r="N19" s="712">
        <f>transport!M54</f>
        <v>68.919428782374609</v>
      </c>
      <c r="O19" s="712">
        <f>transport!N54</f>
        <v>0</v>
      </c>
      <c r="P19" s="712">
        <f>transport!O54</f>
        <v>0</v>
      </c>
      <c r="Q19" s="713">
        <f>transport!P54</f>
        <v>0</v>
      </c>
      <c r="R19" s="715">
        <f>SUM(C19:Q19)</f>
        <v>1308.9210765644777</v>
      </c>
      <c r="S19" s="67"/>
    </row>
    <row r="20" spans="1:19" s="474" customFormat="1">
      <c r="A20" s="834" t="s">
        <v>306</v>
      </c>
      <c r="B20" s="839"/>
      <c r="C20" s="712">
        <f>transport!B14</f>
        <v>48.139243895833339</v>
      </c>
      <c r="D20" s="712">
        <f>transport!C14</f>
        <v>0</v>
      </c>
      <c r="E20" s="712">
        <f>transport!D14</f>
        <v>197.87282255631331</v>
      </c>
      <c r="F20" s="712">
        <f>transport!E14</f>
        <v>172.16175508576387</v>
      </c>
      <c r="G20" s="712">
        <f>transport!F14</f>
        <v>0</v>
      </c>
      <c r="H20" s="712">
        <f>transport!G14</f>
        <v>54584.585916162825</v>
      </c>
      <c r="I20" s="712">
        <f>transport!H14</f>
        <v>15057.736268176064</v>
      </c>
      <c r="J20" s="712">
        <f>transport!I14</f>
        <v>0</v>
      </c>
      <c r="K20" s="712">
        <f>transport!J14</f>
        <v>0</v>
      </c>
      <c r="L20" s="712">
        <f>transport!K14</f>
        <v>0</v>
      </c>
      <c r="M20" s="712">
        <f>transport!L14</f>
        <v>0</v>
      </c>
      <c r="N20" s="712">
        <f>transport!M14</f>
        <v>4137.1899358496603</v>
      </c>
      <c r="O20" s="712">
        <f>transport!N14</f>
        <v>0</v>
      </c>
      <c r="P20" s="712">
        <f>transport!O14</f>
        <v>0</v>
      </c>
      <c r="Q20" s="713">
        <f>transport!P14</f>
        <v>0</v>
      </c>
      <c r="R20" s="715">
        <f>SUM(C20:Q20)</f>
        <v>74197.685941726464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48.139243895833339</v>
      </c>
      <c r="D22" s="837">
        <f t="shared" ref="D22:R22" si="1">SUM(D18:D21)</f>
        <v>0</v>
      </c>
      <c r="E22" s="837">
        <f t="shared" si="1"/>
        <v>197.87282255631331</v>
      </c>
      <c r="F22" s="837">
        <f t="shared" si="1"/>
        <v>172.16175508576387</v>
      </c>
      <c r="G22" s="837">
        <f t="shared" si="1"/>
        <v>0</v>
      </c>
      <c r="H22" s="837">
        <f t="shared" si="1"/>
        <v>55824.58756394493</v>
      </c>
      <c r="I22" s="837">
        <f t="shared" si="1"/>
        <v>15057.736268176064</v>
      </c>
      <c r="J22" s="837">
        <f t="shared" si="1"/>
        <v>0</v>
      </c>
      <c r="K22" s="837">
        <f t="shared" si="1"/>
        <v>0</v>
      </c>
      <c r="L22" s="837">
        <f t="shared" si="1"/>
        <v>0</v>
      </c>
      <c r="M22" s="837">
        <f t="shared" si="1"/>
        <v>0</v>
      </c>
      <c r="N22" s="837">
        <f t="shared" si="1"/>
        <v>4206.1093646320351</v>
      </c>
      <c r="O22" s="837">
        <f t="shared" si="1"/>
        <v>0</v>
      </c>
      <c r="P22" s="837">
        <f t="shared" si="1"/>
        <v>0</v>
      </c>
      <c r="Q22" s="837">
        <f t="shared" si="1"/>
        <v>0</v>
      </c>
      <c r="R22" s="837">
        <f t="shared" si="1"/>
        <v>75506.607018290946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0.85195200000000004</v>
      </c>
      <c r="D24" s="712">
        <f>+landbouw!C8</f>
        <v>0</v>
      </c>
      <c r="E24" s="712">
        <f>+landbouw!D8</f>
        <v>0</v>
      </c>
      <c r="F24" s="712">
        <f>+landbouw!E8</f>
        <v>2.6589140980889266E-2</v>
      </c>
      <c r="G24" s="712">
        <f>+landbouw!F8</f>
        <v>3.0108927446966542</v>
      </c>
      <c r="H24" s="712">
        <f>+landbouw!G8</f>
        <v>0</v>
      </c>
      <c r="I24" s="712">
        <f>+landbouw!H8</f>
        <v>0</v>
      </c>
      <c r="J24" s="712">
        <f>+landbouw!I8</f>
        <v>0</v>
      </c>
      <c r="K24" s="712">
        <f>+landbouw!J8</f>
        <v>0.23471868423534059</v>
      </c>
      <c r="L24" s="712">
        <f>+landbouw!K8</f>
        <v>0</v>
      </c>
      <c r="M24" s="712">
        <f>+landbouw!L8</f>
        <v>0</v>
      </c>
      <c r="N24" s="712">
        <f>+landbouw!M8</f>
        <v>0</v>
      </c>
      <c r="O24" s="712">
        <f>+landbouw!N8</f>
        <v>0</v>
      </c>
      <c r="P24" s="712">
        <f>+landbouw!O8</f>
        <v>0</v>
      </c>
      <c r="Q24" s="713">
        <f>+landbouw!P8</f>
        <v>0</v>
      </c>
      <c r="R24" s="715">
        <f>SUM(C24:Q24)</f>
        <v>4.1241525699128845</v>
      </c>
      <c r="S24" s="67"/>
    </row>
    <row r="25" spans="1:19" s="474" customFormat="1" ht="15" thickBot="1">
      <c r="A25" s="856" t="s">
        <v>734</v>
      </c>
      <c r="B25" s="982"/>
      <c r="C25" s="983">
        <f>IF(Onbekend_ele_kWh="---",0,Onbekend_ele_kWh)/1000+IF(REST_rest_ele_kWh="---",0,REST_rest_ele_kWh)/1000</f>
        <v>329.59911900000003</v>
      </c>
      <c r="D25" s="983"/>
      <c r="E25" s="983">
        <f>IF(onbekend_gas_kWh="---",0,onbekend_gas_kWh)/1000+IF(REST_rest_gas_kWh="---",0,REST_rest_gas_kWh)/1000</f>
        <v>1212.599923</v>
      </c>
      <c r="F25" s="983"/>
      <c r="G25" s="983"/>
      <c r="H25" s="983"/>
      <c r="I25" s="983"/>
      <c r="J25" s="983"/>
      <c r="K25" s="983"/>
      <c r="L25" s="983"/>
      <c r="M25" s="983"/>
      <c r="N25" s="983"/>
      <c r="O25" s="983"/>
      <c r="P25" s="983"/>
      <c r="Q25" s="984"/>
      <c r="R25" s="715">
        <f>SUM(C25:Q25)</f>
        <v>1542.199042</v>
      </c>
      <c r="S25" s="67"/>
    </row>
    <row r="26" spans="1:19" s="474" customFormat="1" ht="15.75" thickBot="1">
      <c r="A26" s="720" t="s">
        <v>735</v>
      </c>
      <c r="B26" s="842"/>
      <c r="C26" s="837">
        <f>SUM(C24:C25)</f>
        <v>330.45107100000001</v>
      </c>
      <c r="D26" s="837">
        <f t="shared" ref="D26:R26" si="2">SUM(D24:D25)</f>
        <v>0</v>
      </c>
      <c r="E26" s="837">
        <f t="shared" si="2"/>
        <v>1212.599923</v>
      </c>
      <c r="F26" s="837">
        <f t="shared" si="2"/>
        <v>2.6589140980889266E-2</v>
      </c>
      <c r="G26" s="837">
        <f t="shared" si="2"/>
        <v>3.0108927446966542</v>
      </c>
      <c r="H26" s="837">
        <f t="shared" si="2"/>
        <v>0</v>
      </c>
      <c r="I26" s="837">
        <f t="shared" si="2"/>
        <v>0</v>
      </c>
      <c r="J26" s="837">
        <f t="shared" si="2"/>
        <v>0</v>
      </c>
      <c r="K26" s="837">
        <f t="shared" si="2"/>
        <v>0.23471868423534059</v>
      </c>
      <c r="L26" s="837">
        <f t="shared" si="2"/>
        <v>0</v>
      </c>
      <c r="M26" s="837">
        <f t="shared" si="2"/>
        <v>0</v>
      </c>
      <c r="N26" s="837">
        <f t="shared" si="2"/>
        <v>0</v>
      </c>
      <c r="O26" s="837">
        <f t="shared" si="2"/>
        <v>0</v>
      </c>
      <c r="P26" s="837">
        <f t="shared" si="2"/>
        <v>0</v>
      </c>
      <c r="Q26" s="837">
        <f t="shared" si="2"/>
        <v>0</v>
      </c>
      <c r="R26" s="837">
        <f t="shared" si="2"/>
        <v>1546.3231945699129</v>
      </c>
      <c r="S26" s="67"/>
    </row>
    <row r="27" spans="1:19" s="474" customFormat="1" ht="17.25" thickTop="1" thickBot="1">
      <c r="A27" s="721" t="s">
        <v>115</v>
      </c>
      <c r="B27" s="829"/>
      <c r="C27" s="722">
        <f ca="1">C22+C16+C26</f>
        <v>50468.334283474134</v>
      </c>
      <c r="D27" s="722">
        <f t="shared" ref="D27:R27" ca="1" si="3">D22+D16+D26</f>
        <v>0</v>
      </c>
      <c r="E27" s="722">
        <f t="shared" ca="1" si="3"/>
        <v>108388.42857194629</v>
      </c>
      <c r="F27" s="722">
        <f t="shared" si="3"/>
        <v>2288.1961288462398</v>
      </c>
      <c r="G27" s="722">
        <f t="shared" ca="1" si="3"/>
        <v>6508.900384581555</v>
      </c>
      <c r="H27" s="722">
        <f t="shared" si="3"/>
        <v>55824.58756394493</v>
      </c>
      <c r="I27" s="722">
        <f t="shared" si="3"/>
        <v>15057.736268176064</v>
      </c>
      <c r="J27" s="722">
        <f t="shared" si="3"/>
        <v>0</v>
      </c>
      <c r="K27" s="722">
        <f t="shared" si="3"/>
        <v>202.21253743083133</v>
      </c>
      <c r="L27" s="722">
        <f t="shared" si="3"/>
        <v>0</v>
      </c>
      <c r="M27" s="722">
        <f t="shared" ca="1" si="3"/>
        <v>0</v>
      </c>
      <c r="N27" s="722">
        <f t="shared" si="3"/>
        <v>4206.1093646320351</v>
      </c>
      <c r="O27" s="722">
        <f t="shared" ca="1" si="3"/>
        <v>2500.2184487726281</v>
      </c>
      <c r="P27" s="722">
        <f t="shared" si="3"/>
        <v>7.9358328775481271</v>
      </c>
      <c r="Q27" s="722">
        <f t="shared" si="3"/>
        <v>10.533959307685024</v>
      </c>
      <c r="R27" s="722">
        <f t="shared" ca="1" si="3"/>
        <v>245463.19334398996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4006.2006891916089</v>
      </c>
      <c r="D40" s="712">
        <f ca="1">tertiair!C20</f>
        <v>0</v>
      </c>
      <c r="E40" s="712">
        <f ca="1">tertiair!D20</f>
        <v>3596.9364238913158</v>
      </c>
      <c r="F40" s="712">
        <f>tertiair!E20</f>
        <v>76.256411979484696</v>
      </c>
      <c r="G40" s="712">
        <f ca="1">tertiair!F20</f>
        <v>523.49596659465874</v>
      </c>
      <c r="H40" s="712">
        <f>tertiair!G20</f>
        <v>0</v>
      </c>
      <c r="I40" s="712">
        <f>tertiair!H20</f>
        <v>0</v>
      </c>
      <c r="J40" s="712">
        <f>tertiair!I20</f>
        <v>0</v>
      </c>
      <c r="K40" s="712">
        <f>tertiair!J20</f>
        <v>3.5789545468608258E-3</v>
      </c>
      <c r="L40" s="712">
        <f>tertiair!K20</f>
        <v>0</v>
      </c>
      <c r="M40" s="712">
        <f ca="1">tertiair!L20</f>
        <v>0</v>
      </c>
      <c r="N40" s="712">
        <f>tertiair!M20</f>
        <v>0</v>
      </c>
      <c r="O40" s="712">
        <f ca="1">tertiair!N20</f>
        <v>0</v>
      </c>
      <c r="P40" s="712">
        <f>tertiair!O20</f>
        <v>0</v>
      </c>
      <c r="Q40" s="795">
        <f>tertiair!P20</f>
        <v>0</v>
      </c>
      <c r="R40" s="875">
        <f t="shared" ca="1" si="4"/>
        <v>8202.8930706116153</v>
      </c>
    </row>
    <row r="41" spans="1:18">
      <c r="A41" s="847" t="s">
        <v>224</v>
      </c>
      <c r="B41" s="854"/>
      <c r="C41" s="712">
        <f ca="1">huishoudens!B12</f>
        <v>1494.6287210796022</v>
      </c>
      <c r="D41" s="712">
        <f ca="1">huishoudens!C12</f>
        <v>0</v>
      </c>
      <c r="E41" s="712">
        <f>huishoudens!D12</f>
        <v>5098.0060690301607</v>
      </c>
      <c r="F41" s="712">
        <f>huishoudens!E12</f>
        <v>126.71879537784825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6719.3535854876118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5346.0225977651544</v>
      </c>
      <c r="D43" s="712">
        <f ca="1">industrie!C22</f>
        <v>0</v>
      </c>
      <c r="E43" s="712">
        <f>industrie!D22</f>
        <v>12914.604584009303</v>
      </c>
      <c r="F43" s="712">
        <f>industrie!E22</f>
        <v>277.35855975129243</v>
      </c>
      <c r="G43" s="712">
        <f>industrie!F22</f>
        <v>1213.5765277257829</v>
      </c>
      <c r="H43" s="712">
        <f>industrie!G22</f>
        <v>0</v>
      </c>
      <c r="I43" s="712">
        <f>industrie!H22</f>
        <v>0</v>
      </c>
      <c r="J43" s="712">
        <f>industrie!I22</f>
        <v>0</v>
      </c>
      <c r="K43" s="712">
        <f>industrie!J22</f>
        <v>71.496568881748118</v>
      </c>
      <c r="L43" s="712">
        <f>industrie!K22</f>
        <v>0</v>
      </c>
      <c r="M43" s="712">
        <f>industrie!L22</f>
        <v>0</v>
      </c>
      <c r="N43" s="712">
        <f>industrie!M22</f>
        <v>0</v>
      </c>
      <c r="O43" s="712">
        <f>industrie!N22</f>
        <v>0</v>
      </c>
      <c r="P43" s="712">
        <f>industrie!O22</f>
        <v>0</v>
      </c>
      <c r="Q43" s="795">
        <f>industrie!P22</f>
        <v>0</v>
      </c>
      <c r="R43" s="874">
        <f t="shared" ca="1" si="4"/>
        <v>19823.058838133278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10846.852008036367</v>
      </c>
      <c r="D46" s="748">
        <f t="shared" ref="D46:Q46" ca="1" si="5">SUM(D39:D45)</f>
        <v>0</v>
      </c>
      <c r="E46" s="748">
        <f t="shared" ca="1" si="5"/>
        <v>21609.547076930779</v>
      </c>
      <c r="F46" s="748">
        <f t="shared" si="5"/>
        <v>480.33376710862535</v>
      </c>
      <c r="G46" s="748">
        <f t="shared" ca="1" si="5"/>
        <v>1737.0724943204416</v>
      </c>
      <c r="H46" s="748">
        <f t="shared" si="5"/>
        <v>0</v>
      </c>
      <c r="I46" s="748">
        <f t="shared" si="5"/>
        <v>0</v>
      </c>
      <c r="J46" s="748">
        <f t="shared" si="5"/>
        <v>0</v>
      </c>
      <c r="K46" s="748">
        <f t="shared" si="5"/>
        <v>71.500147836294985</v>
      </c>
      <c r="L46" s="748">
        <f t="shared" si="5"/>
        <v>0</v>
      </c>
      <c r="M46" s="748">
        <f t="shared" ca="1" si="5"/>
        <v>0</v>
      </c>
      <c r="N46" s="748">
        <f t="shared" si="5"/>
        <v>0</v>
      </c>
      <c r="O46" s="748">
        <f t="shared" ca="1" si="5"/>
        <v>0</v>
      </c>
      <c r="P46" s="748">
        <f t="shared" si="5"/>
        <v>0</v>
      </c>
      <c r="Q46" s="748">
        <f t="shared" si="5"/>
        <v>0</v>
      </c>
      <c r="R46" s="748">
        <f ca="1">SUM(R39:R45)</f>
        <v>34745.305494232503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331.08043995782157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331.08043995782157</v>
      </c>
    </row>
    <row r="50" spans="1:18">
      <c r="A50" s="850" t="s">
        <v>306</v>
      </c>
      <c r="B50" s="860"/>
      <c r="C50" s="718">
        <f ca="1">transport!B18</f>
        <v>10.424474412255469</v>
      </c>
      <c r="D50" s="718">
        <f>transport!C18</f>
        <v>0</v>
      </c>
      <c r="E50" s="718">
        <f>transport!D18</f>
        <v>39.970310156375291</v>
      </c>
      <c r="F50" s="718">
        <f>transport!E18</f>
        <v>39.080718404468399</v>
      </c>
      <c r="G50" s="718">
        <f>transport!F18</f>
        <v>0</v>
      </c>
      <c r="H50" s="718">
        <f>transport!G18</f>
        <v>14574.084439615475</v>
      </c>
      <c r="I50" s="718">
        <f>transport!H18</f>
        <v>3749.37633077584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18412.936273364416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10.424474412255469</v>
      </c>
      <c r="D52" s="748">
        <f t="shared" ref="D52:Q52" ca="1" si="6">SUM(D48:D51)</f>
        <v>0</v>
      </c>
      <c r="E52" s="748">
        <f t="shared" si="6"/>
        <v>39.970310156375291</v>
      </c>
      <c r="F52" s="748">
        <f t="shared" si="6"/>
        <v>39.080718404468399</v>
      </c>
      <c r="G52" s="748">
        <f t="shared" si="6"/>
        <v>0</v>
      </c>
      <c r="H52" s="748">
        <f t="shared" si="6"/>
        <v>14905.164879573296</v>
      </c>
      <c r="I52" s="748">
        <f t="shared" si="6"/>
        <v>3749.37633077584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18744.016713322239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0.18448881007951551</v>
      </c>
      <c r="D54" s="718">
        <f ca="1">+landbouw!C12</f>
        <v>0</v>
      </c>
      <c r="E54" s="718">
        <f>+landbouw!D12</f>
        <v>0</v>
      </c>
      <c r="F54" s="718">
        <f>+landbouw!E12</f>
        <v>6.0357350026618633E-3</v>
      </c>
      <c r="G54" s="718">
        <f>+landbouw!F12</f>
        <v>0.80390836283400668</v>
      </c>
      <c r="H54" s="718">
        <f>+landbouw!G12</f>
        <v>0</v>
      </c>
      <c r="I54" s="718">
        <f>+landbouw!H12</f>
        <v>0</v>
      </c>
      <c r="J54" s="718">
        <f>+landbouw!I12</f>
        <v>0</v>
      </c>
      <c r="K54" s="718">
        <f>+landbouw!J12</f>
        <v>8.3090414219310571E-2</v>
      </c>
      <c r="L54" s="718">
        <f>+landbouw!K12</f>
        <v>0</v>
      </c>
      <c r="M54" s="718">
        <f>+landbouw!L12</f>
        <v>0</v>
      </c>
      <c r="N54" s="718">
        <f>+landbouw!M12</f>
        <v>0</v>
      </c>
      <c r="O54" s="718">
        <f>+landbouw!N12</f>
        <v>0</v>
      </c>
      <c r="P54" s="718">
        <f>+landbouw!O12</f>
        <v>0</v>
      </c>
      <c r="Q54" s="719">
        <f>+landbouw!P12</f>
        <v>0</v>
      </c>
      <c r="R54" s="747">
        <f ca="1">SUM(C54:Q54)</f>
        <v>1.0775233221354945</v>
      </c>
    </row>
    <row r="55" spans="1:18" ht="15" thickBot="1">
      <c r="A55" s="850" t="s">
        <v>734</v>
      </c>
      <c r="B55" s="860"/>
      <c r="C55" s="718">
        <f ca="1">C25*'EF ele_warmte'!B12</f>
        <v>71.374149327152978</v>
      </c>
      <c r="D55" s="718"/>
      <c r="E55" s="718">
        <f>E25*EF_CO2_aardgas</f>
        <v>244.94518444600001</v>
      </c>
      <c r="F55" s="718"/>
      <c r="G55" s="718"/>
      <c r="H55" s="718"/>
      <c r="I55" s="718"/>
      <c r="J55" s="718"/>
      <c r="K55" s="718"/>
      <c r="L55" s="718"/>
      <c r="M55" s="718"/>
      <c r="N55" s="718"/>
      <c r="O55" s="718"/>
      <c r="P55" s="718"/>
      <c r="Q55" s="719"/>
      <c r="R55" s="747">
        <f ca="1">SUM(C55:Q55)</f>
        <v>316.31933377315301</v>
      </c>
    </row>
    <row r="56" spans="1:18" ht="15.75" thickBot="1">
      <c r="A56" s="848" t="s">
        <v>735</v>
      </c>
      <c r="B56" s="861"/>
      <c r="C56" s="748">
        <f ca="1">SUM(C54:C55)</f>
        <v>71.558638137232492</v>
      </c>
      <c r="D56" s="748">
        <f t="shared" ref="D56:Q56" ca="1" si="7">SUM(D54:D55)</f>
        <v>0</v>
      </c>
      <c r="E56" s="748">
        <f t="shared" si="7"/>
        <v>244.94518444600001</v>
      </c>
      <c r="F56" s="748">
        <f t="shared" si="7"/>
        <v>6.0357350026618633E-3</v>
      </c>
      <c r="G56" s="748">
        <f t="shared" si="7"/>
        <v>0.80390836283400668</v>
      </c>
      <c r="H56" s="748">
        <f t="shared" si="7"/>
        <v>0</v>
      </c>
      <c r="I56" s="748">
        <f t="shared" si="7"/>
        <v>0</v>
      </c>
      <c r="J56" s="748">
        <f t="shared" si="7"/>
        <v>0</v>
      </c>
      <c r="K56" s="748">
        <f t="shared" si="7"/>
        <v>8.3090414219310571E-2</v>
      </c>
      <c r="L56" s="748">
        <f t="shared" si="7"/>
        <v>0</v>
      </c>
      <c r="M56" s="748">
        <f t="shared" si="7"/>
        <v>0</v>
      </c>
      <c r="N56" s="748">
        <f t="shared" si="7"/>
        <v>0</v>
      </c>
      <c r="O56" s="748">
        <f t="shared" si="7"/>
        <v>0</v>
      </c>
      <c r="P56" s="748">
        <f t="shared" si="7"/>
        <v>0</v>
      </c>
      <c r="Q56" s="749">
        <f t="shared" si="7"/>
        <v>0</v>
      </c>
      <c r="R56" s="750">
        <f ca="1">SUM(R54:R55)</f>
        <v>317.39685709528851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10928.835120585854</v>
      </c>
      <c r="D61" s="756">
        <f t="shared" ref="D61:Q61" ca="1" si="8">D46+D52+D56</f>
        <v>0</v>
      </c>
      <c r="E61" s="756">
        <f t="shared" ca="1" si="8"/>
        <v>21894.462571533157</v>
      </c>
      <c r="F61" s="756">
        <f t="shared" si="8"/>
        <v>519.42052124809641</v>
      </c>
      <c r="G61" s="756">
        <f t="shared" ca="1" si="8"/>
        <v>1737.8764026832755</v>
      </c>
      <c r="H61" s="756">
        <f t="shared" si="8"/>
        <v>14905.164879573296</v>
      </c>
      <c r="I61" s="756">
        <f t="shared" si="8"/>
        <v>3749.37633077584</v>
      </c>
      <c r="J61" s="756">
        <f t="shared" si="8"/>
        <v>0</v>
      </c>
      <c r="K61" s="756">
        <f t="shared" si="8"/>
        <v>71.583238250514299</v>
      </c>
      <c r="L61" s="756">
        <f t="shared" si="8"/>
        <v>0</v>
      </c>
      <c r="M61" s="756">
        <f t="shared" ca="1" si="8"/>
        <v>0</v>
      </c>
      <c r="N61" s="756">
        <f t="shared" si="8"/>
        <v>0</v>
      </c>
      <c r="O61" s="756">
        <f t="shared" ca="1" si="8"/>
        <v>0</v>
      </c>
      <c r="P61" s="756">
        <f t="shared" si="8"/>
        <v>0</v>
      </c>
      <c r="Q61" s="756">
        <f t="shared" si="8"/>
        <v>0</v>
      </c>
      <c r="R61" s="756">
        <f ca="1">R46+R52+R56</f>
        <v>53806.719064650024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0.2165483619728758</v>
      </c>
      <c r="D63" s="802">
        <f t="shared" ca="1" si="9"/>
        <v>0</v>
      </c>
      <c r="E63" s="1008">
        <f t="shared" ca="1" si="9"/>
        <v>0.20200000000000004</v>
      </c>
      <c r="F63" s="802">
        <f t="shared" si="9"/>
        <v>0.22699999999999998</v>
      </c>
      <c r="G63" s="802">
        <f t="shared" ca="1" si="9"/>
        <v>0.26700000000000007</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173.57060320532511</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843.02105318348879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1016.5916563888139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173.57060320532511</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843.02105318348879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1016.5916563888139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6902.0550765782973</v>
      </c>
      <c r="C4" s="478">
        <f>huishoudens!C8</f>
        <v>0</v>
      </c>
      <c r="D4" s="478">
        <f>huishoudens!D8</f>
        <v>25237.653807080002</v>
      </c>
      <c r="E4" s="478">
        <f>huishoudens!E8</f>
        <v>558.23257875704076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1127.0483302834214</v>
      </c>
      <c r="O4" s="478">
        <f>huishoudens!O8</f>
        <v>7.9358328775481271</v>
      </c>
      <c r="P4" s="479">
        <f>huishoudens!P8</f>
        <v>10.533959307685024</v>
      </c>
      <c r="Q4" s="480">
        <f>SUM(B4:P4)</f>
        <v>33843.459584883996</v>
      </c>
    </row>
    <row r="5" spans="1:17">
      <c r="A5" s="477" t="s">
        <v>155</v>
      </c>
      <c r="B5" s="478">
        <f ca="1">tertiair!B16</f>
        <v>18230.622568999999</v>
      </c>
      <c r="C5" s="478">
        <f ca="1">tertiair!C16</f>
        <v>0</v>
      </c>
      <c r="D5" s="478">
        <f ca="1">tertiair!D16</f>
        <v>17806.615959857998</v>
      </c>
      <c r="E5" s="478">
        <f>tertiair!E16</f>
        <v>335.93133030609999</v>
      </c>
      <c r="F5" s="478">
        <f ca="1">tertiair!F16</f>
        <v>1960.6590509163248</v>
      </c>
      <c r="G5" s="478">
        <f>tertiair!G16</f>
        <v>0</v>
      </c>
      <c r="H5" s="478">
        <f>tertiair!H16</f>
        <v>0</v>
      </c>
      <c r="I5" s="478">
        <f>tertiair!I16</f>
        <v>0</v>
      </c>
      <c r="J5" s="478">
        <f>tertiair!J16</f>
        <v>1.0110041092827192E-2</v>
      </c>
      <c r="K5" s="478">
        <f>tertiair!K16</f>
        <v>0</v>
      </c>
      <c r="L5" s="478">
        <f ca="1">tertiair!L16</f>
        <v>0</v>
      </c>
      <c r="M5" s="478">
        <f>tertiair!M16</f>
        <v>0</v>
      </c>
      <c r="N5" s="478">
        <f ca="1">tertiair!N16</f>
        <v>404.29268465667826</v>
      </c>
      <c r="O5" s="478">
        <f>tertiair!O16</f>
        <v>0</v>
      </c>
      <c r="P5" s="479">
        <f>tertiair!P16</f>
        <v>0</v>
      </c>
      <c r="Q5" s="477">
        <f t="shared" ref="Q5:Q14" ca="1" si="0">SUM(B5:P5)</f>
        <v>38738.131704778185</v>
      </c>
    </row>
    <row r="6" spans="1:17">
      <c r="A6" s="477" t="s">
        <v>193</v>
      </c>
      <c r="B6" s="478">
        <f>'openbare verlichting'!B8</f>
        <v>269.63600000000002</v>
      </c>
      <c r="C6" s="478"/>
      <c r="D6" s="478"/>
      <c r="E6" s="478"/>
      <c r="F6" s="478"/>
      <c r="G6" s="478"/>
      <c r="H6" s="478"/>
      <c r="I6" s="478"/>
      <c r="J6" s="478"/>
      <c r="K6" s="478"/>
      <c r="L6" s="478"/>
      <c r="M6" s="478"/>
      <c r="N6" s="478"/>
      <c r="O6" s="478"/>
      <c r="P6" s="479"/>
      <c r="Q6" s="477">
        <f t="shared" si="0"/>
        <v>269.63600000000002</v>
      </c>
    </row>
    <row r="7" spans="1:17">
      <c r="A7" s="477" t="s">
        <v>111</v>
      </c>
      <c r="B7" s="478">
        <f>landbouw!B8</f>
        <v>0.85195200000000004</v>
      </c>
      <c r="C7" s="478">
        <f>landbouw!C8</f>
        <v>0</v>
      </c>
      <c r="D7" s="478">
        <f>landbouw!D8</f>
        <v>0</v>
      </c>
      <c r="E7" s="478">
        <f>landbouw!E8</f>
        <v>2.6589140980889266E-2</v>
      </c>
      <c r="F7" s="478">
        <f>landbouw!F8</f>
        <v>3.0108927446966542</v>
      </c>
      <c r="G7" s="478">
        <f>landbouw!G8</f>
        <v>0</v>
      </c>
      <c r="H7" s="478">
        <f>landbouw!H8</f>
        <v>0</v>
      </c>
      <c r="I7" s="478">
        <f>landbouw!I8</f>
        <v>0</v>
      </c>
      <c r="J7" s="478">
        <f>landbouw!J8</f>
        <v>0.23471868423534059</v>
      </c>
      <c r="K7" s="478">
        <f>landbouw!K8</f>
        <v>0</v>
      </c>
      <c r="L7" s="478">
        <f>landbouw!L8</f>
        <v>0</v>
      </c>
      <c r="M7" s="478">
        <f>landbouw!M8</f>
        <v>0</v>
      </c>
      <c r="N7" s="478">
        <f>landbouw!N8</f>
        <v>0</v>
      </c>
      <c r="O7" s="478">
        <f>landbouw!O8</f>
        <v>0</v>
      </c>
      <c r="P7" s="479">
        <f>landbouw!P8</f>
        <v>0</v>
      </c>
      <c r="Q7" s="477">
        <f t="shared" si="0"/>
        <v>4.1241525699128845</v>
      </c>
    </row>
    <row r="8" spans="1:17">
      <c r="A8" s="477" t="s">
        <v>629</v>
      </c>
      <c r="B8" s="478">
        <f>industrie!B18</f>
        <v>24687.430323</v>
      </c>
      <c r="C8" s="478">
        <f>industrie!C18</f>
        <v>0</v>
      </c>
      <c r="D8" s="478">
        <f>industrie!D18</f>
        <v>63933.686059451989</v>
      </c>
      <c r="E8" s="478">
        <f>industrie!E18</f>
        <v>1221.8438755563543</v>
      </c>
      <c r="F8" s="478">
        <f>industrie!F18</f>
        <v>4545.2304409205344</v>
      </c>
      <c r="G8" s="478">
        <f>industrie!G18</f>
        <v>0</v>
      </c>
      <c r="H8" s="478">
        <f>industrie!H18</f>
        <v>0</v>
      </c>
      <c r="I8" s="478">
        <f>industrie!I18</f>
        <v>0</v>
      </c>
      <c r="J8" s="478">
        <f>industrie!J18</f>
        <v>201.96770870550318</v>
      </c>
      <c r="K8" s="478">
        <f>industrie!K18</f>
        <v>0</v>
      </c>
      <c r="L8" s="478">
        <f>industrie!L18</f>
        <v>0</v>
      </c>
      <c r="M8" s="478">
        <f>industrie!M18</f>
        <v>0</v>
      </c>
      <c r="N8" s="478">
        <f>industrie!N18</f>
        <v>968.87743383252837</v>
      </c>
      <c r="O8" s="478">
        <f>industrie!O18</f>
        <v>0</v>
      </c>
      <c r="P8" s="479">
        <f>industrie!P18</f>
        <v>0</v>
      </c>
      <c r="Q8" s="477">
        <f t="shared" si="0"/>
        <v>95559.035841466917</v>
      </c>
    </row>
    <row r="9" spans="1:17" s="483" customFormat="1">
      <c r="A9" s="481" t="s">
        <v>555</v>
      </c>
      <c r="B9" s="482">
        <f>transport!B14</f>
        <v>48.139243895833339</v>
      </c>
      <c r="C9" s="482">
        <f>transport!C14</f>
        <v>0</v>
      </c>
      <c r="D9" s="482">
        <f>transport!D14</f>
        <v>197.87282255631331</v>
      </c>
      <c r="E9" s="482">
        <f>transport!E14</f>
        <v>172.16175508576387</v>
      </c>
      <c r="F9" s="482">
        <f>transport!F14</f>
        <v>0</v>
      </c>
      <c r="G9" s="482">
        <f>transport!G14</f>
        <v>54584.585916162825</v>
      </c>
      <c r="H9" s="482">
        <f>transport!H14</f>
        <v>15057.736268176064</v>
      </c>
      <c r="I9" s="482">
        <f>transport!I14</f>
        <v>0</v>
      </c>
      <c r="J9" s="482">
        <f>transport!J14</f>
        <v>0</v>
      </c>
      <c r="K9" s="482">
        <f>transport!K14</f>
        <v>0</v>
      </c>
      <c r="L9" s="482">
        <f>transport!L14</f>
        <v>0</v>
      </c>
      <c r="M9" s="482">
        <f>transport!M14</f>
        <v>4137.1899358496603</v>
      </c>
      <c r="N9" s="482">
        <f>transport!N14</f>
        <v>0</v>
      </c>
      <c r="O9" s="482">
        <f>transport!O14</f>
        <v>0</v>
      </c>
      <c r="P9" s="482">
        <f>transport!P14</f>
        <v>0</v>
      </c>
      <c r="Q9" s="481">
        <f>SUM(B9:P9)</f>
        <v>74197.685941726464</v>
      </c>
    </row>
    <row r="10" spans="1:17">
      <c r="A10" s="477" t="s">
        <v>545</v>
      </c>
      <c r="B10" s="478">
        <f>transport!B54</f>
        <v>0</v>
      </c>
      <c r="C10" s="478">
        <f>transport!C54</f>
        <v>0</v>
      </c>
      <c r="D10" s="478">
        <f>transport!D54</f>
        <v>0</v>
      </c>
      <c r="E10" s="478">
        <f>transport!E54</f>
        <v>0</v>
      </c>
      <c r="F10" s="478">
        <f>transport!F54</f>
        <v>0</v>
      </c>
      <c r="G10" s="478">
        <f>transport!G54</f>
        <v>1240.0016477821032</v>
      </c>
      <c r="H10" s="478">
        <f>transport!H54</f>
        <v>0</v>
      </c>
      <c r="I10" s="478">
        <f>transport!I54</f>
        <v>0</v>
      </c>
      <c r="J10" s="478">
        <f>transport!J54</f>
        <v>0</v>
      </c>
      <c r="K10" s="478">
        <f>transport!K54</f>
        <v>0</v>
      </c>
      <c r="L10" s="478">
        <f>transport!L54</f>
        <v>0</v>
      </c>
      <c r="M10" s="478">
        <f>transport!M54</f>
        <v>68.919428782374609</v>
      </c>
      <c r="N10" s="478">
        <f>transport!N54</f>
        <v>0</v>
      </c>
      <c r="O10" s="478">
        <f>transport!O54</f>
        <v>0</v>
      </c>
      <c r="P10" s="479">
        <f>transport!P54</f>
        <v>0</v>
      </c>
      <c r="Q10" s="477">
        <f t="shared" si="0"/>
        <v>1308.9210765644777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329.59911900000003</v>
      </c>
      <c r="C14" s="485"/>
      <c r="D14" s="485">
        <f>'SEAP template'!E25</f>
        <v>1212.599923</v>
      </c>
      <c r="E14" s="485"/>
      <c r="F14" s="485"/>
      <c r="G14" s="485"/>
      <c r="H14" s="485"/>
      <c r="I14" s="485"/>
      <c r="J14" s="485"/>
      <c r="K14" s="485"/>
      <c r="L14" s="485"/>
      <c r="M14" s="485"/>
      <c r="N14" s="485"/>
      <c r="O14" s="485"/>
      <c r="P14" s="486"/>
      <c r="Q14" s="477">
        <f t="shared" si="0"/>
        <v>1542.199042</v>
      </c>
    </row>
    <row r="15" spans="1:17" s="489" customFormat="1">
      <c r="A15" s="487" t="s">
        <v>549</v>
      </c>
      <c r="B15" s="488">
        <f ca="1">SUM(B4:B14)</f>
        <v>50468.334283474134</v>
      </c>
      <c r="C15" s="488">
        <f t="shared" ref="C15:Q15" ca="1" si="1">SUM(C4:C14)</f>
        <v>0</v>
      </c>
      <c r="D15" s="488">
        <f t="shared" ca="1" si="1"/>
        <v>108388.42857194629</v>
      </c>
      <c r="E15" s="488">
        <f t="shared" si="1"/>
        <v>2288.1961288462403</v>
      </c>
      <c r="F15" s="488">
        <f t="shared" ca="1" si="1"/>
        <v>6508.900384581556</v>
      </c>
      <c r="G15" s="488">
        <f t="shared" si="1"/>
        <v>55824.58756394493</v>
      </c>
      <c r="H15" s="488">
        <f t="shared" si="1"/>
        <v>15057.736268176064</v>
      </c>
      <c r="I15" s="488">
        <f t="shared" si="1"/>
        <v>0</v>
      </c>
      <c r="J15" s="488">
        <f t="shared" si="1"/>
        <v>202.21253743083136</v>
      </c>
      <c r="K15" s="488">
        <f t="shared" si="1"/>
        <v>0</v>
      </c>
      <c r="L15" s="488">
        <f t="shared" ca="1" si="1"/>
        <v>0</v>
      </c>
      <c r="M15" s="488">
        <f t="shared" si="1"/>
        <v>4206.1093646320351</v>
      </c>
      <c r="N15" s="488">
        <f t="shared" ca="1" si="1"/>
        <v>2500.2184487726281</v>
      </c>
      <c r="O15" s="488">
        <f t="shared" si="1"/>
        <v>7.9358328775481271</v>
      </c>
      <c r="P15" s="488">
        <f t="shared" si="1"/>
        <v>10.533959307685024</v>
      </c>
      <c r="Q15" s="488">
        <f t="shared" ca="1" si="1"/>
        <v>245463.19334398993</v>
      </c>
    </row>
    <row r="17" spans="1:17">
      <c r="A17" s="490" t="s">
        <v>550</v>
      </c>
      <c r="B17" s="807">
        <f ca="1">huishoudens!B10</f>
        <v>0.2165483619728758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1494.6287210796022</v>
      </c>
      <c r="C22" s="478">
        <f t="shared" ref="C22:C32" ca="1" si="3">C4*$C$17</f>
        <v>0</v>
      </c>
      <c r="D22" s="478">
        <f t="shared" ref="D22:D32" si="4">D4*$D$17</f>
        <v>5098.0060690301607</v>
      </c>
      <c r="E22" s="478">
        <f t="shared" ref="E22:E32" si="5">E4*$E$17</f>
        <v>126.71879537784825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6719.3535854876118</v>
      </c>
    </row>
    <row r="23" spans="1:17">
      <c r="A23" s="477" t="s">
        <v>155</v>
      </c>
      <c r="B23" s="478">
        <f t="shared" ca="1" si="2"/>
        <v>3947.8114550626906</v>
      </c>
      <c r="C23" s="478">
        <f t="shared" ca="1" si="3"/>
        <v>0</v>
      </c>
      <c r="D23" s="478">
        <f t="shared" ca="1" si="4"/>
        <v>3596.9364238913158</v>
      </c>
      <c r="E23" s="478">
        <f t="shared" si="5"/>
        <v>76.256411979484696</v>
      </c>
      <c r="F23" s="478">
        <f t="shared" ca="1" si="6"/>
        <v>523.49596659465874</v>
      </c>
      <c r="G23" s="478">
        <f t="shared" si="7"/>
        <v>0</v>
      </c>
      <c r="H23" s="478">
        <f t="shared" si="8"/>
        <v>0</v>
      </c>
      <c r="I23" s="478">
        <f t="shared" si="9"/>
        <v>0</v>
      </c>
      <c r="J23" s="478">
        <f t="shared" si="10"/>
        <v>3.5789545468608258E-3</v>
      </c>
      <c r="K23" s="478">
        <f t="shared" si="11"/>
        <v>0</v>
      </c>
      <c r="L23" s="478">
        <f t="shared" ca="1" si="12"/>
        <v>0</v>
      </c>
      <c r="M23" s="478">
        <f t="shared" si="13"/>
        <v>0</v>
      </c>
      <c r="N23" s="478">
        <f t="shared" ca="1" si="14"/>
        <v>0</v>
      </c>
      <c r="O23" s="478">
        <f t="shared" si="15"/>
        <v>0</v>
      </c>
      <c r="P23" s="479">
        <f t="shared" si="16"/>
        <v>0</v>
      </c>
      <c r="Q23" s="477">
        <f t="shared" ref="Q23:Q31" ca="1" si="17">SUM(B23:P23)</f>
        <v>8144.5038364826969</v>
      </c>
    </row>
    <row r="24" spans="1:17">
      <c r="A24" s="477" t="s">
        <v>193</v>
      </c>
      <c r="B24" s="478">
        <f t="shared" ca="1" si="2"/>
        <v>58.389234128918346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58.389234128918346</v>
      </c>
    </row>
    <row r="25" spans="1:17">
      <c r="A25" s="477" t="s">
        <v>111</v>
      </c>
      <c r="B25" s="478">
        <f t="shared" ca="1" si="2"/>
        <v>0.18448881007951551</v>
      </c>
      <c r="C25" s="478">
        <f t="shared" ca="1" si="3"/>
        <v>0</v>
      </c>
      <c r="D25" s="478">
        <f t="shared" si="4"/>
        <v>0</v>
      </c>
      <c r="E25" s="478">
        <f t="shared" si="5"/>
        <v>6.0357350026618633E-3</v>
      </c>
      <c r="F25" s="478">
        <f t="shared" si="6"/>
        <v>0.80390836283400668</v>
      </c>
      <c r="G25" s="478">
        <f t="shared" si="7"/>
        <v>0</v>
      </c>
      <c r="H25" s="478">
        <f t="shared" si="8"/>
        <v>0</v>
      </c>
      <c r="I25" s="478">
        <f t="shared" si="9"/>
        <v>0</v>
      </c>
      <c r="J25" s="478">
        <f t="shared" si="10"/>
        <v>8.3090414219310571E-2</v>
      </c>
      <c r="K25" s="478">
        <f t="shared" si="11"/>
        <v>0</v>
      </c>
      <c r="L25" s="478">
        <f t="shared" si="12"/>
        <v>0</v>
      </c>
      <c r="M25" s="478">
        <f t="shared" si="13"/>
        <v>0</v>
      </c>
      <c r="N25" s="478">
        <f t="shared" si="14"/>
        <v>0</v>
      </c>
      <c r="O25" s="478">
        <f t="shared" si="15"/>
        <v>0</v>
      </c>
      <c r="P25" s="479">
        <f t="shared" si="16"/>
        <v>0</v>
      </c>
      <c r="Q25" s="477">
        <f t="shared" ca="1" si="17"/>
        <v>1.0775233221354945</v>
      </c>
    </row>
    <row r="26" spans="1:17">
      <c r="A26" s="477" t="s">
        <v>629</v>
      </c>
      <c r="B26" s="478">
        <f t="shared" ca="1" si="2"/>
        <v>5346.0225977651544</v>
      </c>
      <c r="C26" s="478">
        <f t="shared" ca="1" si="3"/>
        <v>0</v>
      </c>
      <c r="D26" s="478">
        <f t="shared" si="4"/>
        <v>12914.604584009303</v>
      </c>
      <c r="E26" s="478">
        <f t="shared" si="5"/>
        <v>277.35855975129243</v>
      </c>
      <c r="F26" s="478">
        <f t="shared" si="6"/>
        <v>1213.5765277257829</v>
      </c>
      <c r="G26" s="478">
        <f t="shared" si="7"/>
        <v>0</v>
      </c>
      <c r="H26" s="478">
        <f t="shared" si="8"/>
        <v>0</v>
      </c>
      <c r="I26" s="478">
        <f t="shared" si="9"/>
        <v>0</v>
      </c>
      <c r="J26" s="478">
        <f t="shared" si="10"/>
        <v>71.496568881748118</v>
      </c>
      <c r="K26" s="478">
        <f t="shared" si="11"/>
        <v>0</v>
      </c>
      <c r="L26" s="478">
        <f t="shared" si="12"/>
        <v>0</v>
      </c>
      <c r="M26" s="478">
        <f t="shared" si="13"/>
        <v>0</v>
      </c>
      <c r="N26" s="478">
        <f t="shared" si="14"/>
        <v>0</v>
      </c>
      <c r="O26" s="478">
        <f t="shared" si="15"/>
        <v>0</v>
      </c>
      <c r="P26" s="479">
        <f t="shared" si="16"/>
        <v>0</v>
      </c>
      <c r="Q26" s="477">
        <f t="shared" ca="1" si="17"/>
        <v>19823.058838133278</v>
      </c>
    </row>
    <row r="27" spans="1:17" s="483" customFormat="1">
      <c r="A27" s="481" t="s">
        <v>555</v>
      </c>
      <c r="B27" s="801">
        <f t="shared" ca="1" si="2"/>
        <v>10.424474412255469</v>
      </c>
      <c r="C27" s="482">
        <f t="shared" ca="1" si="3"/>
        <v>0</v>
      </c>
      <c r="D27" s="482">
        <f t="shared" si="4"/>
        <v>39.970310156375291</v>
      </c>
      <c r="E27" s="482">
        <f t="shared" si="5"/>
        <v>39.080718404468399</v>
      </c>
      <c r="F27" s="482">
        <f t="shared" si="6"/>
        <v>0</v>
      </c>
      <c r="G27" s="482">
        <f t="shared" si="7"/>
        <v>14574.084439615475</v>
      </c>
      <c r="H27" s="482">
        <f t="shared" si="8"/>
        <v>3749.37633077584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18412.936273364416</v>
      </c>
    </row>
    <row r="28" spans="1:17" ht="16.5" customHeight="1">
      <c r="A28" s="477" t="s">
        <v>545</v>
      </c>
      <c r="B28" s="478">
        <f t="shared" ca="1" si="2"/>
        <v>0</v>
      </c>
      <c r="C28" s="478">
        <f t="shared" ca="1" si="3"/>
        <v>0</v>
      </c>
      <c r="D28" s="478">
        <f t="shared" si="4"/>
        <v>0</v>
      </c>
      <c r="E28" s="478">
        <f t="shared" si="5"/>
        <v>0</v>
      </c>
      <c r="F28" s="478">
        <f t="shared" si="6"/>
        <v>0</v>
      </c>
      <c r="G28" s="478">
        <f t="shared" si="7"/>
        <v>331.08043995782157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331.08043995782157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71.374149327152978</v>
      </c>
      <c r="C32" s="478">
        <f t="shared" ca="1" si="3"/>
        <v>0</v>
      </c>
      <c r="D32" s="478">
        <f t="shared" si="4"/>
        <v>244.94518444600001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316.31933377315301</v>
      </c>
    </row>
    <row r="33" spans="1:17" s="489" customFormat="1">
      <c r="A33" s="487" t="s">
        <v>549</v>
      </c>
      <c r="B33" s="488">
        <f ca="1">SUM(B22:B32)</f>
        <v>10928.835120585854</v>
      </c>
      <c r="C33" s="488">
        <f t="shared" ref="C33:Q33" ca="1" si="19">SUM(C22:C32)</f>
        <v>0</v>
      </c>
      <c r="D33" s="488">
        <f t="shared" ca="1" si="19"/>
        <v>21894.462571533157</v>
      </c>
      <c r="E33" s="488">
        <f t="shared" si="19"/>
        <v>519.42052124809641</v>
      </c>
      <c r="F33" s="488">
        <f t="shared" ca="1" si="19"/>
        <v>1737.8764026832755</v>
      </c>
      <c r="G33" s="488">
        <f t="shared" si="19"/>
        <v>14905.164879573296</v>
      </c>
      <c r="H33" s="488">
        <f t="shared" si="19"/>
        <v>3749.37633077584</v>
      </c>
      <c r="I33" s="488">
        <f t="shared" si="19"/>
        <v>0</v>
      </c>
      <c r="J33" s="488">
        <f t="shared" si="19"/>
        <v>71.583238250514285</v>
      </c>
      <c r="K33" s="488">
        <f t="shared" si="19"/>
        <v>0</v>
      </c>
      <c r="L33" s="488">
        <f t="shared" ca="1" si="19"/>
        <v>0</v>
      </c>
      <c r="M33" s="488">
        <f t="shared" si="19"/>
        <v>0</v>
      </c>
      <c r="N33" s="488">
        <f t="shared" ca="1" si="19"/>
        <v>0</v>
      </c>
      <c r="O33" s="488">
        <f t="shared" si="19"/>
        <v>0</v>
      </c>
      <c r="P33" s="488">
        <f t="shared" si="19"/>
        <v>0</v>
      </c>
      <c r="Q33" s="488">
        <f t="shared" ca="1" si="19"/>
        <v>53806.719064650024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173.57060320532511</v>
      </c>
      <c r="C5" s="1062"/>
      <c r="D5" s="1062"/>
      <c r="E5" s="1062"/>
      <c r="F5" s="1062"/>
      <c r="G5" s="1062"/>
      <c r="H5" s="1062"/>
      <c r="I5" s="1062"/>
      <c r="J5" s="1062"/>
      <c r="K5" s="1062"/>
      <c r="L5" s="1062"/>
      <c r="M5" s="1062"/>
      <c r="N5" s="1062"/>
      <c r="O5" s="1062"/>
      <c r="P5" s="1063">
        <f>'SEAP template'!Q73</f>
        <v>0</v>
      </c>
    </row>
    <row r="6" spans="1:16">
      <c r="A6" s="1067" t="s">
        <v>250</v>
      </c>
      <c r="B6" s="1062">
        <f>'SEAP template'!B74</f>
        <v>843.02105318348879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1016.5916563888139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0.2165483619728758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0.2165483619728758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2019-08-12T08:38:56Z</dcterms:modified>
</cp:coreProperties>
</file>