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L6" i="17"/>
  <c r="L5" s="1"/>
  <c r="D16" i="16"/>
  <c r="J15"/>
  <c r="N30" i="48"/>
  <c r="N32"/>
  <c r="J30"/>
  <c r="J32"/>
  <c r="G20" i="59"/>
  <c r="D6" i="17"/>
  <c r="D8" s="1"/>
  <c r="D12" s="1"/>
  <c r="E54" i="14" s="1"/>
  <c r="O20" i="59"/>
  <c r="D89" i="14"/>
  <c r="D19" i="59" s="1"/>
  <c r="O19" i="18"/>
  <c r="K10"/>
  <c r="N77" i="14"/>
  <c r="L10" i="18"/>
  <c r="O77" i="14"/>
  <c r="C89"/>
  <c r="C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N78" i="14" l="1"/>
  <c r="N9" i="59"/>
  <c r="N10" s="1"/>
  <c r="I33" i="48"/>
  <c r="J16" i="14"/>
  <c r="B89"/>
  <c r="B19" i="59" s="1"/>
  <c r="H90" i="14"/>
  <c r="H18" i="59"/>
  <c r="H20" s="1"/>
  <c r="H78" i="14"/>
  <c r="H9" i="59"/>
  <c r="H10" s="1"/>
  <c r="M24" i="48"/>
  <c r="M32"/>
  <c r="E78" i="14"/>
  <c r="E9" i="59"/>
  <c r="E10" s="1"/>
  <c r="O78" i="14"/>
  <c r="O9" i="59"/>
  <c r="O10" s="1"/>
  <c r="G78" i="14"/>
  <c r="G9" i="59"/>
  <c r="G10" s="1"/>
  <c r="K15" i="48"/>
  <c r="Q13" i="14"/>
  <c r="I20" i="15"/>
  <c r="J40" i="14" s="1"/>
  <c r="I15" i="48"/>
  <c r="J27" i="14"/>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J20" i="15"/>
  <c r="K40" i="14" s="1"/>
  <c r="E27"/>
  <c r="C10" i="18"/>
  <c r="J78" i="14"/>
  <c r="J8" i="59"/>
  <c r="J10" s="1"/>
  <c r="D90" i="14"/>
  <c r="D17" i="59"/>
  <c r="D20" s="1"/>
  <c r="I90" i="14"/>
  <c r="I17" i="59"/>
  <c r="I20" s="1"/>
  <c r="J5" i="48"/>
  <c r="J23" s="1"/>
  <c r="B15"/>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<sst xmlns="http://schemas.openxmlformats.org/spreadsheetml/2006/main" count="2384" uniqueCount="886">
  <si>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</si>
  <si>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</si>
  <si>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</si>
  <si>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</si>
  <si>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</si>
  <si>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</si>
  <si>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</si>
  <si>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</si>
  <si>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</si>
  <si>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</si>
  <si>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</si>
  <si>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</si>
  <si>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</si>
  <si>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</si>
  <si>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</si>
  <si>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</si>
  <si>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</si>
  <si>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</si>
  <si>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</si>
  <si>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</si>
  <si>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</si>
  <si>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</si>
  <si>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</si>
  <si>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</si>
  <si>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</si>
  <si>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</si>
  <si>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</si>
  <si>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</si>
  <si>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</si>
  <si>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</si>
  <si>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</si>
  <si>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</si>
  <si>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</si>
  <si>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</si>
  <si>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</si>
  <si>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</si>
  <si>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</si>
  <si>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</si>
  <si>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</si>
  <si>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</si>
  <si>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</si>
  <si>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</si>
  <si>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</si>
  <si>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</si>
  <si>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</si>
  <si>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</si>
  <si>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</si>
  <si>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</si>
  <si>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</si>
  <si>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</si>
  <si>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</si>
  <si>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</si>
  <si>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</si>
  <si>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</si>
  <si>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</si>
  <si>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</si>
  <si>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</si>
  <si>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</si>
  <si>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</si>
  <si>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</si>
  <si>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</si>
  <si>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</si>
  <si>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</si>
  <si>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</si>
  <si>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</si>
  <si>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</si>
  <si>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</si>
  <si>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</si>
  <si>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</si>
  <si>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</si>
  <si>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</si>
  <si>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</si>
  <si>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</si>
  <si>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</si>
  <si>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</si>
  <si>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</si>
  <si>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</si>
  <si>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</si>
  <si>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</si>
  <si>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</si>
  <si>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</si>
  <si>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</si>
  <si>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</si>
  <si>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</si>
  <si>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</si>
  <si>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</si>
  <si>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</si>
  <si>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</si>
  <si>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</si>
  <si>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</si>
  <si>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</si>
  <si>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</si>
  <si>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</si>
  <si>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</si>
  <si>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</si>
  <si>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</si>
  <si>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</si>
  <si>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</si>
  <si>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</si>
  <si>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</si>
  <si>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</si>
  <si>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</si>
  <si>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</si>
  <si>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</si>
  <si>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</si>
  <si>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</si>
  <si>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</si>
  <si>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</si>
  <si>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</si>
  <si>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</si>
  <si>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</si>
  <si>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</si>
  <si>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</si>
  <si>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</si>
  <si>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</si>
  <si>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</si>
  <si>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</si>
  <si>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</si>
  <si>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</si>
  <si>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</si>
  <si>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</si>
  <si>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</si>
  <si>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</si>
  <si>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</si>
  <si>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</si>
  <si>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</si>
  <si>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</si>
  <si>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</si>
  <si>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</si>
  <si>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</si>
  <si>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</si>
  <si>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</si>
  <si>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</si>
  <si>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</si>
  <si>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</si>
  <si>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</si>
  <si>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</si>
  <si>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</si>
  <si>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</si>
  <si>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</si>
  <si>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</si>
  <si>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</si>
  <si>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</si>
  <si>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</si>
  <si>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</si>
  <si>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</si>
  <si>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</si>
  <si>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</si>
  <si>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</si>
  <si>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</si>
  <si>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</si>
  <si>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</si>
  <si>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</si>
  <si>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</si>
  <si>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</si>
  <si>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</si>
  <si>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</si>
  <si>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</si>
  <si>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</si>
  <si>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</si>
  <si>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</si>
  <si>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</si>
  <si>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</si>
  <si>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</si>
  <si>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</si>
  <si>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</si>
  <si>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</si>
  <si>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</si>
  <si>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</si>
  <si>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</si>
  <si>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</si>
  <si>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</si>
  <si>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</si>
  <si>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</si>
  <si>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</si>
  <si>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</si>
  <si>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</si>
  <si>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</si>
  <si>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</si>
  <si>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</si>
  <si>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</si>
  <si>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</si>
  <si>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</si>
  <si>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</si>
  <si>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</si>
  <si>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</si>
  <si>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</si>
  <si>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</si>
  <si>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</si>
  <si>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</si>
  <si>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</si>
  <si>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</si>
  <si>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</si>
  <si>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</si>
  <si>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</si>
  <si>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</si>
  <si>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</si>
  <si>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</si>
  <si>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</si>
  <si>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</si>
  <si>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</si>
  <si>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</si>
  <si>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</si>
  <si>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</si>
  <si>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</si>
  <si>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</si>
  <si>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</si>
  <si>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</si>
  <si>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</si>
  <si>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</si>
  <si>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</si>
  <si>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</si>
  <si>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</si>
  <si>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</si>
  <si>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</si>
  <si>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</si>
  <si>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</si>
  <si>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</si>
  <si>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</si>
  <si>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</si>
  <si>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</si>
  <si>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</si>
  <si>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</si>
  <si>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</si>
  <si>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</si>
  <si>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</si>
  <si>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</si>
  <si>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</si>
  <si>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</si>
  <si>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</si>
  <si>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</si>
  <si>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</si>
  <si>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</si>
  <si>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</si>
  <si>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</si>
  <si>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</si>
  <si>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</si>
  <si>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</si>
  <si>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</si>
  <si>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</si>
  <si>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</si>
  <si>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</si>
  <si>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</si>
  <si>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</si>
  <si>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</si>
  <si>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</si>
  <si>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</si>
  <si>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</si>
  <si>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</si>
  <si>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</si>
  <si>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</si>
  <si>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</si>
  <si>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</si>
  <si>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</si>
  <si>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</si>
  <si>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</si>
  <si>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</si>
  <si>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</si>
  <si>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</si>
  <si>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</si>
  <si>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</si>
  <si>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</si>
  <si>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</si>
  <si>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</si>
  <si>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</si>
  <si>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</si>
  <si>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</si>
  <si>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</si>
  <si>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</si>
  <si>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</si>
  <si>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</si>
  <si>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</si>
  <si>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</si>
  <si>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</si>
  <si>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</si>
  <si>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</si>
  <si>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</si>
  <si>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</si>
  <si>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</si>
  <si>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</si>
  <si>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</si>
  <si>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</si>
  <si>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</si>
  <si>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</si>
  <si>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</si>
  <si>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</si>
  <si>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</si>
  <si>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</si>
  <si>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</si>
  <si>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</si>
  <si>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</si>
  <si>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</si>
  <si>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</si>
  <si>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</si>
  <si>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</si>
  <si>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</si>
  <si>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</si>
  <si>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</si>
  <si>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</si>
  <si>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</si>
  <si>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</si>
  <si>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</si>
  <si>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</si>
  <si>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</si>
  <si>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</si>
  <si>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</si>
  <si>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</si>
  <si>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</si>
  <si>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</si>
  <si>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</si>
  <si>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</si>
  <si>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</si>
  <si>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</si>
  <si>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</si>
  <si>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</si>
  <si>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</si>
  <si>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</si>
  <si>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</si>
  <si>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</si>
  <si>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</si>
  <si>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</si>
  <si>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</si>
  <si>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</si>
  <si>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</si>
  <si>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</si>
  <si>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</si>
  <si>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</si>
  <si>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</si>
  <si>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</si>
  <si>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</si>
  <si>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</si>
  <si>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</si>
  <si>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</si>
  <si>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</si>
  <si>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</si>
  <si>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</si>
  <si>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</si>
  <si>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</si>
  <si>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</si>
  <si>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</si>
  <si>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</si>
  <si>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</si>
  <si>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</si>
  <si>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</si>
  <si>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</si>
  <si>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</si>
  <si>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</si>
  <si>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</si>
  <si>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</si>
  <si>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</si>
  <si>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</si>
  <si>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</si>
  <si>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</si>
  <si>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</si>
  <si>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</si>
  <si>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</si>
  <si>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</si>
  <si>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</si>
  <si>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</si>
  <si>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</si>
  <si>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</si>
  <si>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</si>
  <si>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</si>
  <si>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</si>
  <si>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</si>
  <si>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</si>
  <si>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</si>
  <si>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</si>
  <si>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</si>
  <si>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</si>
  <si>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</si>
  <si>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</si>
  <si>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</si>
  <si>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</si>
  <si>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</si>
  <si>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</si>
  <si>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</si>
  <si>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</si>
  <si>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</si>
  <si>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</si>
  <si>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</si>
  <si>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</si>
  <si>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</si>
  <si>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</si>
  <si>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</si>
  <si>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</si>
  <si>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</si>
  <si>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</si>
  <si>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</si>
  <si>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</si>
  <si>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</si>
  <si>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</si>
  <si>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</si>
  <si>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</si>
  <si>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</si>
  <si>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</si>
  <si>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</si>
  <si>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</si>
  <si>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</si>
  <si>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</si>
  <si>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</si>
  <si>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</si>
  <si>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</si>
  <si>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</si>
  <si>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</si>
  <si>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</si>
  <si>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</si>
  <si>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</si>
  <si>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</si>
  <si>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</si>
  <si>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</si>
  <si>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</si>
  <si>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</si>
  <si>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</si>
  <si>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</si>
  <si>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</si>
  <si>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</si>
  <si>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</si>
  <si>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</si>
  <si>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</si>
  <si>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</si>
  <si>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</si>
  <si>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</si>
  <si>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</si>
  <si>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</si>
  <si>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</si>
  <si>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</si>
  <si>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</si>
  <si>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</si>
  <si>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</si>
  <si>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</si>
  <si>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</si>
  <si>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</si>
  <si>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</si>
  <si>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</si>
  <si>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</si>
  <si>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</si>
  <si>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</si>
  <si>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</si>
  <si>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</si>
  <si>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</si>
  <si>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</si>
  <si>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</si>
  <si>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</si>
  <si>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</si>
  <si>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</si>
  <si>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</si>
  <si>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</si>
  <si>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</si>
  <si>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</si>
  <si>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</si>
  <si>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</si>
  <si>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</si>
  <si>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</si>
  <si>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</si>
  <si>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</si>
  <si>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</si>
  <si>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</si>
  <si>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</si>
  <si>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</si>
  <si>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</si>
  <si>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</si>
  <si>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</si>
  <si>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</si>
  <si>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</si>
  <si>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</si>
  <si>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</si>
  <si>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</si>
  <si>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</si>
  <si>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</si>
  <si>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</si>
  <si>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</si>
  <si>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</si>
  <si>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</si>
  <si>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</si>
  <si>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</si>
  <si>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</si>
  <si>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</si>
  <si>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</si>
  <si>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</si>
  <si>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</si>
  <si>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</si>
  <si>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</si>
  <si>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</si>
  <si>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</si>
  <si>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</si>
  <si>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</si>
  <si>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</si>
  <si>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</si>
  <si>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</si>
  <si>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</si>
  <si>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</si>
  <si>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</si>
  <si>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</si>
  <si>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</si>
  <si>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</si>
  <si>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</si>
  <si>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</si>
  <si>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</si>
  <si>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</si>
  <si>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</si>
  <si>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</si>
  <si>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</si>
  <si>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</si>
  <si>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</si>
  <si>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</si>
  <si>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</si>
  <si>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</si>
  <si>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</si>
  <si>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</si>
  <si>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</si>
  <si>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</si>
  <si>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</si>
  <si>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</si>
  <si>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</si>
  <si>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</si>
  <si>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</si>
  <si>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</si>
  <si>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</si>
  <si>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</si>
  <si>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</si>
  <si>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</si>
  <si>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</si>
  <si>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</si>
  <si>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</si>
  <si>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</si>
  <si>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</si>
  <si>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</si>
  <si>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</si>
  <si>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</si>
  <si>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</si>
  <si>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</si>
  <si>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</si>
  <si>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</si>
  <si>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</si>
  <si>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</si>
  <si>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</si>
  <si>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</si>
  <si>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</si>
  <si>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</si>
  <si>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</si>
  <si>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</si>
  <si>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</si>
  <si>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</si>
  <si>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</si>
  <si>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</si>
  <si>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</si>
  <si>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</si>
  <si>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</si>
  <si>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</si>
  <si>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</si>
  <si>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</si>
  <si>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</si>
  <si>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</si>
  <si>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</si>
  <si>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</si>
  <si>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</si>
  <si>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</si>
  <si>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</si>
  <si>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</si>
  <si>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</si>
  <si>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</si>
  <si>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</si>
  <si>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</si>
  <si>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</si>
  <si>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</si>
  <si>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</si>
  <si>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</si>
  <si>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</si>
  <si>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</si>
  <si>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</si>
  <si>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</si>
  <si>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</si>
  <si>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</si>
  <si>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</si>
  <si>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</si>
  <si>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</si>
  <si>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</si>
  <si>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</si>
  <si>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</si>
  <si>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</si>
  <si>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</si>
  <si>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</si>
  <si>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</si>
  <si>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</si>
  <si>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</si>
  <si>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</si>
  <si>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</si>
  <si>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</si>
  <si>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</si>
  <si>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</si>
  <si>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</si>
  <si>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</si>
  <si>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</si>
  <si>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</si>
  <si>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</si>
  <si>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</si>
  <si>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</si>
  <si>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</si>
  <si>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</si>
  <si>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</si>
  <si>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</si>
  <si>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</si>
  <si>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</si>
  <si>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</si>
  <si>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</si>
  <si>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</si>
  <si>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</si>
  <si>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</si>
  <si>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</si>
  <si>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</si>
  <si>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</si>
  <si>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</si>
  <si>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</si>
  <si>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</si>
  <si>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</si>
  <si>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</si>
  <si>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</si>
  <si>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</si>
  <si>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</si>
  <si>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</si>
  <si>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</si>
  <si>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</si>
  <si>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</si>
  <si>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</si>
  <si>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</si>
  <si>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</si>
  <si>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</si>
  <si>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</si>
  <si>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</si>
  <si>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</si>
  <si>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</si>
  <si>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</si>
  <si>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</si>
  <si>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</si>
  <si>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</si>
  <si>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</si>
  <si>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</si>
  <si>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</si>
  <si>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</si>
  <si>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</si>
  <si>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</si>
  <si>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</si>
  <si>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</si>
  <si>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</si>
  <si>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</si>
  <si>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</si>
  <si>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</si>
  <si>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</si>
  <si>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</si>
  <si>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</si>
  <si>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</si>
  <si>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</si>
  <si>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</si>
  <si>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</si>
  <si>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</si>
  <si>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</si>
  <si>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</si>
  <si>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</si>
  <si>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</si>
  <si>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</si>
  <si>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</si>
  <si>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</si>
  <si>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</si>
  <si>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</si>
  <si>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</si>
  <si>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</si>
  <si>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</si>
  <si>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</si>
  <si>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</si>
  <si>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</si>
  <si>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</si>
  <si>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</si>
  <si>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</si>
  <si>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</si>
  <si>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</si>
  <si>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</si>
  <si>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</si>
  <si>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</si>
  <si>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</si>
  <si>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</si>
  <si>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</si>
  <si>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</si>
  <si>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</si>
  <si>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</si>
  <si>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</si>
  <si>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</si>
  <si>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</si>
  <si>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</si>
  <si>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</si>
  <si>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</si>
  <si>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</si>
  <si>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</si>
  <si>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</si>
  <si>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</si>
  <si>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</si>
  <si>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</si>
  <si>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</si>
  <si>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</si>
  <si>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</si>
  <si>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</si>
  <si>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</si>
  <si>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</si>
  <si>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</si>
  <si>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</si>
  <si>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</si>
  <si>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</si>
  <si>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</si>
  <si>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</si>
  <si>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</si>
  <si>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</si>
  <si>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</si>
  <si>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</si>
  <si>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</si>
  <si>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</si>
  <si>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</si>
  <si>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</si>
  <si>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</si>
  <si>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</si>
  <si>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</si>
  <si>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</si>
  <si>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</si>
  <si>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</si>
  <si>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</si>
  <si>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</si>
  <si>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</si>
  <si>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</si>
  <si>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</si>
  <si>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</si>
  <si>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</si>
  <si>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</si>
  <si>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</si>
  <si>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</si>
  <si>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</si>
  <si>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</si>
  <si>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</si>
  <si>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</si>
  <si>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</si>
  <si>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</si>
  <si>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</si>
  <si>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</si>
  <si>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</si>
  <si>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</si>
  <si>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</si>
  <si>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</si>
  <si>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</si>
  <si>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</si>
  <si>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</si>
  <si>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</si>
  <si>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</si>
  <si>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</si>
  <si>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</si>
  <si>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</si>
  <si>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</si>
  <si>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</si>
  <si>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</si>
  <si>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</si>
  <si>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</si>
  <si>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</si>
  <si>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</si>
  <si>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</si>
  <si>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</si>
  <si>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</si>
  <si>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</si>
  <si>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</si>
  <si>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</si>
  <si>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</si>
  <si>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</si>
  <si>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</si>
  <si>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</si>
  <si>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</si>
  <si>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</si>
  <si>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</si>
  <si>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</si>
  <si>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</si>
  <si>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</si>
  <si>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</si>
  <si>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</si>
  <si>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</si>
  <si>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</si>
  <si>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</si>
  <si>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</si>
  <si>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</si>
  <si>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</si>
  <si>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</si>
  <si>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</si>
  <si>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</si>
  <si>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</si>
  <si>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</si>
  <si>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</si>
  <si>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</si>
  <si>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</si>
  <si>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</si>
  <si>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</si>
  <si>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</si>
  <si>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</si>
  <si>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</si>
  <si>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</si>
  <si>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</si>
  <si>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</si>
  <si>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</si>
  <si>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</si>
  <si>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</si>
  <si>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</si>
  <si>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</si>
  <si>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</si>
  <si>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</si>
  <si>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</si>
  <si>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</si>
  <si>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</si>
  <si>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</si>
  <si>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</si>
  <si>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</si>
  <si>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</si>
  <si>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</si>
  <si>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</si>
  <si>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</si>
  <si>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</si>
  <si>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</si>
  <si>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</si>
  <si>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</si>
  <si>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</si>
  <si>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</si>
  <si>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</si>
  <si>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</si>
  <si>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</si>
  <si>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</si>
  <si>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</si>
  <si>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</si>
  <si>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</si>
  <si>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</si>
  <si>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</si>
  <si>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</si>
  <si>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</si>
  <si>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</si>
  <si>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</si>
  <si>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</si>
  <si>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</si>
  <si>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</si>
  <si>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</si>
  <si>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</si>
  <si>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</si>
  <si>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</si>
  <si>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</si>
  <si>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</si>
  <si>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</si>
  <si>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</si>
  <si>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</si>
  <si>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</si>
  <si>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</si>
  <si>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</si>
  <si>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</si>
  <si>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</si>
  <si>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</si>
  <si>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</si>
  <si>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</si>
  <si>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</si>
  <si>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</si>
  <si>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</si>
  <si>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</si>
  <si>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</si>
  <si>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</si>
  <si>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</si>
  <si>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</si>
  <si>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</si>
  <si>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</si>
  <si>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</si>
  <si>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</si>
  <si>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</si>
  <si>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</si>
  <si>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</si>
  <si>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</si>
  <si>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</si>
  <si>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</si>
  <si>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</si>
  <si>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</si>
  <si>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</si>
  <si>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</si>
  <si>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23097</t>
  </si>
  <si>
    <t>ROOSDAAL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</si>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</sst>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93964.708371162866</c:v>
                </c:pt>
                <c:pt idx="1">
                  <c:v>16777.776070371165</c:v>
                </c:pt>
                <c:pt idx="2">
                  <c:v>602.09400000000005</c:v>
                </c:pt>
                <c:pt idx="3">
                  <c:v>2354.4930291435139</c:v>
                </c:pt>
                <c:pt idx="4">
                  <c:v>7843.4987907334307</c:v>
                </c:pt>
                <c:pt idx="5">
                  <c:v>50051.795994417465</c:v>
                </c:pt>
                <c:pt idx="6">
                  <c:v>1883.0487367512978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93964.708371162866</c:v>
                </c:pt>
                <c:pt idx="1">
                  <c:v>16777.776070371165</c:v>
                </c:pt>
                <c:pt idx="2">
                  <c:v>602.09400000000005</c:v>
                </c:pt>
                <c:pt idx="3">
                  <c:v>2354.4930291435139</c:v>
                </c:pt>
                <c:pt idx="4">
                  <c:v>7843.4987907334307</c:v>
                </c:pt>
                <c:pt idx="5">
                  <c:v>50051.795994417465</c:v>
                </c:pt>
                <c:pt idx="6">
                  <c:v>1883.0487367512978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18580.091018082148</c:v>
                </c:pt>
                <c:pt idx="1">
                  <c:v>3315.0793072737715</c:v>
                </c:pt>
                <c:pt idx="2">
                  <c:v>122.28672714497219</c:v>
                </c:pt>
                <c:pt idx="3">
                  <c:v>594.61796438866929</c:v>
                </c:pt>
                <c:pt idx="4">
                  <c:v>1637.7477303917462</c:v>
                </c:pt>
                <c:pt idx="5">
                  <c:v>12441.334465306545</c:v>
                </c:pt>
                <c:pt idx="6">
                  <c:v>476.30114251195567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18580.091018082148</c:v>
                </c:pt>
                <c:pt idx="1">
                  <c:v>3315.0793072737715</c:v>
                </c:pt>
                <c:pt idx="2">
                  <c:v>122.28672714497219</c:v>
                </c:pt>
                <c:pt idx="3">
                  <c:v>594.61796438866929</c:v>
                </c:pt>
                <c:pt idx="4">
                  <c:v>1637.7477303917462</c:v>
                </c:pt>
                <c:pt idx="5">
                  <c:v>12441.334465306545</c:v>
                </c:pt>
                <c:pt idx="6">
                  <c:v>476.30114251195567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23097</v>
      </c>
      <c r="B6" s="415"/>
      <c r="C6" s="416"/>
    </row>
    <row r="7" spans="1:7" s="413" customFormat="1" ht="15.75" customHeight="1">
      <c r="A7" s="417" t="str">
        <f>txtMunicipality</f>
        <v>ROOSDAAL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0.20310238458608154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0.20310238458608154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4555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960.79</v>
      </c>
    </row>
    <row r="15" spans="1:6">
      <c r="A15" s="348" t="s">
        <v>183</v>
      </c>
      <c r="B15" s="334">
        <v>1</v>
      </c>
    </row>
    <row r="16" spans="1:6">
      <c r="A16" s="348" t="s">
        <v>6</v>
      </c>
      <c r="B16" s="334">
        <v>61</v>
      </c>
    </row>
    <row r="17" spans="1:6">
      <c r="A17" s="348" t="s">
        <v>7</v>
      </c>
      <c r="B17" s="334">
        <v>248</v>
      </c>
    </row>
    <row r="18" spans="1:6">
      <c r="A18" s="348" t="s">
        <v>8</v>
      </c>
      <c r="B18" s="334">
        <v>260</v>
      </c>
    </row>
    <row r="19" spans="1:6">
      <c r="A19" s="348" t="s">
        <v>9</v>
      </c>
      <c r="B19" s="334">
        <v>179</v>
      </c>
    </row>
    <row r="20" spans="1:6">
      <c r="A20" s="348" t="s">
        <v>10</v>
      </c>
      <c r="B20" s="334">
        <v>198</v>
      </c>
    </row>
    <row r="21" spans="1:6">
      <c r="A21" s="348" t="s">
        <v>11</v>
      </c>
      <c r="B21" s="334">
        <v>521</v>
      </c>
    </row>
    <row r="22" spans="1:6">
      <c r="A22" s="348" t="s">
        <v>12</v>
      </c>
      <c r="B22" s="334">
        <v>1971</v>
      </c>
    </row>
    <row r="23" spans="1:6">
      <c r="A23" s="348" t="s">
        <v>13</v>
      </c>
      <c r="B23" s="334">
        <v>54</v>
      </c>
    </row>
    <row r="24" spans="1:6">
      <c r="A24" s="348" t="s">
        <v>14</v>
      </c>
      <c r="B24" s="334">
        <v>2</v>
      </c>
    </row>
    <row r="25" spans="1:6">
      <c r="A25" s="348" t="s">
        <v>15</v>
      </c>
      <c r="B25" s="334">
        <v>164</v>
      </c>
    </row>
    <row r="26" spans="1:6">
      <c r="A26" s="348" t="s">
        <v>16</v>
      </c>
      <c r="B26" s="334">
        <v>90</v>
      </c>
    </row>
    <row r="27" spans="1:6">
      <c r="A27" s="348" t="s">
        <v>17</v>
      </c>
      <c r="B27" s="334">
        <v>8</v>
      </c>
    </row>
    <row r="28" spans="1:6" s="356" customFormat="1">
      <c r="A28" s="355" t="s">
        <v>18</v>
      </c>
      <c r="B28" s="355">
        <v>0</v>
      </c>
    </row>
    <row r="29" spans="1:6">
      <c r="A29" s="355" t="s">
        <v>713</v>
      </c>
      <c r="B29" s="355">
        <v>41</v>
      </c>
      <c r="C29" s="356"/>
      <c r="D29" s="356"/>
      <c r="E29" s="356"/>
      <c r="F29" s="356"/>
    </row>
    <row r="30" spans="1:6">
      <c r="A30" s="341" t="s">
        <v>714</v>
      </c>
      <c r="B30" s="341">
        <v>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2361</v>
      </c>
      <c r="D39" s="334">
        <v>41402985.469999999</v>
      </c>
      <c r="E39" s="334">
        <v>4309</v>
      </c>
      <c r="F39" s="334">
        <v>17855268.550000001</v>
      </c>
    </row>
    <row r="40" spans="1:6">
      <c r="A40" s="348" t="s">
        <v>29</v>
      </c>
      <c r="B40" s="348" t="s">
        <v>28</v>
      </c>
      <c r="C40" s="334">
        <v>0</v>
      </c>
      <c r="D40" s="334">
        <v>0</v>
      </c>
      <c r="E40" s="334">
        <v>0</v>
      </c>
      <c r="F40" s="334">
        <v>0</v>
      </c>
    </row>
    <row r="41" spans="1:6">
      <c r="A41" s="348" t="s">
        <v>31</v>
      </c>
      <c r="B41" s="348" t="s">
        <v>32</v>
      </c>
      <c r="C41" s="334">
        <v>25</v>
      </c>
      <c r="D41" s="334">
        <v>405643.43900000001</v>
      </c>
      <c r="E41" s="334">
        <v>75</v>
      </c>
      <c r="F41" s="334">
        <v>429664.00599999999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91855.447</v>
      </c>
      <c r="E44" s="334">
        <v>3</v>
      </c>
      <c r="F44" s="334">
        <v>38918.014999999999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24</v>
      </c>
      <c r="D48" s="334">
        <v>704131.58299999998</v>
      </c>
      <c r="E48" s="334">
        <v>48</v>
      </c>
      <c r="F48" s="334">
        <v>4543354.6900000004</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4</v>
      </c>
      <c r="D51" s="334">
        <v>89859.945000000007</v>
      </c>
      <c r="E51" s="334">
        <v>40</v>
      </c>
      <c r="F51" s="334">
        <v>368198.39299999998</v>
      </c>
    </row>
    <row r="52" spans="1:6">
      <c r="A52" s="348" t="s">
        <v>41</v>
      </c>
      <c r="B52" s="348" t="s">
        <v>28</v>
      </c>
      <c r="C52" s="334">
        <v>9</v>
      </c>
      <c r="D52" s="334">
        <v>184956.81700000001</v>
      </c>
      <c r="E52" s="334">
        <v>10</v>
      </c>
      <c r="F52" s="334">
        <v>66976.865999999995</v>
      </c>
    </row>
    <row r="53" spans="1:6">
      <c r="A53" s="348" t="s">
        <v>43</v>
      </c>
      <c r="B53" s="348" t="s">
        <v>44</v>
      </c>
      <c r="C53" s="334">
        <v>67</v>
      </c>
      <c r="D53" s="334">
        <v>1064137.5730000001</v>
      </c>
      <c r="E53" s="334">
        <v>146</v>
      </c>
      <c r="F53" s="334">
        <v>471709.08199999999</v>
      </c>
    </row>
    <row r="54" spans="1:6">
      <c r="A54" s="348" t="s">
        <v>45</v>
      </c>
      <c r="B54" s="348" t="s">
        <v>46</v>
      </c>
      <c r="C54" s="334">
        <v>0</v>
      </c>
      <c r="D54" s="334">
        <v>0</v>
      </c>
      <c r="E54" s="334">
        <v>1</v>
      </c>
      <c r="F54" s="334">
        <v>602094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35</v>
      </c>
      <c r="D57" s="334">
        <v>1400153.2239999999</v>
      </c>
      <c r="E57" s="334">
        <v>80</v>
      </c>
      <c r="F57" s="334">
        <v>608578.82799999998</v>
      </c>
    </row>
    <row r="58" spans="1:6">
      <c r="A58" s="348" t="s">
        <v>48</v>
      </c>
      <c r="B58" s="348" t="s">
        <v>50</v>
      </c>
      <c r="C58" s="334">
        <v>15</v>
      </c>
      <c r="D58" s="334">
        <v>2052935.7660000001</v>
      </c>
      <c r="E58" s="334">
        <v>37</v>
      </c>
      <c r="F58" s="334">
        <v>518868.29800000001</v>
      </c>
    </row>
    <row r="59" spans="1:6">
      <c r="A59" s="348" t="s">
        <v>48</v>
      </c>
      <c r="B59" s="348" t="s">
        <v>51</v>
      </c>
      <c r="C59" s="334">
        <v>11</v>
      </c>
      <c r="D59" s="334">
        <v>339596.54</v>
      </c>
      <c r="E59" s="334">
        <v>83</v>
      </c>
      <c r="F59" s="334">
        <v>1314537.8370000001</v>
      </c>
    </row>
    <row r="60" spans="1:6">
      <c r="A60" s="348" t="s">
        <v>48</v>
      </c>
      <c r="B60" s="348" t="s">
        <v>52</v>
      </c>
      <c r="C60" s="334">
        <v>21</v>
      </c>
      <c r="D60" s="334">
        <v>747429.03899999999</v>
      </c>
      <c r="E60" s="334">
        <v>32</v>
      </c>
      <c r="F60" s="334">
        <v>483413.02299999999</v>
      </c>
    </row>
    <row r="61" spans="1:6">
      <c r="A61" s="348" t="s">
        <v>48</v>
      </c>
      <c r="B61" s="348" t="s">
        <v>53</v>
      </c>
      <c r="C61" s="334">
        <v>48</v>
      </c>
      <c r="D61" s="334">
        <v>1493023.19</v>
      </c>
      <c r="E61" s="334">
        <v>115</v>
      </c>
      <c r="F61" s="334">
        <v>712344.90399999998</v>
      </c>
    </row>
    <row r="62" spans="1:6">
      <c r="A62" s="348" t="s">
        <v>48</v>
      </c>
      <c r="B62" s="348" t="s">
        <v>54</v>
      </c>
      <c r="C62" s="334">
        <v>5</v>
      </c>
      <c r="D62" s="334">
        <v>658243.12800000003</v>
      </c>
      <c r="E62" s="334">
        <v>6</v>
      </c>
      <c r="F62" s="334">
        <v>101231.625</v>
      </c>
    </row>
    <row r="63" spans="1:6">
      <c r="A63" s="348" t="s">
        <v>48</v>
      </c>
      <c r="B63" s="348" t="s">
        <v>28</v>
      </c>
      <c r="C63" s="334">
        <v>107</v>
      </c>
      <c r="D63" s="334">
        <v>4072566.6839999999</v>
      </c>
      <c r="E63" s="334">
        <v>128</v>
      </c>
      <c r="F63" s="334">
        <v>1988953.098</v>
      </c>
    </row>
    <row r="64" spans="1:6">
      <c r="A64" s="348" t="s">
        <v>55</v>
      </c>
      <c r="B64" s="348" t="s">
        <v>56</v>
      </c>
      <c r="C64" s="334">
        <v>0</v>
      </c>
      <c r="D64" s="334">
        <v>0</v>
      </c>
      <c r="E64" s="334">
        <v>0</v>
      </c>
      <c r="F64" s="334">
        <v>0</v>
      </c>
    </row>
    <row r="65" spans="1:6">
      <c r="A65" s="348" t="s">
        <v>55</v>
      </c>
      <c r="B65" s="348" t="s">
        <v>28</v>
      </c>
      <c r="C65" s="334">
        <v>1</v>
      </c>
      <c r="D65" s="334">
        <v>43291.123</v>
      </c>
      <c r="E65" s="334">
        <v>3</v>
      </c>
      <c r="F65" s="334">
        <v>18963.125</v>
      </c>
    </row>
    <row r="66" spans="1:6">
      <c r="A66" s="348" t="s">
        <v>55</v>
      </c>
      <c r="B66" s="348" t="s">
        <v>57</v>
      </c>
      <c r="C66" s="334">
        <v>0</v>
      </c>
      <c r="D66" s="334">
        <v>0</v>
      </c>
      <c r="E66" s="334">
        <v>5</v>
      </c>
      <c r="F66" s="334">
        <v>11765.436</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29152068</v>
      </c>
      <c r="E73" s="476"/>
    </row>
    <row r="74" spans="1:6">
      <c r="A74" s="348" t="s">
        <v>63</v>
      </c>
      <c r="B74" s="348" t="s">
        <v>651</v>
      </c>
      <c r="C74" s="1307" t="s">
        <v>653</v>
      </c>
      <c r="D74" s="476">
        <v>3395491.5</v>
      </c>
      <c r="E74" s="476"/>
    </row>
    <row r="75" spans="1:6">
      <c r="A75" s="348" t="s">
        <v>64</v>
      </c>
      <c r="B75" s="348" t="s">
        <v>650</v>
      </c>
      <c r="C75" s="1307" t="s">
        <v>654</v>
      </c>
      <c r="D75" s="476">
        <v>20652363</v>
      </c>
      <c r="E75" s="476"/>
    </row>
    <row r="76" spans="1:6">
      <c r="A76" s="348" t="s">
        <v>64</v>
      </c>
      <c r="B76" s="348" t="s">
        <v>651</v>
      </c>
      <c r="C76" s="1307" t="s">
        <v>655</v>
      </c>
      <c r="D76" s="476">
        <v>1302564.5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523135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2637.8695898369974</v>
      </c>
    </row>
    <row r="92" spans="1:6">
      <c r="A92" s="341" t="s">
        <v>68</v>
      </c>
      <c r="B92" s="342">
        <v>15.919774397041925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903</v>
      </c>
    </row>
    <row r="98" spans="1:6">
      <c r="A98" s="348" t="s">
        <v>71</v>
      </c>
      <c r="B98" s="334">
        <v>1</v>
      </c>
    </row>
    <row r="99" spans="1:6">
      <c r="A99" s="348" t="s">
        <v>72</v>
      </c>
      <c r="B99" s="334">
        <v>81</v>
      </c>
    </row>
    <row r="100" spans="1:6">
      <c r="A100" s="348" t="s">
        <v>73</v>
      </c>
      <c r="B100" s="334">
        <v>406</v>
      </c>
    </row>
    <row r="101" spans="1:6">
      <c r="A101" s="348" t="s">
        <v>74</v>
      </c>
      <c r="B101" s="334">
        <v>58</v>
      </c>
    </row>
    <row r="102" spans="1:6">
      <c r="A102" s="348" t="s">
        <v>75</v>
      </c>
      <c r="B102" s="334">
        <v>42</v>
      </c>
    </row>
    <row r="103" spans="1:6">
      <c r="A103" s="348" t="s">
        <v>76</v>
      </c>
      <c r="B103" s="334">
        <v>145</v>
      </c>
    </row>
    <row r="104" spans="1:6">
      <c r="A104" s="348" t="s">
        <v>77</v>
      </c>
      <c r="B104" s="334">
        <v>2274</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32</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89</v>
      </c>
    </row>
    <row r="130" spans="1:6">
      <c r="A130" s="348" t="s">
        <v>294</v>
      </c>
      <c r="B130" s="334">
        <v>1</v>
      </c>
    </row>
    <row r="131" spans="1:6">
      <c r="A131" s="348" t="s">
        <v>295</v>
      </c>
      <c r="B131" s="334">
        <v>1</v>
      </c>
    </row>
    <row r="132" spans="1:6">
      <c r="A132" s="341" t="s">
        <v>296</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32769.027377782833</v>
      </c>
      <c r="C3" s="43" t="s">
        <v>169</v>
      </c>
      <c r="D3" s="43"/>
      <c r="E3" s="154"/>
      <c r="F3" s="43"/>
      <c r="G3" s="43"/>
      <c r="H3" s="43"/>
      <c r="I3" s="43"/>
      <c r="J3" s="43"/>
      <c r="K3" s="96"/>
    </row>
    <row r="4" spans="1:11">
      <c r="A4" s="383" t="s">
        <v>170</v>
      </c>
      <c r="B4" s="49">
        <f>IF(ISERROR('SEAP template'!B78+'SEAP template'!C78),0,'SEAP template'!B78+'SEAP template'!C78)</f>
        <v>2653.7893642340396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0.20310238458608154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602.09400000000005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602.09400000000005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0.20310238458608154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122.28672714497219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17855.268550000001</v>
      </c>
      <c r="C5" s="17">
        <f>IF(ISERROR('Eigen informatie GS &amp; warmtenet'!B59),0,'Eigen informatie GS &amp; warmtenet'!B59)</f>
        <v>0</v>
      </c>
      <c r="D5" s="30">
        <f>(SUM(HH_hh_gas_kWh,HH_rest_gas_kWh)/1000)*0.902</f>
        <v>37345.492893939998</v>
      </c>
      <c r="E5" s="17">
        <f>B46*B57</f>
        <v>6760.7652736734899</v>
      </c>
      <c r="F5" s="17">
        <f>B51*B62</f>
        <v>19997.762219211672</v>
      </c>
      <c r="G5" s="18"/>
      <c r="H5" s="17"/>
      <c r="I5" s="17"/>
      <c r="J5" s="17">
        <f>B50*B61+C50*C61</f>
        <v>0</v>
      </c>
      <c r="K5" s="17"/>
      <c r="L5" s="17"/>
      <c r="M5" s="17"/>
      <c r="N5" s="17">
        <f>B48*B59+C48*C59</f>
        <v>8377.595830889848</v>
      </c>
      <c r="O5" s="17">
        <f>B69*B70*B71</f>
        <v>242.04290276521789</v>
      </c>
      <c r="P5" s="17">
        <f>B77*B78*B79/1000-B77*B78*B79/1000/B80</f>
        <v>747.91111084563659</v>
      </c>
    </row>
    <row r="6" spans="1:16">
      <c r="A6" s="16" t="s">
        <v>615</v>
      </c>
      <c r="B6" s="809">
        <f>kWh_PV_kleiner_dan_10kW</f>
        <v>2637.8695898369974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20493.138139836999</v>
      </c>
      <c r="C8" s="21">
        <f>C5</f>
        <v>0</v>
      </c>
      <c r="D8" s="21">
        <f>D5</f>
        <v>37345.492893939998</v>
      </c>
      <c r="E8" s="21">
        <f>E5</f>
        <v>6760.7652736734899</v>
      </c>
      <c r="F8" s="21">
        <f>F5</f>
        <v>19997.762219211672</v>
      </c>
      <c r="G8" s="21"/>
      <c r="H8" s="21"/>
      <c r="I8" s="21"/>
      <c r="J8" s="21">
        <f>J5</f>
        <v>0</v>
      </c>
      <c r="K8" s="21"/>
      <c r="L8" s="21">
        <f>L5</f>
        <v>0</v>
      </c>
      <c r="M8" s="21">
        <f>M5</f>
        <v>0</v>
      </c>
      <c r="N8" s="21">
        <f>N5</f>
        <v>8377.595830889848</v>
      </c>
      <c r="O8" s="21">
        <f>O5</f>
        <v>242.04290276521789</v>
      </c>
      <c r="P8" s="21">
        <f>P5</f>
        <v>747.91111084563659</v>
      </c>
    </row>
    <row r="9" spans="1:16">
      <c r="B9" s="19"/>
      <c r="C9" s="19"/>
      <c r="D9" s="258"/>
      <c r="E9" s="19"/>
      <c r="F9" s="19"/>
      <c r="G9" s="19"/>
      <c r="H9" s="19"/>
      <c r="I9" s="19"/>
      <c r="J9" s="19"/>
      <c r="K9" s="19"/>
      <c r="L9" s="19"/>
      <c r="M9" s="19"/>
      <c r="N9" s="19"/>
      <c r="O9" s="19"/>
      <c r="P9" s="19"/>
    </row>
    <row r="10" spans="1:16">
      <c r="A10" s="24" t="s">
        <v>213</v>
      </c>
      <c r="B10" s="25">
        <f ca="1">'EF ele_warmte'!B12</f>
        <v>0.20310238458608154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4162.2052238528704</v>
      </c>
      <c r="C12" s="23">
        <f ca="1">C10*C8</f>
        <v>0</v>
      </c>
      <c r="D12" s="23">
        <f>D8*D10</f>
        <v>7543.7895645758799</v>
      </c>
      <c r="E12" s="23">
        <f>E10*E8</f>
        <v>1534.6937171238822</v>
      </c>
      <c r="F12" s="23">
        <f>F10*F8</f>
        <v>5339.4025125295166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1</v>
      </c>
      <c r="C19" s="166" t="s">
        <v>110</v>
      </c>
      <c r="D19" s="229"/>
      <c r="E19" s="15"/>
    </row>
    <row r="20" spans="1:7">
      <c r="A20" s="171" t="s">
        <v>72</v>
      </c>
      <c r="B20" s="37">
        <f>aantalw2001_propaan</f>
        <v>81</v>
      </c>
      <c r="C20" s="167">
        <f>IF(ISERROR(B20/SUM($B$20,$B$21,$B$22)*100),0,B20/SUM($B$20,$B$21,$B$22)*100)</f>
        <v>14.862385321100918</v>
      </c>
      <c r="D20" s="229"/>
      <c r="E20" s="15"/>
    </row>
    <row r="21" spans="1:7">
      <c r="A21" s="171" t="s">
        <v>73</v>
      </c>
      <c r="B21" s="37">
        <f>aantalw2001_elektriciteit</f>
        <v>406</v>
      </c>
      <c r="C21" s="167">
        <f>IF(ISERROR(B21/SUM($B$20,$B$21,$B$22)*100),0,B21/SUM($B$20,$B$21,$B$22)*100)</f>
        <v>74.495412844036707</v>
      </c>
      <c r="D21" s="229"/>
      <c r="E21" s="15"/>
    </row>
    <row r="22" spans="1:7">
      <c r="A22" s="171" t="s">
        <v>74</v>
      </c>
      <c r="B22" s="37">
        <f>aantalw2001_hout</f>
        <v>58</v>
      </c>
      <c r="C22" s="167">
        <f>IF(ISERROR(B22/SUM($B$20,$B$21,$B$22)*100),0,B22/SUM($B$20,$B$21,$B$22)*100)</f>
        <v>10.642201834862385</v>
      </c>
      <c r="D22" s="229"/>
      <c r="E22" s="15"/>
    </row>
    <row r="23" spans="1:7">
      <c r="A23" s="171" t="s">
        <v>75</v>
      </c>
      <c r="B23" s="37">
        <f>aantalw2001_niet_gespec</f>
        <v>42</v>
      </c>
      <c r="C23" s="166" t="s">
        <v>110</v>
      </c>
      <c r="D23" s="228"/>
      <c r="E23" s="15"/>
    </row>
    <row r="24" spans="1:7">
      <c r="A24" s="171" t="s">
        <v>76</v>
      </c>
      <c r="B24" s="37">
        <f>aantalw2001_steenkool</f>
        <v>145</v>
      </c>
      <c r="C24" s="166" t="s">
        <v>110</v>
      </c>
      <c r="D24" s="229"/>
      <c r="E24" s="15"/>
    </row>
    <row r="25" spans="1:7">
      <c r="A25" s="171" t="s">
        <v>77</v>
      </c>
      <c r="B25" s="37">
        <f>aantalw2001_stookolie</f>
        <v>2274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4555</v>
      </c>
      <c r="C28" s="36"/>
      <c r="D28" s="228"/>
    </row>
    <row r="29" spans="1:7" s="15" customFormat="1">
      <c r="A29" s="230" t="s">
        <v>837</v>
      </c>
      <c r="B29" s="37">
        <f>SUM(HH_hh_gas_aantal,HH_rest_gas_aantal)</f>
        <v>2361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2361</v>
      </c>
      <c r="C32" s="167">
        <f>IF(ISERROR(B32/SUM($B$32,$B$34,$B$35,$B$36,$B$38,$B$39)*100),0,B32/SUM($B$32,$B$34,$B$35,$B$36,$B$38,$B$39)*100)</f>
        <v>52.653880463871538</v>
      </c>
      <c r="D32" s="233"/>
      <c r="G32" s="15"/>
    </row>
    <row r="33" spans="1:7">
      <c r="A33" s="171" t="s">
        <v>71</v>
      </c>
      <c r="B33" s="34" t="s">
        <v>110</v>
      </c>
      <c r="C33" s="167"/>
      <c r="D33" s="233"/>
      <c r="G33" s="15"/>
    </row>
    <row r="34" spans="1:7">
      <c r="A34" s="171" t="s">
        <v>72</v>
      </c>
      <c r="B34" s="33">
        <f>IF((($B$28-$B$32-$B$39-$B$77-$B$38)*C20/100)&lt;0,0,($B$28-$B$32-$B$39-$B$77-$B$38)*C20/100)</f>
        <v>172.58201834862385</v>
      </c>
      <c r="C34" s="167">
        <f>IF(ISERROR(B34/SUM($B$32,$B$34,$B$35,$B$36,$B$38,$B$39)*100),0,B34/SUM($B$32,$B$34,$B$35,$B$36,$B$38,$B$39)*100)</f>
        <v>3.8488407303439756</v>
      </c>
      <c r="D34" s="233"/>
      <c r="G34" s="15"/>
    </row>
    <row r="35" spans="1:7">
      <c r="A35" s="171" t="s">
        <v>73</v>
      </c>
      <c r="B35" s="33">
        <f>IF((($B$28-$B$32-$B$39-$B$77-$B$38)*C21/100)&lt;0,0,($B$28-$B$32-$B$39-$B$77-$B$38)*C21/100)</f>
        <v>865.04073394495424</v>
      </c>
      <c r="C35" s="167">
        <f>IF(ISERROR(B35/SUM($B$32,$B$34,$B$35,$B$36,$B$38,$B$39)*100),0,B35/SUM($B$32,$B$34,$B$35,$B$36,$B$38,$B$39)*100)</f>
        <v>19.291720203946348</v>
      </c>
      <c r="D35" s="233"/>
      <c r="G35" s="15"/>
    </row>
    <row r="36" spans="1:7">
      <c r="A36" s="171" t="s">
        <v>74</v>
      </c>
      <c r="B36" s="33">
        <f>IF((($B$28-$B$32-$B$39-$B$77-$B$38)*C22/100)&lt;0,0,($B$28-$B$32-$B$39-$B$77-$B$38)*C22/100)</f>
        <v>123.57724770642203</v>
      </c>
      <c r="C36" s="167">
        <f>IF(ISERROR(B36/SUM($B$32,$B$34,$B$35,$B$36,$B$38,$B$39)*100),0,B36/SUM($B$32,$B$34,$B$35,$B$36,$B$38,$B$39)*100)</f>
        <v>2.7559600291351924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961.8</v>
      </c>
      <c r="C39" s="167">
        <f>IF(ISERROR(B39/SUM($B$32,$B$34,$B$35,$B$36,$B$38,$B$39)*100),0,B39/SUM($B$32,$B$34,$B$35,$B$36,$B$38,$B$39)*100)</f>
        <v>21.449598572702943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2361</v>
      </c>
      <c r="C44" s="34" t="s">
        <v>110</v>
      </c>
      <c r="D44" s="174"/>
    </row>
    <row r="45" spans="1:7">
      <c r="A45" s="171" t="s">
        <v>71</v>
      </c>
      <c r="B45" s="33" t="str">
        <f t="shared" si="0"/>
        <v>-</v>
      </c>
      <c r="C45" s="34" t="s">
        <v>110</v>
      </c>
      <c r="D45" s="174"/>
    </row>
    <row r="46" spans="1:7">
      <c r="A46" s="171" t="s">
        <v>72</v>
      </c>
      <c r="B46" s="33">
        <f t="shared" si="0"/>
        <v>172.58201834862385</v>
      </c>
      <c r="C46" s="34" t="s">
        <v>110</v>
      </c>
      <c r="D46" s="174"/>
    </row>
    <row r="47" spans="1:7">
      <c r="A47" s="171" t="s">
        <v>73</v>
      </c>
      <c r="B47" s="33">
        <f t="shared" si="0"/>
        <v>865.04073394495424</v>
      </c>
      <c r="C47" s="34" t="s">
        <v>110</v>
      </c>
      <c r="D47" s="174"/>
    </row>
    <row r="48" spans="1:7">
      <c r="A48" s="171" t="s">
        <v>74</v>
      </c>
      <c r="B48" s="33">
        <f t="shared" si="0"/>
        <v>123.57724770642203</v>
      </c>
      <c r="C48" s="33">
        <f>B48*10</f>
        <v>1235.7724770642203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961.8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5727.9276129999998</v>
      </c>
      <c r="C5" s="17">
        <f>IF(ISERROR('Eigen informatie GS &amp; warmtenet'!B60),0,'Eigen informatie GS &amp; warmtenet'!B60)</f>
        <v>0</v>
      </c>
      <c r="D5" s="30">
        <f>SUM(D6:D12)</f>
        <v>9709.0807090420003</v>
      </c>
      <c r="E5" s="17">
        <f>SUM(E6:E12)</f>
        <v>76.367785278915932</v>
      </c>
      <c r="F5" s="17">
        <f>SUM(F6:F12)</f>
        <v>648.49720312159263</v>
      </c>
      <c r="G5" s="18"/>
      <c r="H5" s="17"/>
      <c r="I5" s="17"/>
      <c r="J5" s="17">
        <f>SUM(J6:J12)</f>
        <v>1.414299080756542E-2</v>
      </c>
      <c r="K5" s="17"/>
      <c r="L5" s="17"/>
      <c r="M5" s="17"/>
      <c r="N5" s="17">
        <f>SUM(N6:N12)</f>
        <v>558.45221786551224</v>
      </c>
      <c r="O5" s="17">
        <f>B38*B39*B40</f>
        <v>4.8972607658411542</v>
      </c>
      <c r="P5" s="17">
        <f>B46*B47*B48/1000-B46*B47*B48/1000/B49</f>
        <v>52.539138306495019</v>
      </c>
      <c r="R5" s="32"/>
    </row>
    <row r="6" spans="1:18">
      <c r="A6" s="32" t="s">
        <v>53</v>
      </c>
      <c r="B6" s="37">
        <f>B26</f>
        <v>712.34490399999993</v>
      </c>
      <c r="C6" s="33"/>
      <c r="D6" s="37">
        <f>IF(ISERROR(TER_kantoor_gas_kWh/1000),0,TER_kantoor_gas_kWh/1000)*0.902</f>
        <v>1346.7069173799998</v>
      </c>
      <c r="E6" s="33">
        <f>$C$26*'E Balans VL '!I12/100/3.6*1000000</f>
        <v>5.7320110467182115</v>
      </c>
      <c r="F6" s="33">
        <f>$C$26*('E Balans VL '!L12+'E Balans VL '!N12)/100/3.6*1000000</f>
        <v>87.091658142476618</v>
      </c>
      <c r="G6" s="34"/>
      <c r="H6" s="33"/>
      <c r="I6" s="33"/>
      <c r="J6" s="33">
        <f>$C$26*('E Balans VL '!D12+'E Balans VL '!E12)/100/3.6*1000000</f>
        <v>0</v>
      </c>
      <c r="K6" s="33"/>
      <c r="L6" s="33"/>
      <c r="M6" s="33"/>
      <c r="N6" s="33">
        <f>$C$26*'E Balans VL '!Y12/100/3.6*1000000</f>
        <v>0.38285030671025644</v>
      </c>
      <c r="O6" s="33"/>
      <c r="P6" s="33"/>
      <c r="R6" s="32"/>
    </row>
    <row r="7" spans="1:18">
      <c r="A7" s="32" t="s">
        <v>52</v>
      </c>
      <c r="B7" s="37">
        <f t="shared" ref="B7:B12" si="0">B27</f>
        <v>483.41302300000001</v>
      </c>
      <c r="C7" s="33"/>
      <c r="D7" s="37">
        <f>IF(ISERROR(TER_horeca_gas_kWh/1000),0,TER_horeca_gas_kWh/1000)*0.902</f>
        <v>674.18099317799999</v>
      </c>
      <c r="E7" s="33">
        <f>$C$27*'E Balans VL '!I9/100/3.6*1000000</f>
        <v>5.1906688121662565</v>
      </c>
      <c r="F7" s="33">
        <f>$C$27*('E Balans VL '!L9+'E Balans VL '!N9)/100/3.6*1000000</f>
        <v>58.142864533055466</v>
      </c>
      <c r="G7" s="34"/>
      <c r="H7" s="33"/>
      <c r="I7" s="33"/>
      <c r="J7" s="33">
        <f>$C$27*('E Balans VL '!D9+'E Balans VL '!E9)/100/3.6*1000000</f>
        <v>0</v>
      </c>
      <c r="K7" s="33"/>
      <c r="L7" s="33"/>
      <c r="M7" s="33"/>
      <c r="N7" s="33">
        <f>$C$27*'E Balans VL '!Y9/100/3.6*1000000</f>
        <v>7.2473409792184057E-2</v>
      </c>
      <c r="O7" s="33"/>
      <c r="P7" s="33"/>
      <c r="R7" s="32"/>
    </row>
    <row r="8" spans="1:18">
      <c r="A8" s="6" t="s">
        <v>51</v>
      </c>
      <c r="B8" s="37">
        <f t="shared" si="0"/>
        <v>1314.5378370000001</v>
      </c>
      <c r="C8" s="33"/>
      <c r="D8" s="37">
        <f>IF(ISERROR(TER_handel_gas_kWh/1000),0,TER_handel_gas_kWh/1000)*0.902</f>
        <v>306.31607908000001</v>
      </c>
      <c r="E8" s="33">
        <f>$C$28*'E Balans VL '!I13/100/3.6*1000000</f>
        <v>35.278171126532087</v>
      </c>
      <c r="F8" s="33">
        <f>$C$28*('E Balans VL '!L13+'E Balans VL '!N13)/100/3.6*1000000</f>
        <v>125.44742475060823</v>
      </c>
      <c r="G8" s="34"/>
      <c r="H8" s="33"/>
      <c r="I8" s="33"/>
      <c r="J8" s="33">
        <f>$C$28*('E Balans VL '!D13+'E Balans VL '!E13)/100/3.6*1000000</f>
        <v>0</v>
      </c>
      <c r="K8" s="33"/>
      <c r="L8" s="33"/>
      <c r="M8" s="33"/>
      <c r="N8" s="33">
        <f>$C$28*'E Balans VL '!Y13/100/3.6*1000000</f>
        <v>0.52109774538873566</v>
      </c>
      <c r="O8" s="33"/>
      <c r="P8" s="33"/>
      <c r="R8" s="32"/>
    </row>
    <row r="9" spans="1:18">
      <c r="A9" s="32" t="s">
        <v>50</v>
      </c>
      <c r="B9" s="37">
        <f t="shared" si="0"/>
        <v>518.86829799999998</v>
      </c>
      <c r="C9" s="33"/>
      <c r="D9" s="37">
        <f>IF(ISERROR(TER_gezond_gas_kWh/1000),0,TER_gezond_gas_kWh/1000)*0.902</f>
        <v>1851.748060932</v>
      </c>
      <c r="E9" s="33">
        <f>$C$29*'E Balans VL '!I10/100/3.6*1000000</f>
        <v>0.97252814130631626</v>
      </c>
      <c r="F9" s="33">
        <f>$C$29*('E Balans VL '!L10+'E Balans VL '!N10)/100/3.6*1000000</f>
        <v>42.655708404025084</v>
      </c>
      <c r="G9" s="34"/>
      <c r="H9" s="33"/>
      <c r="I9" s="33"/>
      <c r="J9" s="33">
        <f>$C$29*('E Balans VL '!D10+'E Balans VL '!E10)/100/3.6*1000000</f>
        <v>0</v>
      </c>
      <c r="K9" s="33"/>
      <c r="L9" s="33"/>
      <c r="M9" s="33"/>
      <c r="N9" s="33">
        <f>$C$29*'E Balans VL '!Y10/100/3.6*1000000</f>
        <v>4.0371824898160353</v>
      </c>
      <c r="O9" s="33"/>
      <c r="P9" s="33"/>
      <c r="R9" s="32"/>
    </row>
    <row r="10" spans="1:18">
      <c r="A10" s="32" t="s">
        <v>49</v>
      </c>
      <c r="B10" s="37">
        <f t="shared" si="0"/>
        <v>608.57882799999993</v>
      </c>
      <c r="C10" s="33"/>
      <c r="D10" s="37">
        <f>IF(ISERROR(TER_ander_gas_kWh/1000),0,TER_ander_gas_kWh/1000)*0.902</f>
        <v>1262.938208048</v>
      </c>
      <c r="E10" s="33">
        <f>$C$30*'E Balans VL '!I14/100/3.6*1000000</f>
        <v>0.93813042999598162</v>
      </c>
      <c r="F10" s="33">
        <f>$C$30*('E Balans VL '!L14+'E Balans VL '!N14)/100/3.6*1000000</f>
        <v>94.482031054422293</v>
      </c>
      <c r="G10" s="34"/>
      <c r="H10" s="33"/>
      <c r="I10" s="33"/>
      <c r="J10" s="33">
        <f>$C$30*('E Balans VL '!D14+'E Balans VL '!E14)/100/3.6*1000000</f>
        <v>1.033126742762466E-2</v>
      </c>
      <c r="K10" s="33"/>
      <c r="L10" s="33"/>
      <c r="M10" s="33"/>
      <c r="N10" s="33">
        <f>$C$30*'E Balans VL '!Y14/100/3.6*1000000</f>
        <v>402.61624779977296</v>
      </c>
      <c r="O10" s="33"/>
      <c r="P10" s="33"/>
      <c r="R10" s="32"/>
    </row>
    <row r="11" spans="1:18">
      <c r="A11" s="32" t="s">
        <v>54</v>
      </c>
      <c r="B11" s="37">
        <f t="shared" si="0"/>
        <v>101.23162499999999</v>
      </c>
      <c r="C11" s="33"/>
      <c r="D11" s="37">
        <f>IF(ISERROR(TER_onderwijs_gas_kWh/1000),0,TER_onderwijs_gas_kWh/1000)*0.902</f>
        <v>593.73530145600012</v>
      </c>
      <c r="E11" s="33">
        <f>$C$31*'E Balans VL '!I11/100/3.6*1000000</f>
        <v>2.5820978552115896</v>
      </c>
      <c r="F11" s="33">
        <f>$C$31*('E Balans VL '!L11+'E Balans VL '!N11)/100/3.6*1000000</f>
        <v>12.174055734589473</v>
      </c>
      <c r="G11" s="34"/>
      <c r="H11" s="33"/>
      <c r="I11" s="33"/>
      <c r="J11" s="33">
        <f>$C$31*('E Balans VL '!D11+'E Balans VL '!E11)/100/3.6*1000000</f>
        <v>0</v>
      </c>
      <c r="K11" s="33"/>
      <c r="L11" s="33"/>
      <c r="M11" s="33"/>
      <c r="N11" s="33">
        <f>$C$31*'E Balans VL '!Y11/100/3.6*1000000</f>
        <v>0.22513666392706616</v>
      </c>
      <c r="O11" s="33"/>
      <c r="P11" s="33"/>
      <c r="R11" s="32"/>
    </row>
    <row r="12" spans="1:18">
      <c r="A12" s="32" t="s">
        <v>259</v>
      </c>
      <c r="B12" s="37">
        <f t="shared" si="0"/>
        <v>1988.953098</v>
      </c>
      <c r="C12" s="33"/>
      <c r="D12" s="37">
        <f>IF(ISERROR(TER_rest_gas_kWh/1000),0,TER_rest_gas_kWh/1000)*0.902</f>
        <v>3673.4551489680002</v>
      </c>
      <c r="E12" s="33">
        <f>$C$32*'E Balans VL '!I8/100/3.6*1000000</f>
        <v>25.674177866985495</v>
      </c>
      <c r="F12" s="33">
        <f>$C$32*('E Balans VL '!L8+'E Balans VL '!N8)/100/3.6*1000000</f>
        <v>228.50346050241546</v>
      </c>
      <c r="G12" s="34"/>
      <c r="H12" s="33"/>
      <c r="I12" s="33"/>
      <c r="J12" s="33">
        <f>$C$32*('E Balans VL '!D8+'E Balans VL '!E8)/100/3.6*1000000</f>
        <v>3.8117233799407611E-3</v>
      </c>
      <c r="K12" s="33"/>
      <c r="L12" s="33"/>
      <c r="M12" s="33"/>
      <c r="N12" s="33">
        <f>$C$32*'E Balans VL '!Y8/100/3.6*1000000</f>
        <v>150.59722945010503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5727.9276129999998</v>
      </c>
      <c r="C16" s="21">
        <f t="shared" ca="1" si="1"/>
        <v>0</v>
      </c>
      <c r="D16" s="21">
        <f t="shared" ca="1" si="1"/>
        <v>9709.0807090420003</v>
      </c>
      <c r="E16" s="21">
        <f t="shared" si="1"/>
        <v>76.367785278915932</v>
      </c>
      <c r="F16" s="21">
        <f t="shared" ca="1" si="1"/>
        <v>648.49720312159263</v>
      </c>
      <c r="G16" s="21">
        <f t="shared" si="1"/>
        <v>0</v>
      </c>
      <c r="H16" s="21">
        <f t="shared" si="1"/>
        <v>0</v>
      </c>
      <c r="I16" s="21">
        <f t="shared" si="1"/>
        <v>0</v>
      </c>
      <c r="J16" s="21">
        <f t="shared" si="1"/>
        <v>1.414299080756542E-2</v>
      </c>
      <c r="K16" s="21">
        <f t="shared" si="1"/>
        <v>0</v>
      </c>
      <c r="L16" s="21">
        <f t="shared" ca="1" si="1"/>
        <v>0</v>
      </c>
      <c r="M16" s="21">
        <f t="shared" si="1"/>
        <v>0</v>
      </c>
      <c r="N16" s="21">
        <f t="shared" ca="1" si="1"/>
        <v>558.45221786551224</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0.20310238458608154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1163.355756936762</v>
      </c>
      <c r="C20" s="23">
        <f t="shared" ref="C20:P20" ca="1" si="2">C16*C18</f>
        <v>0</v>
      </c>
      <c r="D20" s="23">
        <f t="shared" ca="1" si="2"/>
        <v>1961.2343032264841</v>
      </c>
      <c r="E20" s="23">
        <f t="shared" si="2"/>
        <v>17.335487258313918</v>
      </c>
      <c r="F20" s="23">
        <f t="shared" ca="1" si="2"/>
        <v>173.14875323346524</v>
      </c>
      <c r="G20" s="23">
        <f t="shared" si="2"/>
        <v>0</v>
      </c>
      <c r="H20" s="23">
        <f t="shared" si="2"/>
        <v>0</v>
      </c>
      <c r="I20" s="23">
        <f t="shared" si="2"/>
        <v>0</v>
      </c>
      <c r="J20" s="23">
        <f t="shared" si="2"/>
        <v>5.0066187458781587E-3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712.34490399999993</v>
      </c>
      <c r="C26" s="39">
        <f>IF(ISERROR(B26*3.6/1000000/'E Balans VL '!Z12*100),0,B26*3.6/1000000/'E Balans VL '!Z12*100)</f>
        <v>1.5111745417612321E-2</v>
      </c>
      <c r="D26" s="237" t="s">
        <v>716</v>
      </c>
      <c r="F26" s="6"/>
    </row>
    <row r="27" spans="1:18">
      <c r="A27" s="231" t="s">
        <v>52</v>
      </c>
      <c r="B27" s="33">
        <f>IF(ISERROR(TER_horeca_ele_kWh/1000),0,TER_horeca_ele_kWh/1000)</f>
        <v>483.41302300000001</v>
      </c>
      <c r="C27" s="39">
        <f>IF(ISERROR(B27*3.6/1000000/'E Balans VL '!Z9*100),0,B27*3.6/1000000/'E Balans VL '!Z9*100)</f>
        <v>3.6405282949334275E-2</v>
      </c>
      <c r="D27" s="237" t="s">
        <v>716</v>
      </c>
      <c r="F27" s="6"/>
    </row>
    <row r="28" spans="1:18">
      <c r="A28" s="171" t="s">
        <v>51</v>
      </c>
      <c r="B28" s="33">
        <f>IF(ISERROR(TER_handel_ele_kWh/1000),0,TER_handel_ele_kWh/1000)</f>
        <v>1314.5378370000001</v>
      </c>
      <c r="C28" s="39">
        <f>IF(ISERROR(B28*3.6/1000000/'E Balans VL '!Z13*100),0,B28*3.6/1000000/'E Balans VL '!Z13*100)</f>
        <v>3.8156375637145822E-2</v>
      </c>
      <c r="D28" s="237" t="s">
        <v>716</v>
      </c>
      <c r="F28" s="6"/>
    </row>
    <row r="29" spans="1:18">
      <c r="A29" s="231" t="s">
        <v>50</v>
      </c>
      <c r="B29" s="33">
        <f>IF(ISERROR(TER_gezond_ele_kWh/1000),0,TER_gezond_ele_kWh/1000)</f>
        <v>518.86829799999998</v>
      </c>
      <c r="C29" s="39">
        <f>IF(ISERROR(B29*3.6/1000000/'E Balans VL '!Z10*100),0,B29*3.6/1000000/'E Balans VL '!Z10*100)</f>
        <v>5.232848662894754E-2</v>
      </c>
      <c r="D29" s="237" t="s">
        <v>716</v>
      </c>
      <c r="F29" s="6"/>
    </row>
    <row r="30" spans="1:18">
      <c r="A30" s="231" t="s">
        <v>49</v>
      </c>
      <c r="B30" s="33">
        <f>IF(ISERROR(TER_ander_ele_kWh/1000),0,TER_ander_ele_kWh/1000)</f>
        <v>608.57882799999993</v>
      </c>
      <c r="C30" s="39">
        <f>IF(ISERROR(B30*3.6/1000000/'E Balans VL '!Z14*100),0,B30*3.6/1000000/'E Balans VL '!Z14*100)</f>
        <v>4.4160696508926379E-2</v>
      </c>
      <c r="D30" s="237" t="s">
        <v>716</v>
      </c>
      <c r="F30" s="6"/>
    </row>
    <row r="31" spans="1:18">
      <c r="A31" s="231" t="s">
        <v>54</v>
      </c>
      <c r="B31" s="33">
        <f>IF(ISERROR(TER_onderwijs_ele_kWh/1000),0,TER_onderwijs_ele_kWh/1000)</f>
        <v>101.23162499999999</v>
      </c>
      <c r="C31" s="39">
        <f>IF(ISERROR(B31*3.6/1000000/'E Balans VL '!Z11*100),0,B31*3.6/1000000/'E Balans VL '!Z11*100)</f>
        <v>2.8855135468721271E-2</v>
      </c>
      <c r="D31" s="237" t="s">
        <v>716</v>
      </c>
    </row>
    <row r="32" spans="1:18">
      <c r="A32" s="231" t="s">
        <v>259</v>
      </c>
      <c r="B32" s="33">
        <f>IF(ISERROR(TER_rest_ele_kWh/1000),0,TER_rest_ele_kWh/1000)</f>
        <v>1988.953098</v>
      </c>
      <c r="C32" s="39">
        <f>IF(ISERROR(B32*3.6/1000000/'E Balans VL '!Z8*100),0,B32*3.6/1000000/'E Balans VL '!Z8*100)</f>
        <v>1.6293098648037289E-2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5011.9367110000003</v>
      </c>
      <c r="C5" s="17">
        <f>IF(ISERROR('Eigen informatie GS &amp; warmtenet'!B61),0,'Eigen informatie GS &amp; warmtenet'!B61)</f>
        <v>0</v>
      </c>
      <c r="D5" s="30">
        <f>SUM(D6:D15)</f>
        <v>1083.8706830379999</v>
      </c>
      <c r="E5" s="17">
        <f>SUM(E6:E15)</f>
        <v>334.0679871862913</v>
      </c>
      <c r="F5" s="17">
        <f>SUM(F6:F15)</f>
        <v>1167.5481737091745</v>
      </c>
      <c r="G5" s="18"/>
      <c r="H5" s="17"/>
      <c r="I5" s="17"/>
      <c r="J5" s="17">
        <f>SUM(J6:J15)</f>
        <v>37.572767084208778</v>
      </c>
      <c r="K5" s="17"/>
      <c r="L5" s="17"/>
      <c r="M5" s="17"/>
      <c r="N5" s="17">
        <f>SUM(N6:N15)</f>
        <v>208.50246871575555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38.918014999999997</v>
      </c>
      <c r="C8" s="33"/>
      <c r="D8" s="37">
        <f>IF( ISERROR(IND_metaal_Gas_kWH/1000),0,IND_metaal_Gas_kWH/1000)*0.902</f>
        <v>82.853613194000005</v>
      </c>
      <c r="E8" s="33">
        <f>C30*'E Balans VL '!I18/100/3.6*1000000</f>
        <v>0.28076616300920493</v>
      </c>
      <c r="F8" s="33">
        <f>C30*'E Balans VL '!L18/100/3.6*1000000+C30*'E Balans VL '!N18/100/3.6*1000000</f>
        <v>3.6809266210712877</v>
      </c>
      <c r="G8" s="34"/>
      <c r="H8" s="33"/>
      <c r="I8" s="33"/>
      <c r="J8" s="40">
        <f>C30*'E Balans VL '!D18/100/3.6*1000000+C30*'E Balans VL '!E18/100/3.6*1000000</f>
        <v>3.9143965647295491E-2</v>
      </c>
      <c r="K8" s="33"/>
      <c r="L8" s="33"/>
      <c r="M8" s="33"/>
      <c r="N8" s="33">
        <f>C30*'E Balans VL '!Y18/100/3.6*1000000</f>
        <v>0.49202667650213322</v>
      </c>
      <c r="O8" s="33"/>
      <c r="P8" s="33"/>
      <c r="R8" s="32"/>
    </row>
    <row r="9" spans="1:18">
      <c r="A9" s="6" t="s">
        <v>32</v>
      </c>
      <c r="B9" s="37">
        <f t="shared" si="0"/>
        <v>429.66400599999997</v>
      </c>
      <c r="C9" s="33"/>
      <c r="D9" s="37">
        <f>IF( ISERROR(IND_andere_gas_kWh/1000),0,IND_andere_gas_kWh/1000)*0.902</f>
        <v>365.89038197799999</v>
      </c>
      <c r="E9" s="33">
        <f>C31*'E Balans VL '!I19/100/3.6*1000000</f>
        <v>119.06564139014763</v>
      </c>
      <c r="F9" s="33">
        <f>C31*'E Balans VL '!L19/100/3.6*1000000+C31*'E Balans VL '!N19/100/3.6*1000000</f>
        <v>356.10645668387281</v>
      </c>
      <c r="G9" s="34"/>
      <c r="H9" s="33"/>
      <c r="I9" s="33"/>
      <c r="J9" s="40">
        <f>C31*'E Balans VL '!D19/100/3.6*1000000+C31*'E Balans VL '!E19/100/3.6*1000000</f>
        <v>0</v>
      </c>
      <c r="K9" s="33"/>
      <c r="L9" s="33"/>
      <c r="M9" s="33"/>
      <c r="N9" s="33">
        <f>C31*'E Balans VL '!Y19/100/3.6*1000000</f>
        <v>31.188351475870498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4543.3546900000001</v>
      </c>
      <c r="C15" s="33"/>
      <c r="D15" s="37">
        <f>IF( ISERROR(IND_rest_gas_kWh/1000),0,IND_rest_gas_kWh/1000)*0.902</f>
        <v>635.126687866</v>
      </c>
      <c r="E15" s="33">
        <f>C37*'E Balans VL '!I15/100/3.6*1000000</f>
        <v>214.72157963313447</v>
      </c>
      <c r="F15" s="33">
        <f>C37*'E Balans VL '!L15/100/3.6*1000000+C37*'E Balans VL '!N15/100/3.6*1000000</f>
        <v>807.76079040423053</v>
      </c>
      <c r="G15" s="34"/>
      <c r="H15" s="33"/>
      <c r="I15" s="33"/>
      <c r="J15" s="40">
        <f>C37*'E Balans VL '!D15/100/3.6*1000000+C37*'E Balans VL '!E15/100/3.6*1000000</f>
        <v>37.533623118561479</v>
      </c>
      <c r="K15" s="33"/>
      <c r="L15" s="33"/>
      <c r="M15" s="33"/>
      <c r="N15" s="33">
        <f>C37*'E Balans VL '!Y15/100/3.6*1000000</f>
        <v>176.82209056338291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5011.9367110000003</v>
      </c>
      <c r="C18" s="21">
        <f>C5+C16</f>
        <v>0</v>
      </c>
      <c r="D18" s="21">
        <f>MAX((D5+D16),0)</f>
        <v>1083.8706830379999</v>
      </c>
      <c r="E18" s="21">
        <f>MAX((E5+E16),0)</f>
        <v>334.0679871862913</v>
      </c>
      <c r="F18" s="21">
        <f>MAX((F5+F16),0)</f>
        <v>1167.5481737091745</v>
      </c>
      <c r="G18" s="21"/>
      <c r="H18" s="21"/>
      <c r="I18" s="21"/>
      <c r="J18" s="21">
        <f>MAX((J5+J16),0)</f>
        <v>37.572767084208778</v>
      </c>
      <c r="K18" s="21"/>
      <c r="L18" s="21">
        <f>MAX((L5+L16),0)</f>
        <v>0</v>
      </c>
      <c r="M18" s="21"/>
      <c r="N18" s="21">
        <f>MAX((N5+N16),0)</f>
        <v>208.50246871575555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0.20310238458608154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1017.9362973986226</v>
      </c>
      <c r="C22" s="23">
        <f ca="1">C18*C20</f>
        <v>0</v>
      </c>
      <c r="D22" s="23">
        <f>D18*D20</f>
        <v>218.94187797367599</v>
      </c>
      <c r="E22" s="23">
        <f>E18*E20</f>
        <v>75.833433091288128</v>
      </c>
      <c r="F22" s="23">
        <f>F18*F20</f>
        <v>311.73536238034961</v>
      </c>
      <c r="G22" s="23"/>
      <c r="H22" s="23"/>
      <c r="I22" s="23"/>
      <c r="J22" s="23">
        <f>J18*J20</f>
        <v>13.300759547809907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38.918014999999997</v>
      </c>
      <c r="C30" s="39">
        <f>IF(ISERROR(B30*3.6/1000000/'E Balans VL '!Z18*100),0,B30*3.6/1000000/'E Balans VL '!Z18*100)</f>
        <v>2.2466762803160594E-3</v>
      </c>
      <c r="D30" s="237" t="s">
        <v>716</v>
      </c>
    </row>
    <row r="31" spans="1:18">
      <c r="A31" s="6" t="s">
        <v>32</v>
      </c>
      <c r="B31" s="37">
        <f>IF( ISERROR(IND_ander_ele_kWh/1000),0,IND_ander_ele_kWh/1000)</f>
        <v>429.66400599999997</v>
      </c>
      <c r="C31" s="39">
        <f>IF(ISERROR(B31*3.6/1000000/'E Balans VL '!Z19*100),0,B31*3.6/1000000/'E Balans VL '!Z19*100)</f>
        <v>2.1610706799851324E-2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4543.3546900000001</v>
      </c>
      <c r="C37" s="39">
        <f>IF(ISERROR(B37*3.6/1000000/'E Balans VL '!Z15*100),0,B37*3.6/1000000/'E Balans VL '!Z15*100)</f>
        <v>3.5450590981456628E-2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435.17525899999998</v>
      </c>
      <c r="C5" s="17">
        <f>'Eigen informatie GS &amp; warmtenet'!B62</f>
        <v>0</v>
      </c>
      <c r="D5" s="30">
        <f>IF(ISERROR(SUM(LB_lb_gas_kWh,LB_rest_gas_kWh)/1000),0,SUM(LB_lb_gas_kWh,LB_rest_gas_kWh)/1000)*0.902</f>
        <v>247.884719324</v>
      </c>
      <c r="E5" s="17">
        <f>B17*'E Balans VL '!I25/3.6*1000000/100</f>
        <v>13.581676330293254</v>
      </c>
      <c r="F5" s="17">
        <f>B17*('E Balans VL '!L25/3.6*1000000+'E Balans VL '!N25/3.6*1000000)/100</f>
        <v>1537.9575727207484</v>
      </c>
      <c r="G5" s="18"/>
      <c r="H5" s="17"/>
      <c r="I5" s="17"/>
      <c r="J5" s="17">
        <f>('E Balans VL '!D25+'E Balans VL '!E25)/3.6*1000000*landbouw!B17/100</f>
        <v>119.89380176847233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435.17525899999998</v>
      </c>
      <c r="C8" s="21">
        <f>C5+C6</f>
        <v>0</v>
      </c>
      <c r="D8" s="21">
        <f>MAX((D5+D6),0)</f>
        <v>247.884719324</v>
      </c>
      <c r="E8" s="21">
        <f>MAX((E5+E6),0)</f>
        <v>13.581676330293254</v>
      </c>
      <c r="F8" s="21">
        <f>MAX((F5+F6),0)</f>
        <v>1537.9575727207484</v>
      </c>
      <c r="G8" s="21"/>
      <c r="H8" s="21"/>
      <c r="I8" s="21"/>
      <c r="J8" s="21">
        <f>MAX((J5+J6),0)</f>
        <v>119.89380176847233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0.20310238458608154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88.385132815765644</v>
      </c>
      <c r="C12" s="23">
        <f ca="1">C8*C10</f>
        <v>0</v>
      </c>
      <c r="D12" s="23">
        <f>D8*D10</f>
        <v>50.072713303448005</v>
      </c>
      <c r="E12" s="23">
        <f>E8*E10</f>
        <v>3.0830405269765686</v>
      </c>
      <c r="F12" s="23">
        <f>F8*F10</f>
        <v>410.63467191643986</v>
      </c>
      <c r="G12" s="23"/>
      <c r="H12" s="23"/>
      <c r="I12" s="23"/>
      <c r="J12" s="23">
        <f>J8*J10</f>
        <v>42.442405826039199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6.4691921882104805E-2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64.782714300218657</v>
      </c>
      <c r="C26" s="247">
        <f>B26*'GWP N2O_CH4'!B5</f>
        <v>1360.4370003045917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17.803015348806841</v>
      </c>
      <c r="C27" s="247">
        <f>B27*'GWP N2O_CH4'!B5</f>
        <v>373.86332232494368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0.93526436928252565</v>
      </c>
      <c r="C28" s="247">
        <f>B28*'GWP N2O_CH4'!B4</f>
        <v>289.93195447758296</v>
      </c>
      <c r="D28" s="50"/>
    </row>
    <row r="29" spans="1:4">
      <c r="A29" s="41" t="s">
        <v>276</v>
      </c>
      <c r="B29" s="247">
        <f>B34*'ha_N2O bodem landbouw'!B4</f>
        <v>6.487118253381186</v>
      </c>
      <c r="C29" s="247">
        <f>B29*'GWP N2O_CH4'!B4</f>
        <v>2011.0066585481677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1.4225082350285221E-3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9.7367662604999993E-5</v>
      </c>
      <c r="C5" s="463" t="s">
        <v>210</v>
      </c>
      <c r="D5" s="448">
        <f>SUM(D6:D11)</f>
        <v>4.4662975021526397E-4</v>
      </c>
      <c r="E5" s="448">
        <f>SUM(E6:E11)</f>
        <v>3.3759344966197499E-4</v>
      </c>
      <c r="F5" s="461" t="s">
        <v>210</v>
      </c>
      <c r="G5" s="448">
        <f>SUM(G6:G11)</f>
        <v>0.13622515782130501</v>
      </c>
      <c r="H5" s="448">
        <f>SUM(H6:H11)</f>
        <v>3.3052443412617337E-2</v>
      </c>
      <c r="I5" s="463" t="s">
        <v>210</v>
      </c>
      <c r="J5" s="463" t="s">
        <v>210</v>
      </c>
      <c r="K5" s="463" t="s">
        <v>210</v>
      </c>
      <c r="L5" s="463" t="s">
        <v>210</v>
      </c>
      <c r="M5" s="448">
        <f>SUM(M6:M11)</f>
        <v>1.0027273483498255E-2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5.6992292939999995E-5</v>
      </c>
      <c r="C6" s="449"/>
      <c r="D6" s="917">
        <f>vkm_2011_GW_PW*SUMIFS(TableVerdeelsleutelVkm[CNG],TableVerdeelsleutelVkm[Voertuigtype],"Lichte voertuigen")*SUMIFS(TableECFTransport[EnergieConsumptieFactor (PJ per km)],TableECFTransport[Index],CONCATENATE($A6,"_CNG_CNG"))</f>
        <v>1.98171910191024E-4</v>
      </c>
      <c r="E6" s="917">
        <f>vkm_2011_GW_PW*SUMIFS(TableVerdeelsleutelVkm[LPG],TableVerdeelsleutelVkm[Voertuigtype],"Lichte voertuigen")*SUMIFS(TableECFTransport[EnergieConsumptieFactor (PJ per km)],TableECFTransport[Index],CONCATENATE($A6,"_LPG_LPG"))</f>
        <v>1.5612681538079999E-4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4.2499534501954019E-2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1.4872014322941579E-2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3.4283106424432201E-3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3.2121862710035962E-2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8.0925323391224747E-6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1.8522469595483372E-3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4.0375369664999998E-5</v>
      </c>
      <c r="C8" s="449"/>
      <c r="D8" s="451">
        <f>vkm_2011_NGW_PW*SUMIFS(TableVerdeelsleutelVkm[CNG],TableVerdeelsleutelVkm[Voertuigtype],"Lichte voertuigen")*SUMIFS(TableECFTransport[EnergieConsumptieFactor (PJ per km)],TableECFTransport[Index],CONCATENATE($A8,"_CNG_CNG"))</f>
        <v>2.4845784002424E-4</v>
      </c>
      <c r="E8" s="451">
        <f>vkm_2011_NGW_PW*SUMIFS(TableVerdeelsleutelVkm[LPG],TableVerdeelsleutelVkm[Voertuigtype],"Lichte voertuigen")*SUMIFS(TableECFTransport[EnergieConsumptieFactor (PJ per km)],TableECFTransport[Index],CONCATENATE($A8,"_LPG_LPG"))</f>
        <v>1.81466634281175E-4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4.5839214602585082E-2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1.8168589138108222E-2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3.8376976544860094E-3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1.576454600672993E-2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3.7474192284150819E-6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9.0901822702068723E-4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27.046572945833329</v>
      </c>
      <c r="C14" s="21"/>
      <c r="D14" s="21">
        <f t="shared" ref="D14:M14" si="0">((D5)*10^9/3600)+D12</f>
        <v>124.06381950423999</v>
      </c>
      <c r="E14" s="21">
        <f t="shared" si="0"/>
        <v>93.775958239437486</v>
      </c>
      <c r="F14" s="21"/>
      <c r="G14" s="21">
        <f t="shared" si="0"/>
        <v>37840.321617029171</v>
      </c>
      <c r="H14" s="21">
        <f t="shared" si="0"/>
        <v>9181.2342812825937</v>
      </c>
      <c r="I14" s="21"/>
      <c r="J14" s="21"/>
      <c r="K14" s="21"/>
      <c r="L14" s="21"/>
      <c r="M14" s="21">
        <f t="shared" si="0"/>
        <v>2785.3537454161819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0.20310238458608154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5.4932234601801495</v>
      </c>
      <c r="C18" s="23"/>
      <c r="D18" s="23">
        <f t="shared" ref="D18:M18" si="1">D14*D16</f>
        <v>25.060891539856478</v>
      </c>
      <c r="E18" s="23">
        <f t="shared" si="1"/>
        <v>21.287142520352312</v>
      </c>
      <c r="F18" s="23"/>
      <c r="G18" s="23">
        <f t="shared" si="1"/>
        <v>10103.36587174679</v>
      </c>
      <c r="H18" s="23">
        <f t="shared" si="1"/>
        <v>2286.1273360393657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6.4220378765656935E-3</v>
      </c>
      <c r="H50" s="321">
        <f t="shared" si="2"/>
        <v>0</v>
      </c>
      <c r="I50" s="321">
        <f t="shared" si="2"/>
        <v>0</v>
      </c>
      <c r="J50" s="321">
        <f t="shared" si="2"/>
        <v>0</v>
      </c>
      <c r="K50" s="321">
        <f t="shared" si="2"/>
        <v>0</v>
      </c>
      <c r="L50" s="321">
        <f t="shared" si="2"/>
        <v>0</v>
      </c>
      <c r="M50" s="321">
        <f t="shared" si="2"/>
        <v>3.5693757573897769E-4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6.4220378765656935E-3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3.5693757573897769E-4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1783.8994101571373</v>
      </c>
      <c r="H54" s="21">
        <f t="shared" si="3"/>
        <v>0</v>
      </c>
      <c r="I54" s="21">
        <f t="shared" si="3"/>
        <v>0</v>
      </c>
      <c r="J54" s="21">
        <f t="shared" si="3"/>
        <v>0</v>
      </c>
      <c r="K54" s="21">
        <f t="shared" si="3"/>
        <v>0</v>
      </c>
      <c r="L54" s="21">
        <f t="shared" si="3"/>
        <v>0</v>
      </c>
      <c r="M54" s="21">
        <f t="shared" si="3"/>
        <v>99.14932659416047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0.20310238458608154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476.30114251195567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6330.0216129999999</v>
      </c>
      <c r="D10" s="712">
        <f ca="1">tertiair!C16</f>
        <v>0</v>
      </c>
      <c r="E10" s="712">
        <f ca="1">tertiair!D16</f>
        <v>9709.0807090420003</v>
      </c>
      <c r="F10" s="712">
        <f>tertiair!E16</f>
        <v>76.367785278915932</v>
      </c>
      <c r="G10" s="712">
        <f ca="1">tertiair!F16</f>
        <v>648.49720312159263</v>
      </c>
      <c r="H10" s="712">
        <f>tertiair!G16</f>
        <v>0</v>
      </c>
      <c r="I10" s="712">
        <f>tertiair!H16</f>
        <v>0</v>
      </c>
      <c r="J10" s="712">
        <f>tertiair!I16</f>
        <v>0</v>
      </c>
      <c r="K10" s="712">
        <f>tertiair!J16</f>
        <v>1.414299080756542E-2</v>
      </c>
      <c r="L10" s="712">
        <f>tertiair!K16</f>
        <v>0</v>
      </c>
      <c r="M10" s="712">
        <f ca="1">tertiair!L16</f>
        <v>0</v>
      </c>
      <c r="N10" s="712">
        <f>tertiair!M16</f>
        <v>0</v>
      </c>
      <c r="O10" s="712">
        <f ca="1">tertiair!N16</f>
        <v>558.45221786551224</v>
      </c>
      <c r="P10" s="712">
        <f>tertiair!O16</f>
        <v>4.8972607658411542</v>
      </c>
      <c r="Q10" s="713">
        <f>tertiair!P16</f>
        <v>52.539138306495019</v>
      </c>
      <c r="R10" s="715">
        <f ca="1">SUM(C10:Q10)</f>
        <v>17379.870070371162</v>
      </c>
      <c r="S10" s="67"/>
    </row>
    <row r="11" spans="1:19" s="474" customFormat="1">
      <c r="A11" s="834" t="s">
        <v>224</v>
      </c>
      <c r="B11" s="839"/>
      <c r="C11" s="712">
        <f>huishoudens!B8</f>
        <v>20493.138139836999</v>
      </c>
      <c r="D11" s="712">
        <f>huishoudens!C8</f>
        <v>0</v>
      </c>
      <c r="E11" s="712">
        <f>huishoudens!D8</f>
        <v>37345.492893939998</v>
      </c>
      <c r="F11" s="712">
        <f>huishoudens!E8</f>
        <v>6760.7652736734899</v>
      </c>
      <c r="G11" s="712">
        <f>huishoudens!F8</f>
        <v>19997.762219211672</v>
      </c>
      <c r="H11" s="712">
        <f>huishoudens!G8</f>
        <v>0</v>
      </c>
      <c r="I11" s="712">
        <f>huishoudens!H8</f>
        <v>0</v>
      </c>
      <c r="J11" s="712">
        <f>huishoudens!I8</f>
        <v>0</v>
      </c>
      <c r="K11" s="712">
        <f>huishoudens!J8</f>
        <v>0</v>
      </c>
      <c r="L11" s="712">
        <f>huishoudens!K8</f>
        <v>0</v>
      </c>
      <c r="M11" s="712">
        <f>huishoudens!L8</f>
        <v>0</v>
      </c>
      <c r="N11" s="712">
        <f>huishoudens!M8</f>
        <v>0</v>
      </c>
      <c r="O11" s="712">
        <f>huishoudens!N8</f>
        <v>8377.595830889848</v>
      </c>
      <c r="P11" s="712">
        <f>huishoudens!O8</f>
        <v>242.04290276521789</v>
      </c>
      <c r="Q11" s="713">
        <f>huishoudens!P8</f>
        <v>747.91111084563659</v>
      </c>
      <c r="R11" s="715">
        <f>SUM(C11:Q11)</f>
        <v>93964.708371162866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5011.9367110000003</v>
      </c>
      <c r="D13" s="712">
        <f>industrie!C18</f>
        <v>0</v>
      </c>
      <c r="E13" s="712">
        <f>industrie!D18</f>
        <v>1083.8706830379999</v>
      </c>
      <c r="F13" s="712">
        <f>industrie!E18</f>
        <v>334.0679871862913</v>
      </c>
      <c r="G13" s="712">
        <f>industrie!F18</f>
        <v>1167.5481737091745</v>
      </c>
      <c r="H13" s="712">
        <f>industrie!G18</f>
        <v>0</v>
      </c>
      <c r="I13" s="712">
        <f>industrie!H18</f>
        <v>0</v>
      </c>
      <c r="J13" s="712">
        <f>industrie!I18</f>
        <v>0</v>
      </c>
      <c r="K13" s="712">
        <f>industrie!J18</f>
        <v>37.572767084208778</v>
      </c>
      <c r="L13" s="712">
        <f>industrie!K18</f>
        <v>0</v>
      </c>
      <c r="M13" s="712">
        <f>industrie!L18</f>
        <v>0</v>
      </c>
      <c r="N13" s="712">
        <f>industrie!M18</f>
        <v>0</v>
      </c>
      <c r="O13" s="712">
        <f>industrie!N18</f>
        <v>208.50246871575555</v>
      </c>
      <c r="P13" s="712">
        <f>industrie!O18</f>
        <v>0</v>
      </c>
      <c r="Q13" s="713">
        <f>industrie!P18</f>
        <v>0</v>
      </c>
      <c r="R13" s="715">
        <f>SUM(C13:Q13)</f>
        <v>7843.4987907334307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31835.096463836999</v>
      </c>
      <c r="D16" s="748">
        <f t="shared" ref="D16:R16" ca="1" si="0">SUM(D9:D15)</f>
        <v>0</v>
      </c>
      <c r="E16" s="748">
        <f t="shared" ca="1" si="0"/>
        <v>48138.44428602</v>
      </c>
      <c r="F16" s="748">
        <f t="shared" si="0"/>
        <v>7171.2010461386972</v>
      </c>
      <c r="G16" s="748">
        <f t="shared" ca="1" si="0"/>
        <v>21813.807596042439</v>
      </c>
      <c r="H16" s="748">
        <f t="shared" si="0"/>
        <v>0</v>
      </c>
      <c r="I16" s="748">
        <f t="shared" si="0"/>
        <v>0</v>
      </c>
      <c r="J16" s="748">
        <f t="shared" si="0"/>
        <v>0</v>
      </c>
      <c r="K16" s="748">
        <f t="shared" si="0"/>
        <v>37.586910075016341</v>
      </c>
      <c r="L16" s="748">
        <f t="shared" si="0"/>
        <v>0</v>
      </c>
      <c r="M16" s="748">
        <f t="shared" ca="1" si="0"/>
        <v>0</v>
      </c>
      <c r="N16" s="748">
        <f t="shared" si="0"/>
        <v>0</v>
      </c>
      <c r="O16" s="748">
        <f t="shared" ca="1" si="0"/>
        <v>9144.5505174711143</v>
      </c>
      <c r="P16" s="748">
        <f t="shared" si="0"/>
        <v>246.94016353105906</v>
      </c>
      <c r="Q16" s="748">
        <f t="shared" si="0"/>
        <v>800.45024915213162</v>
      </c>
      <c r="R16" s="748">
        <f t="shared" ca="1" si="0"/>
        <v>119188.07723226746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1783.8994101571373</v>
      </c>
      <c r="I19" s="712">
        <f>transport!H54</f>
        <v>0</v>
      </c>
      <c r="J19" s="712">
        <f>transport!I54</f>
        <v>0</v>
      </c>
      <c r="K19" s="712">
        <f>transport!J54</f>
        <v>0</v>
      </c>
      <c r="L19" s="712">
        <f>transport!K54</f>
        <v>0</v>
      </c>
      <c r="M19" s="712">
        <f>transport!L54</f>
        <v>0</v>
      </c>
      <c r="N19" s="712">
        <f>transport!M54</f>
        <v>99.14932659416047</v>
      </c>
      <c r="O19" s="712">
        <f>transport!N54</f>
        <v>0</v>
      </c>
      <c r="P19" s="712">
        <f>transport!O54</f>
        <v>0</v>
      </c>
      <c r="Q19" s="713">
        <f>transport!P54</f>
        <v>0</v>
      </c>
      <c r="R19" s="715">
        <f>SUM(C19:Q19)</f>
        <v>1883.0487367512978</v>
      </c>
      <c r="S19" s="67"/>
    </row>
    <row r="20" spans="1:19" s="474" customFormat="1">
      <c r="A20" s="834" t="s">
        <v>306</v>
      </c>
      <c r="B20" s="839"/>
      <c r="C20" s="712">
        <f>transport!B14</f>
        <v>27.046572945833329</v>
      </c>
      <c r="D20" s="712">
        <f>transport!C14</f>
        <v>0</v>
      </c>
      <c r="E20" s="712">
        <f>transport!D14</f>
        <v>124.06381950423999</v>
      </c>
      <c r="F20" s="712">
        <f>transport!E14</f>
        <v>93.775958239437486</v>
      </c>
      <c r="G20" s="712">
        <f>transport!F14</f>
        <v>0</v>
      </c>
      <c r="H20" s="712">
        <f>transport!G14</f>
        <v>37840.321617029171</v>
      </c>
      <c r="I20" s="712">
        <f>transport!H14</f>
        <v>9181.2342812825937</v>
      </c>
      <c r="J20" s="712">
        <f>transport!I14</f>
        <v>0</v>
      </c>
      <c r="K20" s="712">
        <f>transport!J14</f>
        <v>0</v>
      </c>
      <c r="L20" s="712">
        <f>transport!K14</f>
        <v>0</v>
      </c>
      <c r="M20" s="712">
        <f>transport!L14</f>
        <v>0</v>
      </c>
      <c r="N20" s="712">
        <f>transport!M14</f>
        <v>2785.3537454161819</v>
      </c>
      <c r="O20" s="712">
        <f>transport!N14</f>
        <v>0</v>
      </c>
      <c r="P20" s="712">
        <f>transport!O14</f>
        <v>0</v>
      </c>
      <c r="Q20" s="713">
        <f>transport!P14</f>
        <v>0</v>
      </c>
      <c r="R20" s="715">
        <f>SUM(C20:Q20)</f>
        <v>50051.795994417465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27.046572945833329</v>
      </c>
      <c r="D22" s="837">
        <f t="shared" ref="D22:R22" si="1">SUM(D18:D21)</f>
        <v>0</v>
      </c>
      <c r="E22" s="837">
        <f t="shared" si="1"/>
        <v>124.06381950423999</v>
      </c>
      <c r="F22" s="837">
        <f t="shared" si="1"/>
        <v>93.775958239437486</v>
      </c>
      <c r="G22" s="837">
        <f t="shared" si="1"/>
        <v>0</v>
      </c>
      <c r="H22" s="837">
        <f t="shared" si="1"/>
        <v>39624.221027186308</v>
      </c>
      <c r="I22" s="837">
        <f t="shared" si="1"/>
        <v>9181.2342812825937</v>
      </c>
      <c r="J22" s="837">
        <f t="shared" si="1"/>
        <v>0</v>
      </c>
      <c r="K22" s="837">
        <f t="shared" si="1"/>
        <v>0</v>
      </c>
      <c r="L22" s="837">
        <f t="shared" si="1"/>
        <v>0</v>
      </c>
      <c r="M22" s="837">
        <f t="shared" si="1"/>
        <v>0</v>
      </c>
      <c r="N22" s="837">
        <f t="shared" si="1"/>
        <v>2884.5030720103423</v>
      </c>
      <c r="O22" s="837">
        <f t="shared" si="1"/>
        <v>0</v>
      </c>
      <c r="P22" s="837">
        <f t="shared" si="1"/>
        <v>0</v>
      </c>
      <c r="Q22" s="837">
        <f t="shared" si="1"/>
        <v>0</v>
      </c>
      <c r="R22" s="837">
        <f t="shared" si="1"/>
        <v>51934.844731168763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435.17525899999998</v>
      </c>
      <c r="D24" s="712">
        <f>+landbouw!C8</f>
        <v>0</v>
      </c>
      <c r="E24" s="712">
        <f>+landbouw!D8</f>
        <v>247.884719324</v>
      </c>
      <c r="F24" s="712">
        <f>+landbouw!E8</f>
        <v>13.581676330293254</v>
      </c>
      <c r="G24" s="712">
        <f>+landbouw!F8</f>
        <v>1537.9575727207484</v>
      </c>
      <c r="H24" s="712">
        <f>+landbouw!G8</f>
        <v>0</v>
      </c>
      <c r="I24" s="712">
        <f>+landbouw!H8</f>
        <v>0</v>
      </c>
      <c r="J24" s="712">
        <f>+landbouw!I8</f>
        <v>0</v>
      </c>
      <c r="K24" s="712">
        <f>+landbouw!J8</f>
        <v>119.89380176847233</v>
      </c>
      <c r="L24" s="712">
        <f>+landbouw!K8</f>
        <v>0</v>
      </c>
      <c r="M24" s="712">
        <f>+landbouw!L8</f>
        <v>0</v>
      </c>
      <c r="N24" s="712">
        <f>+landbouw!M8</f>
        <v>0</v>
      </c>
      <c r="O24" s="712">
        <f>+landbouw!N8</f>
        <v>0</v>
      </c>
      <c r="P24" s="712">
        <f>+landbouw!O8</f>
        <v>0</v>
      </c>
      <c r="Q24" s="713">
        <f>+landbouw!P8</f>
        <v>0</v>
      </c>
      <c r="R24" s="715">
        <f>SUM(C24:Q24)</f>
        <v>2354.4930291435139</v>
      </c>
      <c r="S24" s="67"/>
    </row>
    <row r="25" spans="1:19" s="474" customFormat="1" ht="15" thickBot="1">
      <c r="A25" s="856" t="s">
        <v>734</v>
      </c>
      <c r="B25" s="982"/>
      <c r="C25" s="983">
        <f>IF(Onbekend_ele_kWh="---",0,Onbekend_ele_kWh)/1000+IF(REST_rest_ele_kWh="---",0,REST_rest_ele_kWh)/1000</f>
        <v>471.70908199999997</v>
      </c>
      <c r="D25" s="983"/>
      <c r="E25" s="983">
        <f>IF(onbekend_gas_kWh="---",0,onbekend_gas_kWh)/1000+IF(REST_rest_gas_kWh="---",0,REST_rest_gas_kWh)/1000</f>
        <v>1064.1375730000002</v>
      </c>
      <c r="F25" s="983"/>
      <c r="G25" s="983"/>
      <c r="H25" s="983"/>
      <c r="I25" s="983"/>
      <c r="J25" s="983"/>
      <c r="K25" s="983"/>
      <c r="L25" s="983"/>
      <c r="M25" s="983"/>
      <c r="N25" s="983"/>
      <c r="O25" s="983"/>
      <c r="P25" s="983"/>
      <c r="Q25" s="984"/>
      <c r="R25" s="715">
        <f>SUM(C25:Q25)</f>
        <v>1535.8466550000003</v>
      </c>
      <c r="S25" s="67"/>
    </row>
    <row r="26" spans="1:19" s="474" customFormat="1" ht="15.75" thickBot="1">
      <c r="A26" s="720" t="s">
        <v>735</v>
      </c>
      <c r="B26" s="842"/>
      <c r="C26" s="837">
        <f>SUM(C24:C25)</f>
        <v>906.88434099999995</v>
      </c>
      <c r="D26" s="837">
        <f t="shared" ref="D26:R26" si="2">SUM(D24:D25)</f>
        <v>0</v>
      </c>
      <c r="E26" s="837">
        <f t="shared" si="2"/>
        <v>1312.0222923240003</v>
      </c>
      <c r="F26" s="837">
        <f t="shared" si="2"/>
        <v>13.581676330293254</v>
      </c>
      <c r="G26" s="837">
        <f t="shared" si="2"/>
        <v>1537.9575727207484</v>
      </c>
      <c r="H26" s="837">
        <f t="shared" si="2"/>
        <v>0</v>
      </c>
      <c r="I26" s="837">
        <f t="shared" si="2"/>
        <v>0</v>
      </c>
      <c r="J26" s="837">
        <f t="shared" si="2"/>
        <v>0</v>
      </c>
      <c r="K26" s="837">
        <f t="shared" si="2"/>
        <v>119.89380176847233</v>
      </c>
      <c r="L26" s="837">
        <f t="shared" si="2"/>
        <v>0</v>
      </c>
      <c r="M26" s="837">
        <f t="shared" si="2"/>
        <v>0</v>
      </c>
      <c r="N26" s="837">
        <f t="shared" si="2"/>
        <v>0</v>
      </c>
      <c r="O26" s="837">
        <f t="shared" si="2"/>
        <v>0</v>
      </c>
      <c r="P26" s="837">
        <f t="shared" si="2"/>
        <v>0</v>
      </c>
      <c r="Q26" s="837">
        <f t="shared" si="2"/>
        <v>0</v>
      </c>
      <c r="R26" s="837">
        <f t="shared" si="2"/>
        <v>3890.3396841435142</v>
      </c>
      <c r="S26" s="67"/>
    </row>
    <row r="27" spans="1:19" s="474" customFormat="1" ht="17.25" thickTop="1" thickBot="1">
      <c r="A27" s="721" t="s">
        <v>115</v>
      </c>
      <c r="B27" s="829"/>
      <c r="C27" s="722">
        <f ca="1">C22+C16+C26</f>
        <v>32769.027377782833</v>
      </c>
      <c r="D27" s="722">
        <f t="shared" ref="D27:R27" ca="1" si="3">D22+D16+D26</f>
        <v>0</v>
      </c>
      <c r="E27" s="722">
        <f t="shared" ca="1" si="3"/>
        <v>49574.530397848241</v>
      </c>
      <c r="F27" s="722">
        <f t="shared" si="3"/>
        <v>7278.5586807084283</v>
      </c>
      <c r="G27" s="722">
        <f t="shared" ca="1" si="3"/>
        <v>23351.765168763188</v>
      </c>
      <c r="H27" s="722">
        <f t="shared" si="3"/>
        <v>39624.221027186308</v>
      </c>
      <c r="I27" s="722">
        <f t="shared" si="3"/>
        <v>9181.2342812825937</v>
      </c>
      <c r="J27" s="722">
        <f t="shared" si="3"/>
        <v>0</v>
      </c>
      <c r="K27" s="722">
        <f t="shared" si="3"/>
        <v>157.48071184348868</v>
      </c>
      <c r="L27" s="722">
        <f t="shared" si="3"/>
        <v>0</v>
      </c>
      <c r="M27" s="722">
        <f t="shared" ca="1" si="3"/>
        <v>0</v>
      </c>
      <c r="N27" s="722">
        <f t="shared" si="3"/>
        <v>2884.5030720103423</v>
      </c>
      <c r="O27" s="722">
        <f t="shared" ca="1" si="3"/>
        <v>9144.5505174711143</v>
      </c>
      <c r="P27" s="722">
        <f t="shared" si="3"/>
        <v>246.94016353105906</v>
      </c>
      <c r="Q27" s="722">
        <f t="shared" si="3"/>
        <v>800.45024915213162</v>
      </c>
      <c r="R27" s="722">
        <f t="shared" ca="1" si="3"/>
        <v>175013.26164757975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1285.6424840817342</v>
      </c>
      <c r="D40" s="712">
        <f ca="1">tertiair!C20</f>
        <v>0</v>
      </c>
      <c r="E40" s="712">
        <f ca="1">tertiair!D20</f>
        <v>1961.2343032264841</v>
      </c>
      <c r="F40" s="712">
        <f>tertiair!E20</f>
        <v>17.335487258313918</v>
      </c>
      <c r="G40" s="712">
        <f ca="1">tertiair!F20</f>
        <v>173.14875323346524</v>
      </c>
      <c r="H40" s="712">
        <f>tertiair!G20</f>
        <v>0</v>
      </c>
      <c r="I40" s="712">
        <f>tertiair!H20</f>
        <v>0</v>
      </c>
      <c r="J40" s="712">
        <f>tertiair!I20</f>
        <v>0</v>
      </c>
      <c r="K40" s="712">
        <f>tertiair!J20</f>
        <v>5.0066187458781587E-3</v>
      </c>
      <c r="L40" s="712">
        <f>tertiair!K20</f>
        <v>0</v>
      </c>
      <c r="M40" s="712">
        <f ca="1">tertiair!L20</f>
        <v>0</v>
      </c>
      <c r="N40" s="712">
        <f>tertiair!M20</f>
        <v>0</v>
      </c>
      <c r="O40" s="712">
        <f ca="1">tertiair!N20</f>
        <v>0</v>
      </c>
      <c r="P40" s="712">
        <f>tertiair!O20</f>
        <v>0</v>
      </c>
      <c r="Q40" s="795">
        <f>tertiair!P20</f>
        <v>0</v>
      </c>
      <c r="R40" s="875">
        <f t="shared" ca="1" si="4"/>
        <v>3437.3660344187438</v>
      </c>
    </row>
    <row r="41" spans="1:18">
      <c r="A41" s="847" t="s">
        <v>224</v>
      </c>
      <c r="B41" s="854"/>
      <c r="C41" s="712">
        <f ca="1">huishoudens!B12</f>
        <v>4162.2052238528704</v>
      </c>
      <c r="D41" s="712">
        <f ca="1">huishoudens!C12</f>
        <v>0</v>
      </c>
      <c r="E41" s="712">
        <f>huishoudens!D12</f>
        <v>7543.7895645758799</v>
      </c>
      <c r="F41" s="712">
        <f>huishoudens!E12</f>
        <v>1534.6937171238822</v>
      </c>
      <c r="G41" s="712">
        <f>huishoudens!F12</f>
        <v>5339.4025125295166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18580.091018082148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1017.9362973986226</v>
      </c>
      <c r="D43" s="712">
        <f ca="1">industrie!C22</f>
        <v>0</v>
      </c>
      <c r="E43" s="712">
        <f>industrie!D22</f>
        <v>218.94187797367599</v>
      </c>
      <c r="F43" s="712">
        <f>industrie!E22</f>
        <v>75.833433091288128</v>
      </c>
      <c r="G43" s="712">
        <f>industrie!F22</f>
        <v>311.73536238034961</v>
      </c>
      <c r="H43" s="712">
        <f>industrie!G22</f>
        <v>0</v>
      </c>
      <c r="I43" s="712">
        <f>industrie!H22</f>
        <v>0</v>
      </c>
      <c r="J43" s="712">
        <f>industrie!I22</f>
        <v>0</v>
      </c>
      <c r="K43" s="712">
        <f>industrie!J22</f>
        <v>13.300759547809907</v>
      </c>
      <c r="L43" s="712">
        <f>industrie!K22</f>
        <v>0</v>
      </c>
      <c r="M43" s="712">
        <f>industrie!L22</f>
        <v>0</v>
      </c>
      <c r="N43" s="712">
        <f>industrie!M22</f>
        <v>0</v>
      </c>
      <c r="O43" s="712">
        <f>industrie!N22</f>
        <v>0</v>
      </c>
      <c r="P43" s="712">
        <f>industrie!O22</f>
        <v>0</v>
      </c>
      <c r="Q43" s="795">
        <f>industrie!P22</f>
        <v>0</v>
      </c>
      <c r="R43" s="874">
        <f t="shared" ca="1" si="4"/>
        <v>1637.7477303917462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6465.7840053332275</v>
      </c>
      <c r="D46" s="748">
        <f t="shared" ref="D46:Q46" ca="1" si="5">SUM(D39:D45)</f>
        <v>0</v>
      </c>
      <c r="E46" s="748">
        <f t="shared" ca="1" si="5"/>
        <v>9723.9657457760386</v>
      </c>
      <c r="F46" s="748">
        <f t="shared" si="5"/>
        <v>1627.862637473484</v>
      </c>
      <c r="G46" s="748">
        <f t="shared" ca="1" si="5"/>
        <v>5824.2866281433307</v>
      </c>
      <c r="H46" s="748">
        <f t="shared" si="5"/>
        <v>0</v>
      </c>
      <c r="I46" s="748">
        <f t="shared" si="5"/>
        <v>0</v>
      </c>
      <c r="J46" s="748">
        <f t="shared" si="5"/>
        <v>0</v>
      </c>
      <c r="K46" s="748">
        <f t="shared" si="5"/>
        <v>13.305766166555784</v>
      </c>
      <c r="L46" s="748">
        <f t="shared" si="5"/>
        <v>0</v>
      </c>
      <c r="M46" s="748">
        <f t="shared" ca="1" si="5"/>
        <v>0</v>
      </c>
      <c r="N46" s="748">
        <f t="shared" si="5"/>
        <v>0</v>
      </c>
      <c r="O46" s="748">
        <f t="shared" ca="1" si="5"/>
        <v>0</v>
      </c>
      <c r="P46" s="748">
        <f t="shared" si="5"/>
        <v>0</v>
      </c>
      <c r="Q46" s="748">
        <f t="shared" si="5"/>
        <v>0</v>
      </c>
      <c r="R46" s="748">
        <f ca="1">SUM(R39:R45)</f>
        <v>23655.204782892641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476.30114251195567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476.30114251195567</v>
      </c>
    </row>
    <row r="50" spans="1:18">
      <c r="A50" s="850" t="s">
        <v>306</v>
      </c>
      <c r="B50" s="860"/>
      <c r="C50" s="718">
        <f ca="1">transport!B18</f>
        <v>5.4932234601801495</v>
      </c>
      <c r="D50" s="718">
        <f>transport!C18</f>
        <v>0</v>
      </c>
      <c r="E50" s="718">
        <f>transport!D18</f>
        <v>25.060891539856478</v>
      </c>
      <c r="F50" s="718">
        <f>transport!E18</f>
        <v>21.287142520352312</v>
      </c>
      <c r="G50" s="718">
        <f>transport!F18</f>
        <v>0</v>
      </c>
      <c r="H50" s="718">
        <f>transport!G18</f>
        <v>10103.36587174679</v>
      </c>
      <c r="I50" s="718">
        <f>transport!H18</f>
        <v>2286.1273360393657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12441.334465306545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5.4932234601801495</v>
      </c>
      <c r="D52" s="748">
        <f t="shared" ref="D52:Q52" ca="1" si="6">SUM(D48:D51)</f>
        <v>0</v>
      </c>
      <c r="E52" s="748">
        <f t="shared" si="6"/>
        <v>25.060891539856478</v>
      </c>
      <c r="F52" s="748">
        <f t="shared" si="6"/>
        <v>21.287142520352312</v>
      </c>
      <c r="G52" s="748">
        <f t="shared" si="6"/>
        <v>0</v>
      </c>
      <c r="H52" s="748">
        <f t="shared" si="6"/>
        <v>10579.667014258745</v>
      </c>
      <c r="I52" s="748">
        <f t="shared" si="6"/>
        <v>2286.1273360393657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12917.6356078185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88.385132815765644</v>
      </c>
      <c r="D54" s="718">
        <f ca="1">+landbouw!C12</f>
        <v>0</v>
      </c>
      <c r="E54" s="718">
        <f>+landbouw!D12</f>
        <v>50.072713303448005</v>
      </c>
      <c r="F54" s="718">
        <f>+landbouw!E12</f>
        <v>3.0830405269765686</v>
      </c>
      <c r="G54" s="718">
        <f>+landbouw!F12</f>
        <v>410.63467191643986</v>
      </c>
      <c r="H54" s="718">
        <f>+landbouw!G12</f>
        <v>0</v>
      </c>
      <c r="I54" s="718">
        <f>+landbouw!H12</f>
        <v>0</v>
      </c>
      <c r="J54" s="718">
        <f>+landbouw!I12</f>
        <v>0</v>
      </c>
      <c r="K54" s="718">
        <f>+landbouw!J12</f>
        <v>42.442405826039199</v>
      </c>
      <c r="L54" s="718">
        <f>+landbouw!K12</f>
        <v>0</v>
      </c>
      <c r="M54" s="718">
        <f>+landbouw!L12</f>
        <v>0</v>
      </c>
      <c r="N54" s="718">
        <f>+landbouw!M12</f>
        <v>0</v>
      </c>
      <c r="O54" s="718">
        <f>+landbouw!N12</f>
        <v>0</v>
      </c>
      <c r="P54" s="718">
        <f>+landbouw!O12</f>
        <v>0</v>
      </c>
      <c r="Q54" s="719">
        <f>+landbouw!P12</f>
        <v>0</v>
      </c>
      <c r="R54" s="747">
        <f ca="1">SUM(C54:Q54)</f>
        <v>594.61796438866929</v>
      </c>
    </row>
    <row r="55" spans="1:18" ht="15" thickBot="1">
      <c r="A55" s="850" t="s">
        <v>734</v>
      </c>
      <c r="B55" s="860"/>
      <c r="C55" s="718">
        <f ca="1">C25*'EF ele_warmte'!B12</f>
        <v>95.805239385111463</v>
      </c>
      <c r="D55" s="718"/>
      <c r="E55" s="718">
        <f>E25*EF_CO2_aardgas</f>
        <v>214.95578974600005</v>
      </c>
      <c r="F55" s="718"/>
      <c r="G55" s="718"/>
      <c r="H55" s="718"/>
      <c r="I55" s="718"/>
      <c r="J55" s="718"/>
      <c r="K55" s="718"/>
      <c r="L55" s="718"/>
      <c r="M55" s="718"/>
      <c r="N55" s="718"/>
      <c r="O55" s="718"/>
      <c r="P55" s="718"/>
      <c r="Q55" s="719"/>
      <c r="R55" s="747">
        <f ca="1">SUM(C55:Q55)</f>
        <v>310.76102913111151</v>
      </c>
    </row>
    <row r="56" spans="1:18" ht="15.75" thickBot="1">
      <c r="A56" s="848" t="s">
        <v>735</v>
      </c>
      <c r="B56" s="861"/>
      <c r="C56" s="748">
        <f ca="1">SUM(C54:C55)</f>
        <v>184.19037220087711</v>
      </c>
      <c r="D56" s="748">
        <f t="shared" ref="D56:Q56" ca="1" si="7">SUM(D54:D55)</f>
        <v>0</v>
      </c>
      <c r="E56" s="748">
        <f t="shared" si="7"/>
        <v>265.02850304944803</v>
      </c>
      <c r="F56" s="748">
        <f t="shared" si="7"/>
        <v>3.0830405269765686</v>
      </c>
      <c r="G56" s="748">
        <f t="shared" si="7"/>
        <v>410.63467191643986</v>
      </c>
      <c r="H56" s="748">
        <f t="shared" si="7"/>
        <v>0</v>
      </c>
      <c r="I56" s="748">
        <f t="shared" si="7"/>
        <v>0</v>
      </c>
      <c r="J56" s="748">
        <f t="shared" si="7"/>
        <v>0</v>
      </c>
      <c r="K56" s="748">
        <f t="shared" si="7"/>
        <v>42.442405826039199</v>
      </c>
      <c r="L56" s="748">
        <f t="shared" si="7"/>
        <v>0</v>
      </c>
      <c r="M56" s="748">
        <f t="shared" si="7"/>
        <v>0</v>
      </c>
      <c r="N56" s="748">
        <f t="shared" si="7"/>
        <v>0</v>
      </c>
      <c r="O56" s="748">
        <f t="shared" si="7"/>
        <v>0</v>
      </c>
      <c r="P56" s="748">
        <f t="shared" si="7"/>
        <v>0</v>
      </c>
      <c r="Q56" s="749">
        <f t="shared" si="7"/>
        <v>0</v>
      </c>
      <c r="R56" s="750">
        <f ca="1">SUM(R54:R55)</f>
        <v>905.37899351978081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6655.467600994285</v>
      </c>
      <c r="D61" s="756">
        <f t="shared" ref="D61:Q61" ca="1" si="8">D46+D52+D56</f>
        <v>0</v>
      </c>
      <c r="E61" s="756">
        <f t="shared" ca="1" si="8"/>
        <v>10014.055140365344</v>
      </c>
      <c r="F61" s="756">
        <f t="shared" si="8"/>
        <v>1652.232820520813</v>
      </c>
      <c r="G61" s="756">
        <f t="shared" ca="1" si="8"/>
        <v>6234.9213000597701</v>
      </c>
      <c r="H61" s="756">
        <f t="shared" si="8"/>
        <v>10579.667014258745</v>
      </c>
      <c r="I61" s="756">
        <f t="shared" si="8"/>
        <v>2286.1273360393657</v>
      </c>
      <c r="J61" s="756">
        <f t="shared" si="8"/>
        <v>0</v>
      </c>
      <c r="K61" s="756">
        <f t="shared" si="8"/>
        <v>55.748171992594983</v>
      </c>
      <c r="L61" s="756">
        <f t="shared" si="8"/>
        <v>0</v>
      </c>
      <c r="M61" s="756">
        <f t="shared" ca="1" si="8"/>
        <v>0</v>
      </c>
      <c r="N61" s="756">
        <f t="shared" si="8"/>
        <v>0</v>
      </c>
      <c r="O61" s="756">
        <f t="shared" ca="1" si="8"/>
        <v>0</v>
      </c>
      <c r="P61" s="756">
        <f t="shared" si="8"/>
        <v>0</v>
      </c>
      <c r="Q61" s="756">
        <f t="shared" si="8"/>
        <v>0</v>
      </c>
      <c r="R61" s="756">
        <f ca="1">R46+R52+R56</f>
        <v>37478.219384230921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0.20310238458608157</v>
      </c>
      <c r="D63" s="802">
        <f t="shared" ca="1" si="9"/>
        <v>0</v>
      </c>
      <c r="E63" s="1008">
        <f t="shared" ca="1" si="9"/>
        <v>0.20199999999999999</v>
      </c>
      <c r="F63" s="802">
        <f t="shared" si="9"/>
        <v>0.22699999999999998</v>
      </c>
      <c r="G63" s="802">
        <f t="shared" ca="1" si="9"/>
        <v>0.26699999999999996</v>
      </c>
      <c r="H63" s="802">
        <f t="shared" si="9"/>
        <v>0.26700000000000002</v>
      </c>
      <c r="I63" s="802">
        <f t="shared" si="9"/>
        <v>0.24899999999999997</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2653.7893642340396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2653.7893642340396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2653.7893642340396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2653.7893642340396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20493.138139836999</v>
      </c>
      <c r="C4" s="478">
        <f>huishoudens!C8</f>
        <v>0</v>
      </c>
      <c r="D4" s="478">
        <f>huishoudens!D8</f>
        <v>37345.492893939998</v>
      </c>
      <c r="E4" s="478">
        <f>huishoudens!E8</f>
        <v>6760.7652736734899</v>
      </c>
      <c r="F4" s="478">
        <f>huishoudens!F8</f>
        <v>19997.762219211672</v>
      </c>
      <c r="G4" s="478">
        <f>huishoudens!G8</f>
        <v>0</v>
      </c>
      <c r="H4" s="478">
        <f>huishoudens!H8</f>
        <v>0</v>
      </c>
      <c r="I4" s="478">
        <f>huishoudens!I8</f>
        <v>0</v>
      </c>
      <c r="J4" s="478">
        <f>huishoudens!J8</f>
        <v>0</v>
      </c>
      <c r="K4" s="478">
        <f>huishoudens!K8</f>
        <v>0</v>
      </c>
      <c r="L4" s="478">
        <f>huishoudens!L8</f>
        <v>0</v>
      </c>
      <c r="M4" s="478">
        <f>huishoudens!M8</f>
        <v>0</v>
      </c>
      <c r="N4" s="478">
        <f>huishoudens!N8</f>
        <v>8377.595830889848</v>
      </c>
      <c r="O4" s="478">
        <f>huishoudens!O8</f>
        <v>242.04290276521789</v>
      </c>
      <c r="P4" s="479">
        <f>huishoudens!P8</f>
        <v>747.91111084563659</v>
      </c>
      <c r="Q4" s="480">
        <f>SUM(B4:P4)</f>
        <v>93964.708371162866</v>
      </c>
    </row>
    <row r="5" spans="1:17">
      <c r="A5" s="477" t="s">
        <v>155</v>
      </c>
      <c r="B5" s="478">
        <f ca="1">tertiair!B16</f>
        <v>5727.9276129999998</v>
      </c>
      <c r="C5" s="478">
        <f ca="1">tertiair!C16</f>
        <v>0</v>
      </c>
      <c r="D5" s="478">
        <f ca="1">tertiair!D16</f>
        <v>9709.0807090420003</v>
      </c>
      <c r="E5" s="478">
        <f>tertiair!E16</f>
        <v>76.367785278915932</v>
      </c>
      <c r="F5" s="478">
        <f ca="1">tertiair!F16</f>
        <v>648.49720312159263</v>
      </c>
      <c r="G5" s="478">
        <f>tertiair!G16</f>
        <v>0</v>
      </c>
      <c r="H5" s="478">
        <f>tertiair!H16</f>
        <v>0</v>
      </c>
      <c r="I5" s="478">
        <f>tertiair!I16</f>
        <v>0</v>
      </c>
      <c r="J5" s="478">
        <f>tertiair!J16</f>
        <v>1.414299080756542E-2</v>
      </c>
      <c r="K5" s="478">
        <f>tertiair!K16</f>
        <v>0</v>
      </c>
      <c r="L5" s="478">
        <f ca="1">tertiair!L16</f>
        <v>0</v>
      </c>
      <c r="M5" s="478">
        <f>tertiair!M16</f>
        <v>0</v>
      </c>
      <c r="N5" s="478">
        <f ca="1">tertiair!N16</f>
        <v>558.45221786551224</v>
      </c>
      <c r="O5" s="478">
        <f>tertiair!O16</f>
        <v>4.8972607658411542</v>
      </c>
      <c r="P5" s="479">
        <f>tertiair!P16</f>
        <v>52.539138306495019</v>
      </c>
      <c r="Q5" s="477">
        <f t="shared" ref="Q5:Q14" ca="1" si="0">SUM(B5:P5)</f>
        <v>16777.776070371165</v>
      </c>
    </row>
    <row r="6" spans="1:17">
      <c r="A6" s="477" t="s">
        <v>193</v>
      </c>
      <c r="B6" s="478">
        <f>'openbare verlichting'!B8</f>
        <v>602.09400000000005</v>
      </c>
      <c r="C6" s="478"/>
      <c r="D6" s="478"/>
      <c r="E6" s="478"/>
      <c r="F6" s="478"/>
      <c r="G6" s="478"/>
      <c r="H6" s="478"/>
      <c r="I6" s="478"/>
      <c r="J6" s="478"/>
      <c r="K6" s="478"/>
      <c r="L6" s="478"/>
      <c r="M6" s="478"/>
      <c r="N6" s="478"/>
      <c r="O6" s="478"/>
      <c r="P6" s="479"/>
      <c r="Q6" s="477">
        <f t="shared" si="0"/>
        <v>602.09400000000005</v>
      </c>
    </row>
    <row r="7" spans="1:17">
      <c r="A7" s="477" t="s">
        <v>111</v>
      </c>
      <c r="B7" s="478">
        <f>landbouw!B8</f>
        <v>435.17525899999998</v>
      </c>
      <c r="C7" s="478">
        <f>landbouw!C8</f>
        <v>0</v>
      </c>
      <c r="D7" s="478">
        <f>landbouw!D8</f>
        <v>247.884719324</v>
      </c>
      <c r="E7" s="478">
        <f>landbouw!E8</f>
        <v>13.581676330293254</v>
      </c>
      <c r="F7" s="478">
        <f>landbouw!F8</f>
        <v>1537.9575727207484</v>
      </c>
      <c r="G7" s="478">
        <f>landbouw!G8</f>
        <v>0</v>
      </c>
      <c r="H7" s="478">
        <f>landbouw!H8</f>
        <v>0</v>
      </c>
      <c r="I7" s="478">
        <f>landbouw!I8</f>
        <v>0</v>
      </c>
      <c r="J7" s="478">
        <f>landbouw!J8</f>
        <v>119.89380176847233</v>
      </c>
      <c r="K7" s="478">
        <f>landbouw!K8</f>
        <v>0</v>
      </c>
      <c r="L7" s="478">
        <f>landbouw!L8</f>
        <v>0</v>
      </c>
      <c r="M7" s="478">
        <f>landbouw!M8</f>
        <v>0</v>
      </c>
      <c r="N7" s="478">
        <f>landbouw!N8</f>
        <v>0</v>
      </c>
      <c r="O7" s="478">
        <f>landbouw!O8</f>
        <v>0</v>
      </c>
      <c r="P7" s="479">
        <f>landbouw!P8</f>
        <v>0</v>
      </c>
      <c r="Q7" s="477">
        <f t="shared" si="0"/>
        <v>2354.4930291435139</v>
      </c>
    </row>
    <row r="8" spans="1:17">
      <c r="A8" s="477" t="s">
        <v>629</v>
      </c>
      <c r="B8" s="478">
        <f>industrie!B18</f>
        <v>5011.9367110000003</v>
      </c>
      <c r="C8" s="478">
        <f>industrie!C18</f>
        <v>0</v>
      </c>
      <c r="D8" s="478">
        <f>industrie!D18</f>
        <v>1083.8706830379999</v>
      </c>
      <c r="E8" s="478">
        <f>industrie!E18</f>
        <v>334.0679871862913</v>
      </c>
      <c r="F8" s="478">
        <f>industrie!F18</f>
        <v>1167.5481737091745</v>
      </c>
      <c r="G8" s="478">
        <f>industrie!G18</f>
        <v>0</v>
      </c>
      <c r="H8" s="478">
        <f>industrie!H18</f>
        <v>0</v>
      </c>
      <c r="I8" s="478">
        <f>industrie!I18</f>
        <v>0</v>
      </c>
      <c r="J8" s="478">
        <f>industrie!J18</f>
        <v>37.572767084208778</v>
      </c>
      <c r="K8" s="478">
        <f>industrie!K18</f>
        <v>0</v>
      </c>
      <c r="L8" s="478">
        <f>industrie!L18</f>
        <v>0</v>
      </c>
      <c r="M8" s="478">
        <f>industrie!M18</f>
        <v>0</v>
      </c>
      <c r="N8" s="478">
        <f>industrie!N18</f>
        <v>208.50246871575555</v>
      </c>
      <c r="O8" s="478">
        <f>industrie!O18</f>
        <v>0</v>
      </c>
      <c r="P8" s="479">
        <f>industrie!P18</f>
        <v>0</v>
      </c>
      <c r="Q8" s="477">
        <f t="shared" si="0"/>
        <v>7843.4987907334307</v>
      </c>
    </row>
    <row r="9" spans="1:17" s="483" customFormat="1">
      <c r="A9" s="481" t="s">
        <v>555</v>
      </c>
      <c r="B9" s="482">
        <f>transport!B14</f>
        <v>27.046572945833329</v>
      </c>
      <c r="C9" s="482">
        <f>transport!C14</f>
        <v>0</v>
      </c>
      <c r="D9" s="482">
        <f>transport!D14</f>
        <v>124.06381950423999</v>
      </c>
      <c r="E9" s="482">
        <f>transport!E14</f>
        <v>93.775958239437486</v>
      </c>
      <c r="F9" s="482">
        <f>transport!F14</f>
        <v>0</v>
      </c>
      <c r="G9" s="482">
        <f>transport!G14</f>
        <v>37840.321617029171</v>
      </c>
      <c r="H9" s="482">
        <f>transport!H14</f>
        <v>9181.2342812825937</v>
      </c>
      <c r="I9" s="482">
        <f>transport!I14</f>
        <v>0</v>
      </c>
      <c r="J9" s="482">
        <f>transport!J14</f>
        <v>0</v>
      </c>
      <c r="K9" s="482">
        <f>transport!K14</f>
        <v>0</v>
      </c>
      <c r="L9" s="482">
        <f>transport!L14</f>
        <v>0</v>
      </c>
      <c r="M9" s="482">
        <f>transport!M14</f>
        <v>2785.3537454161819</v>
      </c>
      <c r="N9" s="482">
        <f>transport!N14</f>
        <v>0</v>
      </c>
      <c r="O9" s="482">
        <f>transport!O14</f>
        <v>0</v>
      </c>
      <c r="P9" s="482">
        <f>transport!P14</f>
        <v>0</v>
      </c>
      <c r="Q9" s="481">
        <f>SUM(B9:P9)</f>
        <v>50051.795994417465</v>
      </c>
    </row>
    <row r="10" spans="1:17">
      <c r="A10" s="477" t="s">
        <v>545</v>
      </c>
      <c r="B10" s="478">
        <f>transport!B54</f>
        <v>0</v>
      </c>
      <c r="C10" s="478">
        <f>transport!C54</f>
        <v>0</v>
      </c>
      <c r="D10" s="478">
        <f>transport!D54</f>
        <v>0</v>
      </c>
      <c r="E10" s="478">
        <f>transport!E54</f>
        <v>0</v>
      </c>
      <c r="F10" s="478">
        <f>transport!F54</f>
        <v>0</v>
      </c>
      <c r="G10" s="478">
        <f>transport!G54</f>
        <v>1783.8994101571373</v>
      </c>
      <c r="H10" s="478">
        <f>transport!H54</f>
        <v>0</v>
      </c>
      <c r="I10" s="478">
        <f>transport!I54</f>
        <v>0</v>
      </c>
      <c r="J10" s="478">
        <f>transport!J54</f>
        <v>0</v>
      </c>
      <c r="K10" s="478">
        <f>transport!K54</f>
        <v>0</v>
      </c>
      <c r="L10" s="478">
        <f>transport!L54</f>
        <v>0</v>
      </c>
      <c r="M10" s="478">
        <f>transport!M54</f>
        <v>99.14932659416047</v>
      </c>
      <c r="N10" s="478">
        <f>transport!N54</f>
        <v>0</v>
      </c>
      <c r="O10" s="478">
        <f>transport!O54</f>
        <v>0</v>
      </c>
      <c r="P10" s="479">
        <f>transport!P54</f>
        <v>0</v>
      </c>
      <c r="Q10" s="477">
        <f t="shared" si="0"/>
        <v>1883.0487367512978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471.70908199999997</v>
      </c>
      <c r="C14" s="485"/>
      <c r="D14" s="485">
        <f>'SEAP template'!E25</f>
        <v>1064.1375730000002</v>
      </c>
      <c r="E14" s="485"/>
      <c r="F14" s="485"/>
      <c r="G14" s="485"/>
      <c r="H14" s="485"/>
      <c r="I14" s="485"/>
      <c r="J14" s="485"/>
      <c r="K14" s="485"/>
      <c r="L14" s="485"/>
      <c r="M14" s="485"/>
      <c r="N14" s="485"/>
      <c r="O14" s="485"/>
      <c r="P14" s="486"/>
      <c r="Q14" s="477">
        <f t="shared" si="0"/>
        <v>1535.8466550000003</v>
      </c>
    </row>
    <row r="15" spans="1:17" s="489" customFormat="1">
      <c r="A15" s="487" t="s">
        <v>549</v>
      </c>
      <c r="B15" s="488">
        <f ca="1">SUM(B4:B14)</f>
        <v>32769.027377782833</v>
      </c>
      <c r="C15" s="488">
        <f t="shared" ref="C15:Q15" ca="1" si="1">SUM(C4:C14)</f>
        <v>0</v>
      </c>
      <c r="D15" s="488">
        <f t="shared" ca="1" si="1"/>
        <v>49574.530397848241</v>
      </c>
      <c r="E15" s="488">
        <f t="shared" si="1"/>
        <v>7278.5586807084283</v>
      </c>
      <c r="F15" s="488">
        <f t="shared" ca="1" si="1"/>
        <v>23351.765168763188</v>
      </c>
      <c r="G15" s="488">
        <f t="shared" si="1"/>
        <v>39624.221027186308</v>
      </c>
      <c r="H15" s="488">
        <f t="shared" si="1"/>
        <v>9181.2342812825937</v>
      </c>
      <c r="I15" s="488">
        <f t="shared" si="1"/>
        <v>0</v>
      </c>
      <c r="J15" s="488">
        <f t="shared" si="1"/>
        <v>157.48071184348868</v>
      </c>
      <c r="K15" s="488">
        <f t="shared" si="1"/>
        <v>0</v>
      </c>
      <c r="L15" s="488">
        <f t="shared" ca="1" si="1"/>
        <v>0</v>
      </c>
      <c r="M15" s="488">
        <f t="shared" si="1"/>
        <v>2884.5030720103423</v>
      </c>
      <c r="N15" s="488">
        <f t="shared" ca="1" si="1"/>
        <v>9144.5505174711143</v>
      </c>
      <c r="O15" s="488">
        <f t="shared" si="1"/>
        <v>246.94016353105906</v>
      </c>
      <c r="P15" s="488">
        <f t="shared" si="1"/>
        <v>800.45024915213162</v>
      </c>
      <c r="Q15" s="488">
        <f t="shared" ca="1" si="1"/>
        <v>175013.26164757973</v>
      </c>
    </row>
    <row r="17" spans="1:17">
      <c r="A17" s="490" t="s">
        <v>550</v>
      </c>
      <c r="B17" s="807">
        <f ca="1">huishoudens!B10</f>
        <v>0.20310238458608154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4162.2052238528704</v>
      </c>
      <c r="C22" s="478">
        <f t="shared" ref="C22:C32" ca="1" si="3">C4*$C$17</f>
        <v>0</v>
      </c>
      <c r="D22" s="478">
        <f t="shared" ref="D22:D32" si="4">D4*$D$17</f>
        <v>7543.7895645758799</v>
      </c>
      <c r="E22" s="478">
        <f t="shared" ref="E22:E32" si="5">E4*$E$17</f>
        <v>1534.6937171238822</v>
      </c>
      <c r="F22" s="478">
        <f t="shared" ref="F22:F32" si="6">F4*$F$17</f>
        <v>5339.4025125295166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18580.091018082148</v>
      </c>
    </row>
    <row r="23" spans="1:17">
      <c r="A23" s="477" t="s">
        <v>155</v>
      </c>
      <c r="B23" s="478">
        <f t="shared" ca="1" si="2"/>
        <v>1163.355756936762</v>
      </c>
      <c r="C23" s="478">
        <f t="shared" ca="1" si="3"/>
        <v>0</v>
      </c>
      <c r="D23" s="478">
        <f t="shared" ca="1" si="4"/>
        <v>1961.2343032264841</v>
      </c>
      <c r="E23" s="478">
        <f t="shared" si="5"/>
        <v>17.335487258313918</v>
      </c>
      <c r="F23" s="478">
        <f t="shared" ca="1" si="6"/>
        <v>173.14875323346524</v>
      </c>
      <c r="G23" s="478">
        <f t="shared" si="7"/>
        <v>0</v>
      </c>
      <c r="H23" s="478">
        <f t="shared" si="8"/>
        <v>0</v>
      </c>
      <c r="I23" s="478">
        <f t="shared" si="9"/>
        <v>0</v>
      </c>
      <c r="J23" s="478">
        <f t="shared" si="10"/>
        <v>5.0066187458781587E-3</v>
      </c>
      <c r="K23" s="478">
        <f t="shared" si="11"/>
        <v>0</v>
      </c>
      <c r="L23" s="478">
        <f t="shared" ca="1" si="12"/>
        <v>0</v>
      </c>
      <c r="M23" s="478">
        <f t="shared" si="13"/>
        <v>0</v>
      </c>
      <c r="N23" s="478">
        <f t="shared" ca="1" si="14"/>
        <v>0</v>
      </c>
      <c r="O23" s="478">
        <f t="shared" si="15"/>
        <v>0</v>
      </c>
      <c r="P23" s="479">
        <f t="shared" si="16"/>
        <v>0</v>
      </c>
      <c r="Q23" s="477">
        <f t="shared" ref="Q23:Q31" ca="1" si="17">SUM(B23:P23)</f>
        <v>3315.0793072737715</v>
      </c>
    </row>
    <row r="24" spans="1:17">
      <c r="A24" s="477" t="s">
        <v>193</v>
      </c>
      <c r="B24" s="478">
        <f t="shared" ca="1" si="2"/>
        <v>122.28672714497219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122.28672714497219</v>
      </c>
    </row>
    <row r="25" spans="1:17">
      <c r="A25" s="477" t="s">
        <v>111</v>
      </c>
      <c r="B25" s="478">
        <f t="shared" ca="1" si="2"/>
        <v>88.385132815765644</v>
      </c>
      <c r="C25" s="478">
        <f t="shared" ca="1" si="3"/>
        <v>0</v>
      </c>
      <c r="D25" s="478">
        <f t="shared" si="4"/>
        <v>50.072713303448005</v>
      </c>
      <c r="E25" s="478">
        <f t="shared" si="5"/>
        <v>3.0830405269765686</v>
      </c>
      <c r="F25" s="478">
        <f t="shared" si="6"/>
        <v>410.63467191643986</v>
      </c>
      <c r="G25" s="478">
        <f t="shared" si="7"/>
        <v>0</v>
      </c>
      <c r="H25" s="478">
        <f t="shared" si="8"/>
        <v>0</v>
      </c>
      <c r="I25" s="478">
        <f t="shared" si="9"/>
        <v>0</v>
      </c>
      <c r="J25" s="478">
        <f t="shared" si="10"/>
        <v>42.442405826039199</v>
      </c>
      <c r="K25" s="478">
        <f t="shared" si="11"/>
        <v>0</v>
      </c>
      <c r="L25" s="478">
        <f t="shared" si="12"/>
        <v>0</v>
      </c>
      <c r="M25" s="478">
        <f t="shared" si="13"/>
        <v>0</v>
      </c>
      <c r="N25" s="478">
        <f t="shared" si="14"/>
        <v>0</v>
      </c>
      <c r="O25" s="478">
        <f t="shared" si="15"/>
        <v>0</v>
      </c>
      <c r="P25" s="479">
        <f t="shared" si="16"/>
        <v>0</v>
      </c>
      <c r="Q25" s="477">
        <f t="shared" ca="1" si="17"/>
        <v>594.61796438866929</v>
      </c>
    </row>
    <row r="26" spans="1:17">
      <c r="A26" s="477" t="s">
        <v>629</v>
      </c>
      <c r="B26" s="478">
        <f t="shared" ca="1" si="2"/>
        <v>1017.9362973986226</v>
      </c>
      <c r="C26" s="478">
        <f t="shared" ca="1" si="3"/>
        <v>0</v>
      </c>
      <c r="D26" s="478">
        <f t="shared" si="4"/>
        <v>218.94187797367599</v>
      </c>
      <c r="E26" s="478">
        <f t="shared" si="5"/>
        <v>75.833433091288128</v>
      </c>
      <c r="F26" s="478">
        <f t="shared" si="6"/>
        <v>311.73536238034961</v>
      </c>
      <c r="G26" s="478">
        <f t="shared" si="7"/>
        <v>0</v>
      </c>
      <c r="H26" s="478">
        <f t="shared" si="8"/>
        <v>0</v>
      </c>
      <c r="I26" s="478">
        <f t="shared" si="9"/>
        <v>0</v>
      </c>
      <c r="J26" s="478">
        <f t="shared" si="10"/>
        <v>13.300759547809907</v>
      </c>
      <c r="K26" s="478">
        <f t="shared" si="11"/>
        <v>0</v>
      </c>
      <c r="L26" s="478">
        <f t="shared" si="12"/>
        <v>0</v>
      </c>
      <c r="M26" s="478">
        <f t="shared" si="13"/>
        <v>0</v>
      </c>
      <c r="N26" s="478">
        <f t="shared" si="14"/>
        <v>0</v>
      </c>
      <c r="O26" s="478">
        <f t="shared" si="15"/>
        <v>0</v>
      </c>
      <c r="P26" s="479">
        <f t="shared" si="16"/>
        <v>0</v>
      </c>
      <c r="Q26" s="477">
        <f t="shared" ca="1" si="17"/>
        <v>1637.7477303917462</v>
      </c>
    </row>
    <row r="27" spans="1:17" s="483" customFormat="1">
      <c r="A27" s="481" t="s">
        <v>555</v>
      </c>
      <c r="B27" s="801">
        <f t="shared" ca="1" si="2"/>
        <v>5.4932234601801495</v>
      </c>
      <c r="C27" s="482">
        <f t="shared" ca="1" si="3"/>
        <v>0</v>
      </c>
      <c r="D27" s="482">
        <f t="shared" si="4"/>
        <v>25.060891539856478</v>
      </c>
      <c r="E27" s="482">
        <f t="shared" si="5"/>
        <v>21.287142520352312</v>
      </c>
      <c r="F27" s="482">
        <f t="shared" si="6"/>
        <v>0</v>
      </c>
      <c r="G27" s="482">
        <f t="shared" si="7"/>
        <v>10103.36587174679</v>
      </c>
      <c r="H27" s="482">
        <f t="shared" si="8"/>
        <v>2286.1273360393657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12441.334465306545</v>
      </c>
    </row>
    <row r="28" spans="1:17" ht="16.5" customHeight="1">
      <c r="A28" s="477" t="s">
        <v>545</v>
      </c>
      <c r="B28" s="478">
        <f t="shared" ca="1" si="2"/>
        <v>0</v>
      </c>
      <c r="C28" s="478">
        <f t="shared" ca="1" si="3"/>
        <v>0</v>
      </c>
      <c r="D28" s="478">
        <f t="shared" si="4"/>
        <v>0</v>
      </c>
      <c r="E28" s="478">
        <f t="shared" si="5"/>
        <v>0</v>
      </c>
      <c r="F28" s="478">
        <f t="shared" si="6"/>
        <v>0</v>
      </c>
      <c r="G28" s="478">
        <f t="shared" si="7"/>
        <v>476.30114251195567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476.30114251195567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95.805239385111463</v>
      </c>
      <c r="C32" s="478">
        <f t="shared" ca="1" si="3"/>
        <v>0</v>
      </c>
      <c r="D32" s="478">
        <f t="shared" si="4"/>
        <v>214.95578974600005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310.76102913111151</v>
      </c>
    </row>
    <row r="33" spans="1:17" s="489" customFormat="1">
      <c r="A33" s="487" t="s">
        <v>549</v>
      </c>
      <c r="B33" s="488">
        <f ca="1">SUM(B22:B32)</f>
        <v>6655.4676009942841</v>
      </c>
      <c r="C33" s="488">
        <f t="shared" ref="C33:Q33" ca="1" si="19">SUM(C22:C32)</f>
        <v>0</v>
      </c>
      <c r="D33" s="488">
        <f t="shared" ca="1" si="19"/>
        <v>10014.055140365344</v>
      </c>
      <c r="E33" s="488">
        <f t="shared" si="19"/>
        <v>1652.232820520813</v>
      </c>
      <c r="F33" s="488">
        <f t="shared" ca="1" si="19"/>
        <v>6234.9213000597711</v>
      </c>
      <c r="G33" s="488">
        <f t="shared" si="19"/>
        <v>10579.667014258745</v>
      </c>
      <c r="H33" s="488">
        <f t="shared" si="19"/>
        <v>2286.1273360393657</v>
      </c>
      <c r="I33" s="488">
        <f t="shared" si="19"/>
        <v>0</v>
      </c>
      <c r="J33" s="488">
        <f t="shared" si="19"/>
        <v>55.74817199259499</v>
      </c>
      <c r="K33" s="488">
        <f t="shared" si="19"/>
        <v>0</v>
      </c>
      <c r="L33" s="488">
        <f t="shared" ca="1" si="19"/>
        <v>0</v>
      </c>
      <c r="M33" s="488">
        <f t="shared" si="19"/>
        <v>0</v>
      </c>
      <c r="N33" s="488">
        <f t="shared" ca="1" si="19"/>
        <v>0</v>
      </c>
      <c r="O33" s="488">
        <f t="shared" si="19"/>
        <v>0</v>
      </c>
      <c r="P33" s="488">
        <f t="shared" si="19"/>
        <v>0</v>
      </c>
      <c r="Q33" s="488">
        <f t="shared" ca="1" si="19"/>
        <v>37478.219384230921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2653.7893642340396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2653.7893642340396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0.20310238458608154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0.20310238458608154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2019-08-12T08:38:55Z</dcterms:modified>
</cp:coreProperties>
</file>